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AE011B1-422B-4EF5-934A-3CFAD505D8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INAL 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173" i="1" l="1"/>
  <c r="A9172" i="1"/>
  <c r="A9171" i="1"/>
  <c r="A9170" i="1"/>
  <c r="A9169" i="1"/>
  <c r="A9168" i="1"/>
  <c r="A9167" i="1"/>
  <c r="A9166" i="1"/>
  <c r="A9165" i="1"/>
  <c r="A9164" i="1"/>
  <c r="A9163" i="1"/>
  <c r="A9162" i="1"/>
  <c r="A9161" i="1"/>
  <c r="A9160" i="1"/>
  <c r="A9159" i="1"/>
  <c r="A9158" i="1"/>
  <c r="A9157" i="1"/>
  <c r="A9156" i="1"/>
  <c r="A9155" i="1"/>
  <c r="A9154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139" i="1"/>
  <c r="A9138" i="1"/>
  <c r="A9137" i="1"/>
  <c r="A9136" i="1"/>
  <c r="A9135" i="1"/>
  <c r="A9134" i="1"/>
  <c r="A9133" i="1"/>
  <c r="A9132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117" i="1"/>
  <c r="A9116" i="1"/>
  <c r="A9115" i="1"/>
  <c r="A9114" i="1"/>
  <c r="A9113" i="1"/>
  <c r="A9112" i="1"/>
  <c r="A9111" i="1"/>
  <c r="A9110" i="1"/>
  <c r="A9109" i="1"/>
  <c r="A9108" i="1"/>
  <c r="A9107" i="1"/>
  <c r="A9106" i="1"/>
  <c r="A9105" i="1"/>
  <c r="A9104" i="1"/>
  <c r="A9103" i="1"/>
  <c r="A9102" i="1"/>
  <c r="A9101" i="1"/>
  <c r="A9100" i="1"/>
  <c r="A9099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78" i="1"/>
  <c r="A9077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9044" i="1"/>
  <c r="A9043" i="1"/>
  <c r="A9042" i="1"/>
  <c r="A9041" i="1"/>
  <c r="A904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9022" i="1"/>
  <c r="A9021" i="1"/>
  <c r="A9020" i="1"/>
  <c r="A9019" i="1"/>
  <c r="A9018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9004" i="1"/>
  <c r="A9003" i="1"/>
  <c r="A9002" i="1"/>
  <c r="A9001" i="1"/>
  <c r="A9000" i="1"/>
  <c r="A8999" i="1"/>
  <c r="A8998" i="1"/>
  <c r="A8997" i="1"/>
  <c r="A8996" i="1"/>
  <c r="A8995" i="1"/>
  <c r="A8994" i="1"/>
  <c r="A8993" i="1"/>
  <c r="A8992" i="1"/>
  <c r="A8991" i="1"/>
  <c r="A8990" i="1"/>
  <c r="A8989" i="1"/>
  <c r="A8988" i="1"/>
  <c r="A8987" i="1"/>
  <c r="A8986" i="1"/>
  <c r="A8985" i="1"/>
  <c r="A8984" i="1"/>
  <c r="A8983" i="1"/>
  <c r="A8982" i="1"/>
  <c r="A8981" i="1"/>
  <c r="A8980" i="1"/>
  <c r="A8979" i="1"/>
  <c r="A8978" i="1"/>
  <c r="A8977" i="1"/>
  <c r="A8976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8711" i="1"/>
  <c r="A8710" i="1"/>
  <c r="A8709" i="1"/>
  <c r="A8708" i="1"/>
  <c r="A8707" i="1"/>
  <c r="A8706" i="1"/>
  <c r="A8705" i="1"/>
  <c r="A8704" i="1"/>
  <c r="A8703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87" i="1"/>
  <c r="A8686" i="1"/>
  <c r="A8685" i="1"/>
  <c r="A8684" i="1"/>
  <c r="A8683" i="1"/>
  <c r="A8682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64" i="1"/>
  <c r="A8663" i="1"/>
  <c r="A8662" i="1"/>
  <c r="A8661" i="1"/>
  <c r="A8660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42" i="1"/>
  <c r="A8641" i="1"/>
  <c r="A8640" i="1"/>
  <c r="A8639" i="1"/>
  <c r="A8638" i="1"/>
  <c r="A8637" i="1"/>
  <c r="A8636" i="1"/>
  <c r="A8635" i="1"/>
  <c r="A8634" i="1"/>
  <c r="A8633" i="1"/>
  <c r="A8632" i="1"/>
  <c r="A8631" i="1"/>
  <c r="A8630" i="1"/>
  <c r="A8629" i="1"/>
  <c r="A8628" i="1"/>
  <c r="A8627" i="1"/>
  <c r="A8626" i="1"/>
  <c r="A8625" i="1"/>
  <c r="A8624" i="1"/>
  <c r="A8623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609" i="1"/>
  <c r="A8608" i="1"/>
  <c r="A8607" i="1"/>
  <c r="A8606" i="1"/>
  <c r="A8605" i="1"/>
  <c r="A8604" i="1"/>
  <c r="A8603" i="1"/>
  <c r="A8602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88" i="1"/>
  <c r="A8587" i="1"/>
  <c r="A8586" i="1"/>
  <c r="A8585" i="1"/>
  <c r="A8584" i="1"/>
  <c r="A8583" i="1"/>
  <c r="A8582" i="1"/>
  <c r="A8581" i="1"/>
  <c r="A8580" i="1"/>
  <c r="A8579" i="1"/>
  <c r="A8578" i="1"/>
  <c r="A8577" i="1"/>
  <c r="A8576" i="1"/>
  <c r="A8575" i="1"/>
  <c r="A8574" i="1"/>
  <c r="A8573" i="1"/>
  <c r="A8572" i="1"/>
  <c r="A8571" i="1"/>
  <c r="A8570" i="1"/>
  <c r="A8569" i="1"/>
  <c r="A8568" i="1"/>
  <c r="A8567" i="1"/>
  <c r="A8566" i="1"/>
  <c r="A8565" i="1"/>
  <c r="A8564" i="1"/>
  <c r="A8563" i="1"/>
  <c r="A8562" i="1"/>
  <c r="A8561" i="1"/>
  <c r="A8560" i="1"/>
  <c r="A8559" i="1"/>
  <c r="A8558" i="1"/>
  <c r="A8557" i="1"/>
  <c r="A8556" i="1"/>
  <c r="A8555" i="1"/>
  <c r="A8554" i="1"/>
  <c r="A8553" i="1"/>
  <c r="A8552" i="1"/>
  <c r="A8551" i="1"/>
  <c r="A8550" i="1"/>
  <c r="A854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534" i="1"/>
  <c r="A8533" i="1"/>
  <c r="A8532" i="1"/>
  <c r="A8531" i="1"/>
  <c r="A8530" i="1"/>
  <c r="A8529" i="1"/>
  <c r="A852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513" i="1"/>
  <c r="A8512" i="1"/>
  <c r="A8511" i="1"/>
  <c r="A8510" i="1"/>
  <c r="A8509" i="1"/>
  <c r="A8508" i="1"/>
  <c r="A8507" i="1"/>
  <c r="A8506" i="1"/>
  <c r="A8505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460" i="1"/>
  <c r="A8459" i="1"/>
  <c r="A8458" i="1"/>
  <c r="A8457" i="1"/>
  <c r="A8456" i="1"/>
  <c r="A8455" i="1"/>
  <c r="A8454" i="1"/>
  <c r="A8453" i="1"/>
  <c r="A8452" i="1"/>
  <c r="A8451" i="1"/>
  <c r="A8450" i="1"/>
  <c r="A8449" i="1"/>
  <c r="A8448" i="1"/>
  <c r="A8447" i="1"/>
  <c r="A8446" i="1"/>
  <c r="A8445" i="1"/>
  <c r="A8444" i="1"/>
  <c r="A8443" i="1"/>
  <c r="A8442" i="1"/>
  <c r="A8441" i="1"/>
  <c r="A8440" i="1"/>
  <c r="A8439" i="1"/>
  <c r="A8438" i="1"/>
  <c r="A8437" i="1"/>
  <c r="A8436" i="1"/>
  <c r="A8435" i="1"/>
  <c r="A8434" i="1"/>
  <c r="A8433" i="1"/>
  <c r="A8432" i="1"/>
  <c r="A8431" i="1"/>
  <c r="A8430" i="1"/>
  <c r="A8429" i="1"/>
  <c r="A8428" i="1"/>
  <c r="A8427" i="1"/>
  <c r="A8426" i="1"/>
  <c r="A8425" i="1"/>
  <c r="A8424" i="1"/>
  <c r="A8423" i="1"/>
  <c r="A8422" i="1"/>
  <c r="A8421" i="1"/>
  <c r="A8420" i="1"/>
  <c r="A8419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406" i="1"/>
  <c r="A8405" i="1"/>
  <c r="A8404" i="1"/>
  <c r="A8403" i="1"/>
  <c r="A8402" i="1"/>
  <c r="A8401" i="1"/>
  <c r="A8400" i="1"/>
  <c r="A8399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86" i="1"/>
  <c r="A8385" i="1"/>
  <c r="A8384" i="1"/>
  <c r="A8383" i="1"/>
  <c r="A8382" i="1"/>
  <c r="A8381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30" i="1"/>
  <c r="A8329" i="1"/>
  <c r="A8328" i="1"/>
  <c r="A8327" i="1"/>
  <c r="A8326" i="1"/>
  <c r="A8325" i="1"/>
  <c r="A8324" i="1"/>
  <c r="A8323" i="1"/>
  <c r="A8322" i="1"/>
  <c r="A8321" i="1"/>
  <c r="A8320" i="1"/>
  <c r="A8319" i="1"/>
  <c r="A8318" i="1"/>
  <c r="A8317" i="1"/>
  <c r="A8316" i="1"/>
  <c r="A8315" i="1"/>
  <c r="A8314" i="1"/>
  <c r="A8313" i="1"/>
  <c r="A8312" i="1"/>
  <c r="A8311" i="1"/>
  <c r="A8310" i="1"/>
  <c r="A8309" i="1"/>
  <c r="A8308" i="1"/>
  <c r="A8307" i="1"/>
  <c r="A8306" i="1"/>
  <c r="A8305" i="1"/>
  <c r="A8304" i="1"/>
  <c r="A830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50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32" i="1"/>
  <c r="A8231" i="1"/>
  <c r="A8230" i="1"/>
  <c r="A8229" i="1"/>
  <c r="A8228" i="1"/>
  <c r="A8227" i="1"/>
  <c r="A8226" i="1"/>
  <c r="A8225" i="1"/>
  <c r="A8224" i="1"/>
  <c r="A8223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84" i="1"/>
  <c r="A8183" i="1"/>
  <c r="A8182" i="1"/>
  <c r="A8181" i="1"/>
  <c r="A8180" i="1"/>
  <c r="A8179" i="1"/>
  <c r="A8178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" i="1"/>
</calcChain>
</file>

<file path=xl/sharedStrings.xml><?xml version="1.0" encoding="utf-8"?>
<sst xmlns="http://schemas.openxmlformats.org/spreadsheetml/2006/main" count="9170" uniqueCount="33">
  <si>
    <t>र</t>
  </si>
  <si>
    <t>न</t>
  </si>
  <si>
    <t>त</t>
  </si>
  <si>
    <t>ज</t>
  </si>
  <si>
    <t>व</t>
  </si>
  <si>
    <t>य</t>
  </si>
  <si>
    <t>भ</t>
  </si>
  <si>
    <t>ण</t>
  </si>
  <si>
    <t>श</t>
  </si>
  <si>
    <t>प</t>
  </si>
  <si>
    <t>थ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</si>
  <si>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</si>
  <si>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</si>
  <si>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</si>
  <si>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</si>
  <si>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</si>
  <si>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</si>
  <si>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</si>
  <si>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</si>
  <si>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</si>
  <si>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</si>
  <si>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</si>
  <si>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ठ</t>
  </si>
  <si>
    <t>ट</t>
  </si>
  <si>
    <t>ह</t>
  </si>
  <si>
    <t>ञ</t>
  </si>
  <si>
    <t>ब</t>
  </si>
  <si>
    <t>फ</t>
  </si>
  <si>
    <t>घ</t>
  </si>
  <si>
    <t>ड</t>
  </si>
  <si>
    <t>ढ</t>
  </si>
  <si>
    <t>रॊ</t>
  </si>
  <si>
    <t>ण-कारात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</si>
</sst>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sz val="12"/>
      <color theme="1"/>
      <name val="Arimo"/>
    </font>
    <font>
      <sz val="11"/>
      <color theme="1"/>
      <name val="Calibri"/>
      <scheme val="minor"/>
    </font>
    <font>
      <sz val="20"/>
      <color rgb="FFFF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73"/>
  <sheetViews>
    <sheetView tabSelected="1" zoomScale="89" zoomScaleNormal="89" workbookViewId="0">
      <selection activeCell="C8" sqref="C8"/>
    </sheetView>
  </sheetViews>
  <sheetFormatPr defaultColWidth="14.44140625" defaultRowHeight="15" customHeight="1"/>
  <cols>
    <col min="1" max="1" width="102" customWidth="1"/>
    <col min="2" max="2" width="15.109375" customWidth="1"/>
    <col min="3" max="3" width="15" customWidth="1"/>
    <col min="4" max="6" width="8.6640625" customWidth="1"/>
  </cols>
  <sheetData>
    <row r="1" spans="1:3" ht="24" customHeight="1">
      <c r="A1" s="2" t="str">
        <f ca="1">IFERROR(__xludf.DUMMYFUNCTION("ARRAYFORMULA(
  REGEXREPLACE(
    REGEXREPLACE(A1:A9173,""(।\s*।).*"",""$1""),
    ""।\s*।"",""||""
  )
)
"),"वागर्थाविव संपृक्तौ वागर्थप्रतिपत्तये । जगतः पितरौ वन्दे पार्वतीपरमेश्वरौ ||")</f>
        <v>वागर्थाविव संपृक्तौ वागर्थप्रतिपत्तये । जगतः पितरौ वन्दे पार्वतीपरमेश्वरौ ||</v>
      </c>
      <c r="B1" s="3" t="s">
        <v>0</v>
      </c>
      <c r="C1" s="3"/>
    </row>
    <row r="2" spans="1:3" ht="24" customHeight="1">
      <c r="A2" s="2" t="str">
        <f ca="1">IFERROR(__xludf.DUMMYFUNCTION("""COMPUTED_VALUE"""),"क्व सूर्यप्रभवो वंशः क्व चाल्पविषया मतिः । तितीर्षुर्दुस्तरं मोहादुडुपेनास्मि सागरम् ||")</f>
        <v>क्व सूर्यप्रभवो वंशः क्व चाल्पविषया मतिः । तितीर्षुर्दुस्तरं मोहादुडुपेनास्मि सागरम् ||</v>
      </c>
      <c r="B2" s="4" t="s">
        <v>0</v>
      </c>
      <c r="C2" s="4"/>
    </row>
    <row r="3" spans="1:3" ht="24" customHeight="1">
      <c r="A3" s="2" t="str">
        <f ca="1">IFERROR(__xludf.DUMMYFUNCTION("""COMPUTED_VALUE"""),"मन्दः कवियशः प्रार्थी गमिष्याम्युपहास्यताम् । प्रांशुलभ्ये फले लोभादुद्बाहुरिव वामनः ||")</f>
        <v>मन्दः कवियशः प्रार्थी गमिष्याम्युपहास्यताम् । प्रांशुलभ्ये फले लोभादुद्बाहुरिव वामनः ||</v>
      </c>
      <c r="B3" s="4" t="s">
        <v>1</v>
      </c>
      <c r="C3" s="4"/>
    </row>
    <row r="4" spans="1:3" ht="24" customHeight="1">
      <c r="A4" s="2" t="str">
        <f ca="1">IFERROR(__xludf.DUMMYFUNCTION("""COMPUTED_VALUE"""),"अथ वा कृतवाग्द्वारे वंशेऽस्मिन्पूर्वसूरिभिः । मणौ वज्रसमुत्कीर्णे सूत्रस्येवास्ति मे गतिः ||")</f>
        <v>अथ वा कृतवाग्द्वारे वंशेऽस्मिन्पूर्वसूरिभिः । मणौ वज्रसमुत्कीर्णे सूत्रस्येवास्ति मे गतिः ||</v>
      </c>
      <c r="B4" s="1" t="s">
        <v>2</v>
      </c>
      <c r="C4" s="1"/>
    </row>
    <row r="5" spans="1:3" ht="24" customHeight="1">
      <c r="A5" s="2" t="str">
        <f ca="1">IFERROR(__xludf.DUMMYFUNCTION("""COMPUTED_VALUE"""),"सोऽहम् आजन्मशुद्धानाम् आफलोदयकर्मणाम् । आसमुद्रक्षितीशानाम् आनाकरथवर्त्मनाम् ||")</f>
        <v>सोऽहम् आजन्मशुद्धानाम् आफलोदयकर्मणाम् । आसमुद्रक्षितीशानाम् आनाकरथवर्त्मनाम् ||</v>
      </c>
      <c r="B5" s="4" t="s">
        <v>1</v>
      </c>
      <c r="C5" s="4"/>
    </row>
    <row r="6" spans="1:3" ht="24" customHeight="1">
      <c r="A6" s="2" t="str">
        <f ca="1">IFERROR(__xludf.DUMMYFUNCTION("""COMPUTED_VALUE"""),"यथाविधिहुताग्नीनां यथाकामार्चितार्थिनाम् । यथापराधदण्डानां यथाकालप्रभोधिनाम् ||")</f>
        <v>यथाविधिहुताग्नीनां यथाकामार्चितार्थिनाम् । यथापराधदण्डानां यथाकालप्रभोधिनाम् ||</v>
      </c>
      <c r="B6" s="4" t="s">
        <v>1</v>
      </c>
      <c r="C6" s="4"/>
    </row>
    <row r="7" spans="1:3" ht="24" customHeight="1">
      <c r="A7" s="2" t="str">
        <f ca="1">IFERROR(__xludf.DUMMYFUNCTION("""COMPUTED_VALUE"""),"त्यागाय संभृतार्थानां सत्याय मितभाषिणाम् । यशसे विजिगीषुणां प्रजायै गृहमेन्धिनाम् ||")</f>
        <v>त्यागाय संभृतार्थानां सत्याय मितभाषिणाम् । यशसे विजिगीषुणां प्रजायै गृहमेन्धिनाम् ||</v>
      </c>
      <c r="B7" s="4" t="s">
        <v>1</v>
      </c>
      <c r="C7" s="4"/>
    </row>
    <row r="8" spans="1:3" ht="24" customHeight="1">
      <c r="A8" s="2" t="str">
        <f ca="1">IFERROR(__xludf.DUMMYFUNCTION("""COMPUTED_VALUE"""),"शैशवेऽभ्यस्तविद्यानां यौवने विषयैषिणाम् । वार्धके मुनिवृत्तीनां योगेनान्ते तनुत्यजाम् ||")</f>
        <v>शैशवेऽभ्यस्तविद्यानां यौवने विषयैषिणाम् । वार्धके मुनिवृत्तीनां योगेनान्ते तनुत्यजाम् ||</v>
      </c>
      <c r="B8" s="4" t="s">
        <v>3</v>
      </c>
      <c r="C8" s="4"/>
    </row>
    <row r="9" spans="1:3" ht="24" customHeight="1">
      <c r="A9" s="2" t="str">
        <f ca="1">IFERROR(__xludf.DUMMYFUNCTION("""COMPUTED_VALUE"""),"रघूणाम् अन्वयं वक्ष्ये तनुवाग्विभवोऽपि सन् । तद्गुणैः कर्णमागत्य चापलाय प्रचोदितः ||")</f>
        <v>रघूणाम् अन्वयं वक्ष्ये तनुवाग्विभवोऽपि सन् । तद्गुणैः कर्णमागत्य चापलाय प्रचोदितः ||</v>
      </c>
      <c r="B9" s="4" t="s">
        <v>2</v>
      </c>
      <c r="C9" s="4"/>
    </row>
    <row r="10" spans="1:3" ht="24" customHeight="1">
      <c r="A10" s="2" t="str">
        <f ca="1">IFERROR(__xludf.DUMMYFUNCTION("""COMPUTED_VALUE"""),"तं सन्तः श्रोतुमर्हन्ति सदसद्व्यक्तिहेतवः । हेम्नः संलक्ष्यते ह्यग्नौ विशुद्धिः श्यामिकापि वा ||")</f>
        <v>तं सन्तः श्रोतुमर्हन्ति सदसद्व्यक्तिहेतवः । हेम्नः संलक्ष्यते ह्यग्नौ विशुद्धिः श्यामिकापि वा ||</v>
      </c>
      <c r="B10" s="4" t="s">
        <v>4</v>
      </c>
      <c r="C10" s="4"/>
    </row>
    <row r="11" spans="1:3" ht="24" customHeight="1">
      <c r="A11" s="2" t="str">
        <f ca="1">IFERROR(__xludf.DUMMYFUNCTION("""COMPUTED_VALUE"""),"वैवसतो मनुर्नाम माननीयो मनीषिणाम् । आसीन्महीक्षितामाद्यः प्रणवश्छन्दसाम्इव ||")</f>
        <v>वैवसतो मनुर्नाम माननीयो मनीषिणाम् । आसीन्महीक्षितामाद्यः प्रणवश्छन्दसाम्इव ||</v>
      </c>
      <c r="B11" s="4" t="s">
        <v>4</v>
      </c>
      <c r="C11" s="4"/>
    </row>
    <row r="12" spans="1:3" ht="24" customHeight="1">
      <c r="A12" s="2" t="str">
        <f ca="1">IFERROR(__xludf.DUMMYFUNCTION("""COMPUTED_VALUE"""),"तदन्वये शुद्धिमति प्रसूतः शुद्धिमत्तरः । दिलीप इति राजेन्दुरिन्दुः क्षीरनिधाविव ||")</f>
        <v>तदन्वये शुद्धिमति प्रसूतः शुद्धिमत्तरः । दिलीप इति राजेन्दुरिन्दुः क्षीरनिधाविव ||</v>
      </c>
      <c r="B12" s="4" t="s">
        <v>4</v>
      </c>
      <c r="C12" s="4"/>
    </row>
    <row r="13" spans="1:3" ht="24" customHeight="1">
      <c r="A13" s="2" t="str">
        <f ca="1">IFERROR(__xludf.DUMMYFUNCTION("""COMPUTED_VALUE"""),"व्यूढोरस्को वृषस्कन्धः शालप्रांशुर्महाभुजः । आत्मकर्मक्षमं देहं क्षात्रो धर्म इवाश्रितः ||")</f>
        <v>व्यूढोरस्को वृषस्कन्धः शालप्रांशुर्महाभुजः । आत्मकर्मक्षमं देहं क्षात्रो धर्म इवाश्रितः ||</v>
      </c>
      <c r="B13" s="4" t="s">
        <v>2</v>
      </c>
      <c r="C13" s="4"/>
    </row>
    <row r="14" spans="1:3" ht="24" customHeight="1">
      <c r="A14" s="2" t="str">
        <f ca="1">IFERROR(__xludf.DUMMYFUNCTION("""COMPUTED_VALUE"""),"सर्वातिरिक्तसारेण सर्वतेजोऽभिभाविना । स्थितः सर्वोन्नतेनोर्वीं क्रान्त्वा मेरुरिवात्मना ||")</f>
        <v>सर्वातिरिक्तसारेण सर्वतेजोऽभिभाविना । स्थितः सर्वोन्नतेनोर्वीं क्रान्त्वा मेरुरिवात्मना ||</v>
      </c>
      <c r="B14" s="4" t="s">
        <v>1</v>
      </c>
      <c r="C14" s="4"/>
    </row>
    <row r="15" spans="1:3" ht="24" customHeight="1">
      <c r="A15" s="2" t="str">
        <f ca="1">IFERROR(__xludf.DUMMYFUNCTION("""COMPUTED_VALUE"""),"आकारसदृशप्रज्ञः प्रज्ञया सदृशागमः । आगमैः सदृशारम्भ आरम्भसदृशोदयः ||")</f>
        <v>आकारसदृशप्रज्ञः प्रज्ञया सदृशागमः । आगमैः सदृशारम्भ आरम्भसदृशोदयः ||</v>
      </c>
      <c r="B15" s="4" t="s">
        <v>5</v>
      </c>
      <c r="C15" s="4"/>
    </row>
    <row r="16" spans="1:3" ht="24" customHeight="1">
      <c r="A16" s="2" t="str">
        <f ca="1">IFERROR(__xludf.DUMMYFUNCTION("""COMPUTED_VALUE"""),"भीमकान्तैर्नृपगुणैः स भभूवोपजीविनां । अधृष्यश्चाभिगम्यश्च याधोरत्नैरिवार्णवः ||")</f>
        <v>भीमकान्तैर्नृपगुणैः स भभूवोपजीविनां । अधृष्यश्चाभिगम्यश्च याधोरत्नैरिवार्णवः ||</v>
      </c>
      <c r="B16" s="4" t="s">
        <v>4</v>
      </c>
      <c r="C16" s="4"/>
    </row>
    <row r="17" spans="1:3" ht="24" customHeight="1">
      <c r="A17" s="2" t="str">
        <f ca="1">IFERROR(__xludf.DUMMYFUNCTION("""COMPUTED_VALUE"""),"रेखामात्रं अपि क्षुण्णादा मनोर्वर्त्मनः परं । न व्यतीयुः प्रजास्तस्य नियन्तुर्नेमिवृत्तयः ||")</f>
        <v>रेखामात्रं अपि क्षुण्णादा मनोर्वर्त्मनः परं । न व्यतीयुः प्रजास्तस्य नियन्तुर्नेमिवृत्तयः ||</v>
      </c>
      <c r="B17" s="4" t="s">
        <v>5</v>
      </c>
      <c r="C17" s="4"/>
    </row>
    <row r="18" spans="1:3" ht="24" customHeight="1">
      <c r="A18" s="2" t="str">
        <f ca="1">IFERROR(__xludf.DUMMYFUNCTION("""COMPUTED_VALUE"""),"प्रजानामेव भूत्यर्थं स ताभ्यो बलिमग्रहीत् । सहस्रगुणं उत्स्रष्टुं आदत्ते हि रसं रविः ||")</f>
        <v>प्रजानामेव भूत्यर्थं स ताभ्यो बलिमग्रहीत् । सहस्रगुणं उत्स्रष्टुं आदत्ते हि रसं रविः ||</v>
      </c>
      <c r="B18" s="4" t="s">
        <v>4</v>
      </c>
      <c r="C18" s="4"/>
    </row>
    <row r="19" spans="1:3" ht="24" customHeight="1">
      <c r="A19" s="2" t="str">
        <f ca="1">IFERROR(__xludf.DUMMYFUNCTION("""COMPUTED_VALUE"""),"सेना परिच्छदस्तस्य द्वयमेवार्थसाधनं । शास्त्रेष्वकुण्ठिता बुद्धिर्मौर्वी धनुषि चातता ||")</f>
        <v>सेना परिच्छदस्तस्य द्वयमेवार्थसाधनं । शास्त्रेष्वकुण्ठिता बुद्धिर्मौर्वी धनुषि चातता ||</v>
      </c>
      <c r="B19" s="4" t="s">
        <v>2</v>
      </c>
      <c r="C19" s="4"/>
    </row>
    <row r="20" spans="1:3" ht="24" customHeight="1">
      <c r="A20" s="2" t="str">
        <f ca="1">IFERROR(__xludf.DUMMYFUNCTION("""COMPUTED_VALUE"""),"तस्य संवृतमन्त्रस्य गूढाकारेङ्गितस्य च । फलानुमेयाः प्रारम्भाः संस्काराः प्राक्तना इव ||")</f>
        <v>तस्य संवृतमन्त्रस्य गूढाकारेङ्गितस्य च । फलानुमेयाः प्रारम्भाः संस्काराः प्राक्तना इव ||</v>
      </c>
      <c r="B20" s="4" t="s">
        <v>4</v>
      </c>
      <c r="C20" s="4"/>
    </row>
    <row r="21" spans="1:3" ht="24" customHeight="1">
      <c r="A21" s="2" t="str">
        <f ca="1">IFERROR(__xludf.DUMMYFUNCTION("""COMPUTED_VALUE"""),"जुगोपात्मानमत्रस्तो भेजे धर्ममनातुरः । अगृध्नुराददे सोऽर्थमसक्तः सुखमन्वभूत् ||")</f>
        <v>जुगोपात्मानमत्रस्तो भेजे धर्ममनातुरः । अगृध्नुराददे सोऽर्थमसक्तः सुखमन्वभूत् ||</v>
      </c>
      <c r="B21" s="4" t="s">
        <v>6</v>
      </c>
      <c r="C21" s="4"/>
    </row>
    <row r="22" spans="1:3" ht="24" customHeight="1">
      <c r="A22" s="2" t="str">
        <f ca="1">IFERROR(__xludf.DUMMYFUNCTION("""COMPUTED_VALUE"""),"ज्ञाने मौनं क्षमा शक्तौ त्यागे श्लाघाविपर्ययः । गुणा गुणानुबन्धित्वात्तस्य सप्रसवा इव ||")</f>
        <v>ज्ञाने मौनं क्षमा शक्तौ त्यागे श्लाघाविपर्ययः । गुणा गुणानुबन्धित्वात्तस्य सप्रसवा इव ||</v>
      </c>
      <c r="B22" s="4" t="s">
        <v>4</v>
      </c>
      <c r="C22" s="4"/>
    </row>
    <row r="23" spans="1:3" ht="24" customHeight="1">
      <c r="A23" s="2" t="str">
        <f ca="1">IFERROR(__xludf.DUMMYFUNCTION("""COMPUTED_VALUE"""),"अनाकृष्टस्य विषयैर्विद्यानां पारदृश्वनः । तस्य धर्मरतेरासीद्वृद्धत्वं जरसा विना ||")</f>
        <v>अनाकृष्टस्य विषयैर्विद्यानां पारदृश्वनः । तस्य धर्मरतेरासीद्वृद्धत्वं जरसा विना ||</v>
      </c>
      <c r="B23" s="4" t="s">
        <v>1</v>
      </c>
      <c r="C23" s="4"/>
    </row>
    <row r="24" spans="1:3" ht="24" customHeight="1">
      <c r="A24" s="2" t="str">
        <f ca="1">IFERROR(__xludf.DUMMYFUNCTION("""COMPUTED_VALUE"""),"प्रजानां विनयाधानाद्रक्षणाद्भरणादपि । स पिता पितरस्तासां केवलं जन्महेतवः ||")</f>
        <v>प्रजानां विनयाधानाद्रक्षणाद्भरणादपि । स पिता पितरस्तासां केवलं जन्महेतवः ||</v>
      </c>
      <c r="B24" s="4" t="s">
        <v>4</v>
      </c>
      <c r="C24" s="4"/>
    </row>
    <row r="25" spans="1:3" ht="24" customHeight="1">
      <c r="A25" s="2" t="str">
        <f ca="1">IFERROR(__xludf.DUMMYFUNCTION("""COMPUTED_VALUE"""),"स्थित्यै दण्डयतो दण्ड्यान्परिणेतुः प्रसूतये । अप्यर्थकामौ तस्यास्तां धर्म एव मनीषिणः ||")</f>
        <v>स्थित्यै दण्डयतो दण्ड्यान्परिणेतुः प्रसूतये । अप्यर्थकामौ तस्यास्तां धर्म एव मनीषिणः ||</v>
      </c>
      <c r="B25" s="4" t="s">
        <v>7</v>
      </c>
      <c r="C25" s="4"/>
    </row>
    <row r="26" spans="1:3" ht="24" customHeight="1">
      <c r="A26" s="2" t="str">
        <f ca="1">IFERROR(__xludf.DUMMYFUNCTION("""COMPUTED_VALUE"""),"दुधोह गां स यज्ञाय सस्याय मघवा दिवं । संपद्विनिमयेनोभौ दधतुर्भुवनद्वयं ||")</f>
        <v>दुधोह गां स यज्ञाय सस्याय मघवा दिवं । संपद्विनिमयेनोभौ दधतुर्भुवनद्वयं ||</v>
      </c>
      <c r="B26" s="4" t="s">
        <v>8</v>
      </c>
      <c r="C26" s="4"/>
    </row>
    <row r="27" spans="1:3" ht="24" customHeight="1">
      <c r="A27" s="2" t="str">
        <f ca="1">IFERROR(__xludf.DUMMYFUNCTION("""COMPUTED_VALUE"""),"न किलानुययुस्तस्य राजानो रक्षितुर्यशः । व्यावृत्ता यत्परस्वेभ्यः श्रुतौ तस्करता स्थिता ||")</f>
        <v>न किलानुययुस्तस्य राजानो रक्षितुर्यशः । व्यावृत्ता यत्परस्वेभ्यः श्रुतौ तस्करता स्थिता ||</v>
      </c>
      <c r="B27" s="4" t="s">
        <v>2</v>
      </c>
      <c r="C27" s="4"/>
    </row>
    <row r="28" spans="1:3" ht="24" customHeight="1">
      <c r="A28" s="2" t="str">
        <f ca="1">IFERROR(__xludf.DUMMYFUNCTION("""COMPUTED_VALUE"""),"द्वेष्योऽपि संमतः शिष्टस्तस्यार्तस्य यथौषधं । त्याज्यो दुष्टः प्रियोऽप्यासीदङ्गुलीवोरगक्षता ||")</f>
        <v>द्वेष्योऽपि संमतः शिष्टस्तस्यार्तस्य यथौषधं । त्याज्यो दुष्टः प्रियोऽप्यासीदङ्गुलीवोरगक्षता ||</v>
      </c>
      <c r="B28" s="4" t="s">
        <v>2</v>
      </c>
      <c r="C28" s="4"/>
    </row>
    <row r="29" spans="1:3" ht="24" customHeight="1">
      <c r="A29" s="2" t="str">
        <f ca="1">IFERROR(__xludf.DUMMYFUNCTION("""COMPUTED_VALUE"""),"तं वेधा विदधे नूनं महाभूतसमाधिना । तथा हि सर्वे तस्यासन्परार्थैकफला गुणाः ||")</f>
        <v>तं वेधा विदधे नूनं महाभूतसमाधिना । तथा हि सर्वे तस्यासन्परार्थैकफला गुणाः ||</v>
      </c>
      <c r="B29" s="4" t="s">
        <v>7</v>
      </c>
      <c r="C29" s="4"/>
    </row>
    <row r="30" spans="1:3" ht="24" customHeight="1">
      <c r="A30" s="2" t="str">
        <f ca="1">IFERROR(__xludf.DUMMYFUNCTION("""COMPUTED_VALUE"""),"स वेलावप्रवलयां परिखीकृतसागरां । अनन्याशासनामूर्वीं शशासैकपुरीमिव ||")</f>
        <v>स वेलावप्रवलयां परिखीकृतसागरां । अनन्याशासनामूर्वीं शशासैकपुरीमिव ||</v>
      </c>
      <c r="B30" s="4" t="s">
        <v>4</v>
      </c>
      <c r="C30" s="4"/>
    </row>
    <row r="31" spans="1:3" ht="24" customHeight="1">
      <c r="A31" s="2" t="str">
        <f ca="1">IFERROR(__xludf.DUMMYFUNCTION("""COMPUTED_VALUE"""),"तस्य दाक्षिण्यरुढेन नाम्ना मगधवंशजा । पत्नी सुदक्षिणेत्यासीदध्वरस्येव दक्षिणा ||")</f>
        <v>तस्य दाक्षिण्यरुढेन नाम्ना मगधवंशजा । पत्नी सुदक्षिणेत्यासीदध्वरस्येव दक्षिणा ||</v>
      </c>
      <c r="B31" s="4" t="s">
        <v>7</v>
      </c>
      <c r="C31" s="4"/>
    </row>
    <row r="32" spans="1:3" ht="24" customHeight="1">
      <c r="A32" s="2" t="str">
        <f ca="1">IFERROR(__xludf.DUMMYFUNCTION("""COMPUTED_VALUE"""),"कलत्रवन्तं आत्मानं अवरोधे महत्यपि । तया मेने मनस्विन्या लक्ष्म्या च वसुधाधिपः ||")</f>
        <v>कलत्रवन्तं आत्मानं अवरोधे महत्यपि । तया मेने मनस्विन्या लक्ष्म्या च वसुधाधिपः ||</v>
      </c>
      <c r="B32" s="4" t="s">
        <v>9</v>
      </c>
      <c r="C32" s="4"/>
    </row>
    <row r="33" spans="1:3" ht="24" customHeight="1">
      <c r="A33" s="2" t="str">
        <f ca="1">IFERROR(__xludf.DUMMYFUNCTION("""COMPUTED_VALUE"""),"तस्यामात्मानुरूपायामात्मजन्मसमुत्सुकः । विलम्बितफलैः कालं स निनाय मनोरथैः ||")</f>
        <v>तस्यामात्मानुरूपायामात्मजन्मसमुत्सुकः । विलम्बितफलैः कालं स निनाय मनोरथैः ||</v>
      </c>
      <c r="B33" s="4" t="s">
        <v>10</v>
      </c>
      <c r="C33" s="4"/>
    </row>
    <row r="34" spans="1:3" ht="24" customHeight="1">
      <c r="A34" s="2" t="str">
        <f ca="1">IFERROR(__xludf.DUMMYFUNCTION("""COMPUTED_VALUE"""),"संतानार्थाय विधये स्वभुजादवतारिता । तेन धूर्जगतो गुर्वी सचिवेषु निचिक्षिपे ||")</f>
        <v>संतानार्थाय विधये स्वभुजादवतारिता । तेन धूर्जगतो गुर्वी सचिवेषु निचिक्षिपे ||</v>
      </c>
      <c r="B34" s="4" t="s">
        <v>9</v>
      </c>
      <c r="C34" s="4"/>
    </row>
    <row r="35" spans="1:3" ht="24" customHeight="1">
      <c r="A35" s="2" t="str">
        <f ca="1">IFERROR(__xludf.DUMMYFUNCTION("""COMPUTED_VALUE"""),"गङ्गां भगीरथेनेव पूर्वेषां पावनक्षमां । इच्छता संततिं न्यस्ता तेन मन्त्रिषु कोसला ||")</f>
        <v>गङ्गां भगीरथेनेव पूर्वेषां पावनक्षमां । इच्छता संततिं न्यस्ता तेन मन्त्रिषु कोसला ||</v>
      </c>
      <c r="B35" s="4" t="s">
        <v>11</v>
      </c>
      <c r="C35" s="4"/>
    </row>
    <row r="36" spans="1:3" ht="24" customHeight="1">
      <c r="A36" s="2" t="str">
        <f ca="1">IFERROR(__xludf.DUMMYFUNCTION("""COMPUTED_VALUE"""),"अथाभ्यर्च्य विधातारं प्रयतौ पुत्रकाम्यया । तौ दंपती वसिष्ठस्य गुरोर्जग्मतुराश्रमं ||")</f>
        <v>अथाभ्यर्च्य विधातारं प्रयतौ पुत्रकाम्यया । तौ दंपती वसिष्ठस्य गुरोर्जग्मतुराश्रमं ||</v>
      </c>
      <c r="B36" s="4" t="s">
        <v>12</v>
      </c>
      <c r="C36" s="4"/>
    </row>
    <row r="37" spans="1:3" ht="24" customHeight="1">
      <c r="A37" s="2" t="str">
        <f ca="1">IFERROR(__xludf.DUMMYFUNCTION("""COMPUTED_VALUE"""),"स्निग्धगम्भीरनिर्घोषं एकं स्यन्दनं आस्थितौ । प्रावृषेण्यं पयोवाहं विद्युदैरावताविव ||")</f>
        <v>स्निग्धगम्भीरनिर्घोषं एकं स्यन्दनं आस्थितौ । प्रावृषेण्यं पयोवाहं विद्युदैरावताविव ||</v>
      </c>
      <c r="B37" s="4" t="s">
        <v>4</v>
      </c>
      <c r="C37" s="4"/>
    </row>
    <row r="38" spans="1:3" ht="24" customHeight="1">
      <c r="A38" s="2" t="str">
        <f ca="1">IFERROR(__xludf.DUMMYFUNCTION("""COMPUTED_VALUE"""),"मा भूदाश्रमपीडेति परिमेयपुरःसरौ । अनुभावविशेषात्तु सेनापरिवृताविव ||")</f>
        <v>मा भूदाश्रमपीडेति परिमेयपुरःसरौ । अनुभावविशेषात्तु सेनापरिवृताविव ||</v>
      </c>
      <c r="B38" s="4" t="s">
        <v>4</v>
      </c>
      <c r="C38" s="4"/>
    </row>
    <row r="39" spans="1:3" ht="24" customHeight="1">
      <c r="A39" s="2" t="str">
        <f ca="1">IFERROR(__xludf.DUMMYFUNCTION("""COMPUTED_VALUE"""),"सेव्यमानौ सुखस्पर्शैः शालनिर्यासगन्धिभिः । पुष्परेणूत्किरैर्वातैराधूतवनराजिभिः ||")</f>
        <v>सेव्यमानौ सुखस्पर्शैः शालनिर्यासगन्धिभिः । पुष्परेणूत्किरैर्वातैराधूतवनराजिभिः ||</v>
      </c>
      <c r="B39" s="4" t="s">
        <v>6</v>
      </c>
      <c r="C39" s="4"/>
    </row>
    <row r="40" spans="1:3" ht="24" customHeight="1">
      <c r="A40" s="2" t="str">
        <f ca="1">IFERROR(__xludf.DUMMYFUNCTION("""COMPUTED_VALUE"""),"मनोऽभिरामाः शृण्वन्तौ रथनेमिस्वनोन्मुखैः । षड्जसंवादिनीः केका द्विधा भिन्नाः शिखण्डिभिः ||")</f>
        <v>मनोऽभिरामाः शृण्वन्तौ रथनेमिस्वनोन्मुखैः । षड्जसंवादिनीः केका द्विधा भिन्नाः शिखण्डिभिः ||</v>
      </c>
      <c r="B40" s="4" t="s">
        <v>1</v>
      </c>
      <c r="C40" s="4"/>
    </row>
    <row r="41" spans="1:3" ht="24" customHeight="1">
      <c r="A41" s="2" t="str">
        <f ca="1">IFERROR(__xludf.DUMMYFUNCTION("""COMPUTED_VALUE"""),"परपराक्षिसादृश्यं अदूरोज्झितवर्त्मसु । मृगद्वन्द्वेषु पश्यन्तौ स्यन्दनाबद्धदृष्टिषु ||")</f>
        <v>परपराक्षिसादृश्यं अदूरोज्झितवर्त्मसु । मृगद्वन्द्वेषु पश्यन्तौ स्यन्दनाबद्धदृष्टिषु ||</v>
      </c>
      <c r="B41" s="4" t="s">
        <v>13</v>
      </c>
      <c r="C41" s="4"/>
    </row>
    <row r="42" spans="1:3" ht="24" customHeight="1">
      <c r="A42" s="2" t="str">
        <f ca="1">IFERROR(__xludf.DUMMYFUNCTION("""COMPUTED_VALUE"""),"श्रेणीबन्धाद्वितन्वद्भिरस्तम्भां तोरणस्रजं । सारसैः कलनिर्ह्राधैः क्वचिदुन्नमिताननौ ||")</f>
        <v>श्रेणीबन्धाद्वितन्वद्भिरस्तम्भां तोरणस्रजं । सारसैः कलनिर्ह्राधैः क्वचिदुन्नमिताननौ ||</v>
      </c>
      <c r="B42" s="4" t="s">
        <v>1</v>
      </c>
      <c r="C42" s="4"/>
    </row>
    <row r="43" spans="1:3" ht="24" customHeight="1">
      <c r="A43" s="2" t="str">
        <f ca="1">IFERROR(__xludf.DUMMYFUNCTION("""COMPUTED_VALUE"""),"पवनस्यानुकूलत्वात्प्रार्थनासिद्धिशंसिनः । रजोभिस्तुरगोत्कीर्णैरस्पृष्टालवेष्टनौ ||")</f>
        <v>पवनस्यानुकूलत्वात्प्रार्थनासिद्धिशंसिनः । रजोभिस्तुरगोत्कीर्णैरस्पृष्टालवेष्टनौ ||</v>
      </c>
      <c r="B43" s="4" t="s">
        <v>1</v>
      </c>
      <c r="C43" s="4"/>
    </row>
    <row r="44" spans="1:3" ht="24" customHeight="1">
      <c r="A44" s="2" t="str">
        <f ca="1">IFERROR(__xludf.DUMMYFUNCTION("""COMPUTED_VALUE"""),"सरसीष्वरविन्दानां वीचिविक्षोभशीतलं । आमोदं उपजिघ्रन्तौ स्वनिःश्वासानुकारिणं ||")</f>
        <v>सरसीष्वरविन्दानां वीचिविक्षोभशीतलं । आमोदं उपजिघ्रन्तौ स्वनिःश्वासानुकारिणं ||</v>
      </c>
      <c r="B44" s="4" t="s">
        <v>7</v>
      </c>
      <c r="C44" s="4"/>
    </row>
    <row r="45" spans="1:3" ht="24" customHeight="1">
      <c r="A45" s="2" t="str">
        <f ca="1">IFERROR(__xludf.DUMMYFUNCTION("""COMPUTED_VALUE"""),"ग्रामेष्वात्मविषृटेषु यूपचिह्नेषु यज्वनां । अमोघाः प्रतिगृह्णन्तावर्घ्यानुपदं आशिषः ||")</f>
        <v>ग्रामेष्वात्मविषृटेषु यूपचिह्नेषु यज्वनां । अमोघाः प्रतिगृह्णन्तावर्घ्यानुपदं आशिषः ||</v>
      </c>
      <c r="B45" s="4" t="s">
        <v>13</v>
      </c>
      <c r="C45" s="4"/>
    </row>
    <row r="46" spans="1:3" ht="24" customHeight="1">
      <c r="A46" s="2" t="str">
        <f ca="1">IFERROR(__xludf.DUMMYFUNCTION("""COMPUTED_VALUE"""),"हैयंगवीनं आदाय घोषवृद्धानुपस्थितान् । नामधेयानि पृच्छन्तौ वन्यानां मार्गशाखिनां ||")</f>
        <v>हैयंगवीनं आदाय घोषवृद्धानुपस्थितान् । नामधेयानि पृच्छन्तौ वन्यानां मार्गशाखिनां ||</v>
      </c>
      <c r="B46" s="4" t="s">
        <v>1</v>
      </c>
      <c r="C46" s="4"/>
    </row>
    <row r="47" spans="1:3" ht="24" customHeight="1">
      <c r="A47" s="2" t="str">
        <f ca="1">IFERROR(__xludf.DUMMYFUNCTION("""COMPUTED_VALUE"""),"काप्यभिख्या तयोरासीद्व्रजतोः शुद्धवेषयोः । हिमनिर्मुक्तयोर्योगे चित्राचन्द्रमसोरिव ||")</f>
        <v>काप्यभिख्या तयोरासीद्व्रजतोः शुद्धवेषयोः । हिमनिर्मुक्तयोर्योगे चित्राचन्द्रमसोरिव ||</v>
      </c>
      <c r="B47" s="4" t="s">
        <v>4</v>
      </c>
      <c r="C47" s="4"/>
    </row>
    <row r="48" spans="1:3" ht="24" customHeight="1">
      <c r="A48" s="2" t="str">
        <f ca="1">IFERROR(__xludf.DUMMYFUNCTION("""COMPUTED_VALUE"""),"तत्तद्भूमिपतिः पत्न्यै दर्शयन्प्रियदर्शनः । अपि लङ्घितमध्वानं बुबुधे न बुधोपमः ||")</f>
        <v>तत्तद्भूमिपतिः पत्न्यै दर्शयन्प्रियदर्शनः । अपि लङ्घितमध्वानं बुबुधे न बुधोपमः ||</v>
      </c>
      <c r="B48" s="4" t="s">
        <v>12</v>
      </c>
      <c r="C48" s="4"/>
    </row>
    <row r="49" spans="1:3" ht="24" customHeight="1">
      <c r="A49" s="2" t="str">
        <f ca="1">IFERROR(__xludf.DUMMYFUNCTION("""COMPUTED_VALUE"""),"स दुष्प्रापयशाः प्रापदाश्रमं श्रान्तवाहनः । सायं संयमिनस्तस्य महर्षेर्महिषीसखः ||")</f>
        <v>स दुष्प्रापयशाः प्रापदाश्रमं श्रान्तवाहनः । सायं संयमिनस्तस्य महर्षेर्महिषीसखः ||</v>
      </c>
      <c r="B49" s="4" t="s">
        <v>14</v>
      </c>
      <c r="C49" s="4"/>
    </row>
    <row r="50" spans="1:3" ht="24" customHeight="1">
      <c r="A50" s="2" t="str">
        <f ca="1">IFERROR(__xludf.DUMMYFUNCTION("""COMPUTED_VALUE"""),"वनान्तरादुपावृत्तैः समित्कुशफलाहरैः । पूर्यमाणं अदृश्याग्निप्रत्युद्यातैस्तपस्विभिः ||")</f>
        <v>वनान्तरादुपावृत्तैः समित्कुशफलाहरैः । पूर्यमाणं अदृश्याग्निप्रत्युद्यातैस्तपस्विभिः ||</v>
      </c>
      <c r="B50" s="4" t="s">
        <v>6</v>
      </c>
      <c r="C50" s="4"/>
    </row>
    <row r="51" spans="1:3" ht="24" customHeight="1">
      <c r="A51" s="2" t="str">
        <f ca="1">IFERROR(__xludf.DUMMYFUNCTION("""COMPUTED_VALUE"""),"आकीर्णं ऋषिपत्नीनां उटजद्वाररोधिभिः । अपत्यैरिव नीवारभागधेयोचितैर्मृगैः ||")</f>
        <v>आकीर्णं ऋषिपत्नीनां उटजद्वाररोधिभिः । अपत्यैरिव नीवारभागधेयोचितैर्मृगैः ||</v>
      </c>
      <c r="B51" s="4" t="s">
        <v>15</v>
      </c>
      <c r="C51" s="4"/>
    </row>
    <row r="52" spans="1:3" ht="24" customHeight="1">
      <c r="A52" s="2" t="str">
        <f ca="1">IFERROR(__xludf.DUMMYFUNCTION("""COMPUTED_VALUE"""),"सेकान्ते मुनिकन्याभिस्तत्क्षणोज्झितवृक्षकं । विश्वासाय विहंगानां आलवालाम्बुपायिनां ||")</f>
        <v>सेकान्ते मुनिकन्याभिस्तत्क्षणोज्झितवृक्षकं । विश्वासाय विहंगानां आलवालाम्बुपायिनां ||</v>
      </c>
      <c r="B52" s="4" t="s">
        <v>1</v>
      </c>
      <c r="C52" s="4"/>
    </row>
    <row r="53" spans="1:3" ht="24" customHeight="1">
      <c r="A53" s="2" t="str">
        <f ca="1">IFERROR(__xludf.DUMMYFUNCTION("""COMPUTED_VALUE"""),"आतपात्ययसंक्शिप्तनीवारासु निषादिभिः । मृगैर्वर्तितरोमन्थं उटजाङ्गनभूमिषु ||")</f>
        <v>आतपात्ययसंक्शिप्तनीवारासु निषादिभिः । मृगैर्वर्तितरोमन्थं उटजाङ्गनभूमिषु ||</v>
      </c>
      <c r="B53" s="4" t="s">
        <v>13</v>
      </c>
      <c r="C53" s="4"/>
    </row>
    <row r="54" spans="1:3" ht="24" customHeight="1">
      <c r="A54" s="2" t="str">
        <f ca="1">IFERROR(__xludf.DUMMYFUNCTION("""COMPUTED_VALUE"""),"अभ्युत्थिताग्निपिशुनैरतिथीनाश्रमोन्मुखान् । पुनानं पवनोद्धूतैर्धूमैराहुतिगन्धिभिः ||")</f>
        <v>अभ्युत्थिताग्निपिशुनैरतिथीनाश्रमोन्मुखान् । पुनानं पवनोद्धूतैर्धूमैराहुतिगन्धिभिः ||</v>
      </c>
      <c r="B54" s="4" t="s">
        <v>6</v>
      </c>
      <c r="C54" s="4"/>
    </row>
    <row r="55" spans="1:3" ht="24" customHeight="1">
      <c r="A55" s="2" t="str">
        <f ca="1">IFERROR(__xludf.DUMMYFUNCTION("""COMPUTED_VALUE"""),"अथ यन्तारमादिष्य धुर्यान्विश्रमयेति सः । तामवारोपयत्पत्नीं रथादवततार च ||")</f>
        <v>अथ यन्तारमादिष्य धुर्यान्विश्रमयेति सः । तामवारोपयत्पत्नीं रथादवततार च ||</v>
      </c>
      <c r="B55" s="4" t="s">
        <v>16</v>
      </c>
      <c r="C55" s="4"/>
    </row>
    <row r="56" spans="1:3" ht="24" customHeight="1">
      <c r="A56" s="2" t="str">
        <f ca="1">IFERROR(__xludf.DUMMYFUNCTION("""COMPUTED_VALUE"""),"तस्मै सभ्याः सभार्याय गोप्त्रे गुप्ततमेन्द्रियाः । अर्हणां अर्हते चक्रुर्मुनयो नयचक्षुषे ||")</f>
        <v>तस्मै सभ्याः सभार्याय गोप्त्रे गुप्ततमेन्द्रियाः । अर्हणां अर्हते चक्रुर्मुनयो नयचक्षुषे ||</v>
      </c>
      <c r="B56" s="4" t="s">
        <v>13</v>
      </c>
      <c r="C56" s="4"/>
    </row>
    <row r="57" spans="1:3" ht="24" customHeight="1">
      <c r="A57" s="2" t="str">
        <f ca="1">IFERROR(__xludf.DUMMYFUNCTION("""COMPUTED_VALUE"""),"विधेः सायन्तनस्यान्ते स ददर्श तपोनिधिं । अन्वासितं अरुन्धत्या स्वाहयेव हविर्भुजं ||")</f>
        <v>विधेः सायन्तनस्यान्ते स ददर्श तपोनिधिं । अन्वासितं अरुन्धत्या स्वाहयेव हविर्भुजं ||</v>
      </c>
      <c r="B57" s="4" t="s">
        <v>3</v>
      </c>
      <c r="C57" s="4"/>
    </row>
    <row r="58" spans="1:3" ht="24" customHeight="1">
      <c r="A58" s="2" t="str">
        <f ca="1">IFERROR(__xludf.DUMMYFUNCTION("""COMPUTED_VALUE"""),"तयोर्जगृहतुः पादान्राजा राज्ञी च मागधी । तौ गुरुर्गुरुपत्नी च प्रीत्या प्रतिननन्दतुः ||")</f>
        <v>तयोर्जगृहतुः पादान्राजा राज्ञी च मागधी । तौ गुरुर्गुरुपत्नी च प्रीत्या प्रतिननन्दतुः ||</v>
      </c>
      <c r="B58" s="4" t="s">
        <v>2</v>
      </c>
      <c r="C58" s="4"/>
    </row>
    <row r="59" spans="1:3" ht="24" customHeight="1">
      <c r="A59" s="2" t="str">
        <f ca="1">IFERROR(__xludf.DUMMYFUNCTION("""COMPUTED_VALUE"""),"तं आतिथ्यक्रियाशान्तरथक्षोभपरिश्रमं । पप्रच्छ कुशलं राज्ये राज्याश्रममुनिं मुनिः ||")</f>
        <v>तं आतिथ्यक्रियाशान्तरथक्षोभपरिश्रमं । पप्रच्छ कुशलं राज्ये राज्याश्रममुनिं मुनिः ||</v>
      </c>
      <c r="B59" s="4" t="s">
        <v>1</v>
      </c>
      <c r="C59" s="4"/>
    </row>
    <row r="60" spans="1:3" ht="24" customHeight="1">
      <c r="A60" s="2" t="str">
        <f ca="1">IFERROR(__xludf.DUMMYFUNCTION("""COMPUTED_VALUE"""),"अथाऽथर्वनिधेस्तस्य विजितारिपुरः पुरः । अर्थ्यामर्थपतिर्वाचमाददे वदतां वरः ||")</f>
        <v>अथाऽथर्वनिधेस्तस्य विजितारिपुरः पुरः । अर्थ्यामर्थपतिर्वाचमाददे वदतां वरः ||</v>
      </c>
      <c r="B60" s="4" t="s">
        <v>0</v>
      </c>
      <c r="C60" s="4"/>
    </row>
    <row r="61" spans="1:3" ht="24" customHeight="1">
      <c r="A61" s="2" t="str">
        <f ca="1">IFERROR(__xludf.DUMMYFUNCTION("""COMPUTED_VALUE"""),"उपपन्नं ननु शिवं सप्तस्वङ्गेषु यस्य मे । दैवीनां मानुषीणां च प्रतिहर्ता त्वं आपदां ||")</f>
        <v>उपपन्नं ननु शिवं सप्तस्वङ्गेषु यस्य मे । दैवीनां मानुषीणां च प्रतिहर्ता त्वं आपदां ||</v>
      </c>
      <c r="B61" s="4" t="s">
        <v>17</v>
      </c>
      <c r="C61" s="4"/>
    </row>
    <row r="62" spans="1:3" ht="24" customHeight="1">
      <c r="A62" s="2" t="str">
        <f ca="1">IFERROR(__xludf.DUMMYFUNCTION("""COMPUTED_VALUE"""),"तव मन्त्रकृतो मन्त्रैर्दूरात्प्रशमितारिभिः । प्रत्यादिश्यन्त इव मे दृष्टलक्ष्यभिदः शराः ||")</f>
        <v>तव मन्त्रकृतो मन्त्रैर्दूरात्प्रशमितारिभिः । प्रत्यादिश्यन्त इव मे दृष्टलक्ष्यभिदः शराः ||</v>
      </c>
      <c r="B62" s="4" t="s">
        <v>0</v>
      </c>
      <c r="C62" s="4"/>
    </row>
    <row r="63" spans="1:3" ht="24" customHeight="1">
      <c r="A63" s="2" t="str">
        <f ca="1">IFERROR(__xludf.DUMMYFUNCTION("""COMPUTED_VALUE"""),"हविरावर्जितं होतस्त्वया विधिवदग्निषु । वृष्टिर्भवति सस्यानां अवग्रहविशोषिणां ||")</f>
        <v>हविरावर्जितं होतस्त्वया विधिवदग्निषु । वृष्टिर्भवति सस्यानां अवग्रहविशोषिणां ||</v>
      </c>
      <c r="B63" s="4" t="s">
        <v>7</v>
      </c>
      <c r="C63" s="4"/>
    </row>
    <row r="64" spans="1:3" ht="24" customHeight="1">
      <c r="A64" s="2" t="str">
        <f ca="1">IFERROR(__xludf.DUMMYFUNCTION("""COMPUTED_VALUE"""),"पुरुषायुषजीविन्यो निरातङ्का निरीतयः । यन्मदीयाः प्रजास्तस्य हेतुस्त्वद्ब्रह्मवर्चसं ||")</f>
        <v>पुरुषायुषजीविन्यो निरातङ्का निरीतयः । यन्मदीयाः प्रजास्तस्य हेतुस्त्वद्ब्रह्मवर्चसं ||</v>
      </c>
      <c r="B64" s="4" t="s">
        <v>18</v>
      </c>
      <c r="C64" s="4"/>
    </row>
    <row r="65" spans="1:3" ht="24" customHeight="1">
      <c r="A65" s="2" t="str">
        <f ca="1">IFERROR(__xludf.DUMMYFUNCTION("""COMPUTED_VALUE"""),"त्वयैवं चिन्त्यमानस्य गुरुणा ब्रह्मयोनिना । सानुबन्धाः कथं न स्युः संपदो मे निरापदः ||")</f>
        <v>त्वयैवं चिन्त्यमानस्य गुरुणा ब्रह्मयोनिना । सानुबन्धाः कथं न स्युः संपदो मे निरापदः ||</v>
      </c>
      <c r="B65" s="4" t="s">
        <v>17</v>
      </c>
      <c r="C65" s="4"/>
    </row>
    <row r="66" spans="1:3" ht="24" customHeight="1">
      <c r="A66" s="2" t="str">
        <f ca="1">IFERROR(__xludf.DUMMYFUNCTION("""COMPUTED_VALUE"""),"किं तु वध्वां तवैतस्यां अदृष्टसदृशप्रजं । न मां अवति सद्वीपा रत्नसूरपि मेदिनी ||")</f>
        <v>किं तु वध्वां तवैतस्यां अदृष्टसदृशप्रजं । न मां अवति सद्वीपा रत्नसूरपि मेदिनी ||</v>
      </c>
      <c r="B66" s="4" t="s">
        <v>1</v>
      </c>
      <c r="C66" s="4"/>
    </row>
    <row r="67" spans="1:3" ht="24" customHeight="1">
      <c r="A67" s="2" t="str">
        <f ca="1">IFERROR(__xludf.DUMMYFUNCTION("""COMPUTED_VALUE"""),"नूनं मत्तः परं वंश्याः पिण्डविच्छेददर्शिनः । न प्रकामभुजः श्राद्धे स्वधासंग्रहतत्पराः ||")</f>
        <v>नूनं मत्तः परं वंश्याः पिण्डविच्छेददर्शिनः । न प्रकामभुजः श्राद्धे स्वधासंग्रहतत्पराः ||</v>
      </c>
      <c r="B67" s="4" t="s">
        <v>0</v>
      </c>
      <c r="C67" s="4"/>
    </row>
    <row r="68" spans="1:3" ht="24" customHeight="1">
      <c r="A68" s="2" t="str">
        <f ca="1">IFERROR(__xludf.DUMMYFUNCTION("""COMPUTED_VALUE"""),"मत्परं दुर्लभं मत्वा नूनं आवर्जितं मया । पयः पूर्वैः स्वनिःश्वासैः कवोष्णं उपभुज्यते ||")</f>
        <v>मत्परं दुर्लभं मत्वा नूनं आवर्जितं मया । पयः पूर्वैः स्वनिःश्वासैः कवोष्णं उपभुज्यते ||</v>
      </c>
      <c r="B68" s="4" t="s">
        <v>2</v>
      </c>
      <c r="C68" s="4"/>
    </row>
    <row r="69" spans="1:3" ht="24" customHeight="1">
      <c r="A69" s="2" t="str">
        <f ca="1">IFERROR(__xludf.DUMMYFUNCTION("""COMPUTED_VALUE"""),"सोऽहं इज्याविशुद्धात्मा प्रजालोपनिमीलितः । प्रकाशश्चाप्रकाशश्च लोकालोक इवाचलः ||")</f>
        <v>सोऽहं इज्याविशुद्धात्मा प्रजालोपनिमीलितः । प्रकाशश्चाप्रकाशश्च लोकालोक इवाचलः ||</v>
      </c>
      <c r="B69" s="4" t="s">
        <v>11</v>
      </c>
      <c r="C69" s="4"/>
    </row>
    <row r="70" spans="1:3" ht="24" customHeight="1">
      <c r="A70" s="2" t="str">
        <f ca="1">IFERROR(__xludf.DUMMYFUNCTION("""COMPUTED_VALUE"""),"लोकान्तरसुखं पुण्यं तपोदानसमुद्भवं । संततिः शुद्धवंश्या हि परत्रेह च शर्मणे ||")</f>
        <v>लोकान्तरसुखं पुण्यं तपोदानसमुद्भवं । संततिः शुद्धवंश्या हि परत्रेह च शर्मणे ||</v>
      </c>
      <c r="B70" s="4" t="s">
        <v>7</v>
      </c>
      <c r="C70" s="4"/>
    </row>
    <row r="71" spans="1:3" ht="24" customHeight="1">
      <c r="A71" s="2" t="str">
        <f ca="1">IFERROR(__xludf.DUMMYFUNCTION("""COMPUTED_VALUE"""),"तया हीनं विधातर्मां कथं पश्यन्न दूयसे । सिक्तं स्वयं इव स्नेहाद्वन्ध्यं आश्रमवृक्षकं ||")</f>
        <v>तया हीनं विधातर्मां कथं पश्यन्न दूयसे । सिक्तं स्वयं इव स्नेहाद्वन्ध्यं आश्रमवृक्षकं ||</v>
      </c>
      <c r="B71" s="4" t="s">
        <v>19</v>
      </c>
      <c r="C71" s="4"/>
    </row>
    <row r="72" spans="1:3" ht="24" customHeight="1">
      <c r="A72" s="2" t="str">
        <f ca="1">IFERROR(__xludf.DUMMYFUNCTION("""COMPUTED_VALUE"""),"असह्यपीडं भगवन्नृणमन्त्यमवेहि मे । अरुंतुदमिवालानमनिर्वाणस्य दन्तिनः ||")</f>
        <v>असह्यपीडं भगवन्नृणमन्त्यमवेहि मे । अरुंतुदमिवालानमनिर्वाणस्य दन्तिनः ||</v>
      </c>
      <c r="B72" s="4" t="s">
        <v>1</v>
      </c>
      <c r="C72" s="4"/>
    </row>
    <row r="73" spans="1:3" ht="24" customHeight="1">
      <c r="A73" s="2" t="str">
        <f ca="1">IFERROR(__xludf.DUMMYFUNCTION("""COMPUTED_VALUE"""),"तस्मान्मुच्ये यथा तात संविधातुं तथार्हसि । इक्ष्वाकूणां दुरापेऽर्थे त्वदधीना हि सिद्धयः ||")</f>
        <v>तस्मान्मुच्ये यथा तात संविधातुं तथार्हसि । इक्ष्वाकूणां दुरापेऽर्थे त्वदधीना हि सिद्धयः ||</v>
      </c>
      <c r="B73" s="4" t="s">
        <v>5</v>
      </c>
      <c r="C73" s="4"/>
    </row>
    <row r="74" spans="1:3" ht="24" customHeight="1">
      <c r="A74" s="2" t="str">
        <f ca="1">IFERROR(__xludf.DUMMYFUNCTION("""COMPUTED_VALUE"""),"इति विज्ञापितो राज्ञा ध्यानस्तिमितलोचनः । क्षणमात्रं ऋषिस्तस्थौ सुप्तमीन इव ह्रदः ||")</f>
        <v>इति विज्ञापितो राज्ञा ध्यानस्तिमितलोचनः । क्षणमात्रं ऋषिस्तस्थौ सुप्तमीन इव ह्रदः ||</v>
      </c>
      <c r="B74" s="4" t="s">
        <v>17</v>
      </c>
      <c r="C74" s="4"/>
    </row>
    <row r="75" spans="1:3" ht="24" customHeight="1">
      <c r="A75" s="2" t="str">
        <f ca="1">IFERROR(__xludf.DUMMYFUNCTION("""COMPUTED_VALUE"""),"सोऽपश्यत्प्रणिधानेन संततेः स्तम्भकारणं । भावितात्मा भुवो भर्तुरथैनं प्रत्यबोधयत् ||")</f>
        <v>सोऽपश्यत्प्रणिधानेन संततेः स्तम्भकारणं । भावितात्मा भुवो भर्तुरथैनं प्रत्यबोधयत् ||</v>
      </c>
      <c r="B75" s="4" t="s">
        <v>5</v>
      </c>
      <c r="C75" s="4"/>
    </row>
    <row r="76" spans="1:3" ht="24" customHeight="1">
      <c r="A76" s="2" t="str">
        <f ca="1">IFERROR(__xludf.DUMMYFUNCTION("""COMPUTED_VALUE"""),"पुरा शक्रमुपस्थाय तवोर्वीं प्रति यास्यतः । आसीत्कल्पतरुच्छायामाश्रिता सुरभिः पथि ||")</f>
        <v>पुरा शक्रमुपस्थाय तवोर्वीं प्रति यास्यतः । आसीत्कल्पतरुच्छायामाश्रिता सुरभिः पथि ||</v>
      </c>
      <c r="B76" s="4" t="s">
        <v>10</v>
      </c>
      <c r="C76" s="4"/>
    </row>
    <row r="77" spans="1:3" ht="24" customHeight="1">
      <c r="A77" s="2" t="str">
        <f ca="1">IFERROR(__xludf.DUMMYFUNCTION("""COMPUTED_VALUE"""),"धर्मलोपभयाद्राज्ञीं ऋतुस्नातां इमां स्मरन् । प्रदक्षिणक्रियार्हायां तस्यां त्वं साधु नाचरः ||")</f>
        <v>धर्मलोपभयाद्राज्ञीं ऋतुस्नातां इमां स्मरन् । प्रदक्षिणक्रियार्हायां तस्यां त्वं साधु नाचरः ||</v>
      </c>
      <c r="B77" s="4" t="s">
        <v>0</v>
      </c>
      <c r="C77" s="4"/>
    </row>
    <row r="78" spans="1:3" ht="24" customHeight="1">
      <c r="A78" s="2" t="str">
        <f ca="1">IFERROR(__xludf.DUMMYFUNCTION("""COMPUTED_VALUE"""),"अवजानासि मां यस्मादतस्ते न भविष्यति । मत्प्रसूतिमनाराध्य प्रजेति त्वां शशाप सा ||")</f>
        <v>अवजानासि मां यस्मादतस्ते न भविष्यति । मत्प्रसूतिमनाराध्य प्रजेति त्वां शशाप सा ||</v>
      </c>
      <c r="B78" s="4" t="s">
        <v>18</v>
      </c>
      <c r="C78" s="4"/>
    </row>
    <row r="79" spans="1:3" ht="24" customHeight="1">
      <c r="A79" s="2" t="str">
        <f ca="1">IFERROR(__xludf.DUMMYFUNCTION("""COMPUTED_VALUE"""),"स शापो न त्वया राजन्न च सारथिना श्रुतः । नदत्याकाशगङ्गायाः स्रोतस्युद्दामदिग्गजे ||")</f>
        <v>स शापो न त्वया राजन्न च सारथिना श्रुतः । नदत्याकाशगङ्गायाः स्रोतस्युद्दामदिग्गजे ||</v>
      </c>
      <c r="B79" s="4" t="s">
        <v>3</v>
      </c>
      <c r="C79" s="4"/>
    </row>
    <row r="80" spans="1:3" ht="24" customHeight="1">
      <c r="A80" s="2" t="str">
        <f ca="1">IFERROR(__xludf.DUMMYFUNCTION("""COMPUTED_VALUE"""),"ईप्सितं तदवज्ञानाद्विद्धि सार्गलमात्मनः । प्रतिबध्नाति हि श्रेयः पूज्यपूजाव्यतिक्रमः ||")</f>
        <v>ईप्सितं तदवज्ञानाद्विद्धि सार्गलमात्मनः । प्रतिबध्नाति हि श्रेयः पूज्यपूजाव्यतिक्रमः ||</v>
      </c>
      <c r="B80" s="4" t="s">
        <v>12</v>
      </c>
      <c r="C80" s="4"/>
    </row>
    <row r="81" spans="1:3" ht="24" customHeight="1">
      <c r="A81" s="2" t="str">
        <f ca="1">IFERROR(__xludf.DUMMYFUNCTION("""COMPUTED_VALUE"""),"हविषे दीर्घसत्रस्य सा चेदानीं प्रचेतसः । भुजंगपिहितद्वारं पातालमधितिष्ठति ||")</f>
        <v>हविषे दीर्घसत्रस्य सा चेदानीं प्रचेतसः । भुजंगपिहितद्वारं पातालमधितिष्ठति ||</v>
      </c>
      <c r="B81" s="4" t="s">
        <v>2</v>
      </c>
      <c r="C81" s="4"/>
    </row>
    <row r="82" spans="1:3" ht="24" customHeight="1">
      <c r="A82" s="2" t="str">
        <f ca="1">IFERROR(__xludf.DUMMYFUNCTION("""COMPUTED_VALUE"""),"सुतां तदीयां सुरभेः कृत्वा प्रतिनिधिं शुचिः । आराधय सपत्नीकः प्रीता कामदुघा हि सा ||")</f>
        <v>सुतां तदीयां सुरभेः कृत्वा प्रतिनिधिं शुचिः । आराधय सपत्नीकः प्रीता कामदुघा हि सा ||</v>
      </c>
      <c r="B82" s="4" t="s">
        <v>18</v>
      </c>
      <c r="C82" s="4"/>
    </row>
    <row r="83" spans="1:3" ht="24" customHeight="1">
      <c r="A83" s="2" t="str">
        <f ca="1">IFERROR(__xludf.DUMMYFUNCTION("""COMPUTED_VALUE"""),"इति वादिन एवास्य होतुराहुतिसाधनं । अनिन्द्या नन्दिनी नाम धेनुराववृते वनात् ||")</f>
        <v>इति वादिन एवास्य होतुराहुतिसाधनं । अनिन्द्या नन्दिनी नाम धेनुराववृते वनात् ||</v>
      </c>
      <c r="B83" s="4" t="s">
        <v>1</v>
      </c>
      <c r="C83" s="4"/>
    </row>
    <row r="84" spans="1:3" ht="24" customHeight="1">
      <c r="A84" s="2" t="str">
        <f ca="1">IFERROR(__xludf.DUMMYFUNCTION("""COMPUTED_VALUE"""),"ललाटोदयमाभुग्नं पल्लवस्निग्धपाटला । बिभ्रती श्वेतरोमाङ्कं संध्येव शशिनं नवं ||")</f>
        <v>ललाटोदयमाभुग्नं पल्लवस्निग्धपाटला । बिभ्रती श्वेतरोमाङ्कं संध्येव शशिनं नवं ||</v>
      </c>
      <c r="B84" s="4" t="s">
        <v>4</v>
      </c>
      <c r="C84" s="4"/>
    </row>
    <row r="85" spans="1:3" ht="24" customHeight="1">
      <c r="A85" s="2" t="str">
        <f ca="1">IFERROR(__xludf.DUMMYFUNCTION("""COMPUTED_VALUE"""),"भुवं कोष्णेन कुण्डोध्नी मेध्येनावभृथादपि । प्रस्नवेणाभिवर्षन्ती वत्सालोकप्रवर्तिना ||")</f>
        <v>भुवं कोष्णेन कुण्डोध्नी मेध्येनावभृथादपि । प्रस्नवेणाभिवर्षन्ती वत्सालोकप्रवर्तिना ||</v>
      </c>
      <c r="B85" s="4" t="s">
        <v>1</v>
      </c>
      <c r="C85" s="4"/>
    </row>
    <row r="86" spans="1:3" ht="24" customHeight="1">
      <c r="A86" s="2" t="str">
        <f ca="1">IFERROR(__xludf.DUMMYFUNCTION("""COMPUTED_VALUE"""),"रजःकणैः खुरोद्धूतैः स्पृशद्भिर्गात्रमन्तिकात् । तीर्थाभिषेकजां शुद्धिं आदधाना महीक्षितः ||")</f>
        <v>रजःकणैः खुरोद्धूतैः स्पृशद्भिर्गात्रमन्तिकात् । तीर्थाभिषेकजां शुद्धिं आदधाना महीक्षितः ||</v>
      </c>
      <c r="B86" s="4" t="s">
        <v>2</v>
      </c>
      <c r="C86" s="4"/>
    </row>
    <row r="87" spans="1:3" ht="24" customHeight="1">
      <c r="A87" s="2" t="str">
        <f ca="1">IFERROR(__xludf.DUMMYFUNCTION("""COMPUTED_VALUE"""),"तां पुण्यदर्शनां दृष्ट्वा निमित्तज्ञस्तपोनिधिः । याज्यमाशंसितावन्ध्यप्रार्थनं पुनरब्रवीत् ||")</f>
        <v>तां पुण्यदर्शनां दृष्ट्वा निमित्तज्ञस्तपोनिधिः । याज्यमाशंसितावन्ध्यप्रार्थनं पुनरब्रवीत् ||</v>
      </c>
      <c r="B87" s="4" t="s">
        <v>4</v>
      </c>
      <c r="C87" s="4"/>
    </row>
    <row r="88" spans="1:3" ht="24" customHeight="1">
      <c r="A88" s="2" t="str">
        <f ca="1">IFERROR(__xludf.DUMMYFUNCTION("""COMPUTED_VALUE"""),"अदूरवर्तिनीं सिद्धिं राजन्विगणयात्मनः । उपस्थितेयं कल्याणी नाम्नि कीर्तित एव यत् ||")</f>
        <v>अदूरवर्तिनीं सिद्धिं राजन्विगणयात्मनः । उपस्थितेयं कल्याणी नाम्नि कीर्तित एव यत् ||</v>
      </c>
      <c r="B88" s="4" t="s">
        <v>5</v>
      </c>
      <c r="C88" s="4"/>
    </row>
    <row r="89" spans="1:3" ht="24" customHeight="1">
      <c r="A89" s="2" t="str">
        <f ca="1">IFERROR(__xludf.DUMMYFUNCTION("""COMPUTED_VALUE"""),"वन्यवृत्तिरिमां शश्वद्(?) आत्मानुगमनेन गां । विद्यामभ्यसनेनेव प्रसादयितुमर्हसि ||")</f>
        <v>वन्यवृत्तिरिमां शश्वद्(?) आत्मानुगमनेन गां । विद्यामभ्यसनेनेव प्रसादयितुमर्हसि ||</v>
      </c>
      <c r="B89" s="4" t="s">
        <v>18</v>
      </c>
      <c r="C89" s="4"/>
    </row>
    <row r="90" spans="1:3" ht="24" customHeight="1">
      <c r="A90" s="2" t="str">
        <f ca="1">IFERROR(__xludf.DUMMYFUNCTION("""COMPUTED_VALUE"""),"प्रस्थितायां प्रतिष्ठेथाः स्थितायां स्थितिमाचरेः । निषण्णायां निषीदास्यां पीताम्भसि पिबेरपः ||")</f>
        <v>प्रस्थितायां प्रतिष्ठेथाः स्थितायां स्थितिमाचरेः । निषण्णायां निषीदास्यां पीताम्भसि पिबेरपः ||</v>
      </c>
      <c r="B90" s="4" t="s">
        <v>9</v>
      </c>
      <c r="C90" s="4"/>
    </row>
    <row r="91" spans="1:3" ht="24" customHeight="1">
      <c r="A91" s="2" t="str">
        <f ca="1">IFERROR(__xludf.DUMMYFUNCTION("""COMPUTED_VALUE"""),"वधूर्भक्तिमती चैनामर्चितां आ तपोवनात् । प्रयता प्रातरन्वेतु पितेव धुरि पुत्रिणां ||")</f>
        <v>वधूर्भक्तिमती चैनामर्चितां आ तपोवनात् । प्रयता प्रातरन्वेतु पितेव धुरि पुत्रिणां ||</v>
      </c>
      <c r="B91" s="4" t="s">
        <v>7</v>
      </c>
      <c r="C91" s="4"/>
    </row>
    <row r="92" spans="1:3" ht="24" customHeight="1">
      <c r="A92" s="2" t="str">
        <f ca="1">IFERROR(__xludf.DUMMYFUNCTION("""COMPUTED_VALUE"""),"इत्याप्रसादादस्यास्त्वं परिचर्यापरो भव । अविघ्नं अस्तु ते स्थेयाः सायं प्रतुद्व्रजेदपि ||")</f>
        <v>इत्याप्रसादादस्यास्त्वं परिचर्यापरो भव । अविघ्नं अस्तु ते स्थेयाः सायं प्रतुद्व्रजेदपि ||</v>
      </c>
      <c r="B92" s="4" t="s">
        <v>9</v>
      </c>
      <c r="C92" s="4"/>
    </row>
    <row r="93" spans="1:3" ht="24" customHeight="1">
      <c r="A93" s="2" t="str">
        <f ca="1">IFERROR(__xludf.DUMMYFUNCTION("""COMPUTED_VALUE"""),"तथेति प्रतिजग्राह प्रीतिमान्सपरिग्रहः । आदेशं देशकालज्ञः शिष्यः शासितुरानतः ||")</f>
        <v>तथेति प्रतिजग्राह प्रीतिमान्सपरिग्रहः । आदेशं देशकालज्ञः शिष्यः शासितुरानतः ||</v>
      </c>
      <c r="B93" s="4" t="s">
        <v>2</v>
      </c>
      <c r="C93" s="4"/>
    </row>
    <row r="94" spans="1:3" ht="24" customHeight="1">
      <c r="A94" s="2" t="str">
        <f ca="1">IFERROR(__xludf.DUMMYFUNCTION("""COMPUTED_VALUE"""),"अथ प्रदोषे दोषज्ञः संवेशाय विशांपतिं । सूनुः सूनृतवाक्स्रष्टुर्विससर्जोर्जित श्रियं ||")</f>
        <v>अथ प्रदोषे दोषज्ञः संवेशाय विशांपतिं । सूनुः सूनृतवाक्स्रष्टुर्विससर्जोर्जित श्रियं ||</v>
      </c>
      <c r="B94" s="4" t="s">
        <v>5</v>
      </c>
      <c r="C94" s="4"/>
    </row>
    <row r="95" spans="1:3" ht="24" customHeight="1">
      <c r="A95" s="2" t="str">
        <f ca="1">IFERROR(__xludf.DUMMYFUNCTION("""COMPUTED_VALUE"""),"सत्यां अपि तपःसिद्धौ नियमापेक्षया मुनिः । कल्पवित्कल्पयामास वन्यां एवास्य संविधां ||")</f>
        <v>सत्यां अपि तपःसिद्धौ नियमापेक्षया मुनिः । कल्पवित्कल्पयामास वन्यां एवास्य संविधां ||</v>
      </c>
      <c r="B95" s="4" t="s">
        <v>20</v>
      </c>
      <c r="C95" s="4"/>
    </row>
    <row r="96" spans="1:3" ht="24" customHeight="1">
      <c r="A96" s="2" t="str">
        <f ca="1">IFERROR(__xludf.DUMMYFUNCTION("""COMPUTED_VALUE"""),"निर्दिष्टां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||")</f>
        <v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||</v>
      </c>
      <c r="B96" s="4" t="s">
        <v>5</v>
      </c>
      <c r="C96" s="4"/>
    </row>
    <row r="97" spans="1:3" ht="24" customHeight="1">
      <c r="A97" s="2" t="str">
        <f ca="1">IFERROR(__xludf.DUMMYFUNCTION("""COMPUTED_VALUE"""),"अथ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||")</f>
        <v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||</v>
      </c>
      <c r="B97" s="4" t="s">
        <v>16</v>
      </c>
      <c r="C97" s="4"/>
    </row>
    <row r="98" spans="1:3" ht="24" customHeight="1">
      <c r="A98" s="2" t="str">
        <f ca="1">IFERROR(__xludf.DUMMYFUNCTION("""COMPUTED_VALUE"""),"तस्याः खुरन्यासपवित्रपांसुमपांसुलानां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||")</f>
        <v>तस्याः खुरन्यासपवित्रपांसुमपांसुलानां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||</v>
      </c>
      <c r="B98" s="4" t="s">
        <v>21</v>
      </c>
      <c r="C98" s="4"/>
    </row>
    <row r="99" spans="1:3" ht="24" customHeight="1">
      <c r="A99" s="2" t="str">
        <f ca="1">IFERROR(__xludf.DUMMYFUNCTION("""COMPUTED_VALUE"""),"निवर्त्य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||")</f>
        <v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||</v>
      </c>
      <c r="B99" s="4" t="s">
        <v>4</v>
      </c>
      <c r="C99" s="4"/>
    </row>
    <row r="100" spans="1:3" ht="24" customHeight="1">
      <c r="A100" s="2" t="str">
        <f ca="1">IFERROR(__xludf.DUMMYFUNCTION("""COMPUTED_VALUE"""),"व्रताय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||")</f>
        <v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||</v>
      </c>
      <c r="B100" s="4" t="s">
        <v>2</v>
      </c>
      <c r="C100" s="4"/>
    </row>
    <row r="101" spans="1:3" ht="24" customHeight="1">
      <c r="A101" s="2" t="str">
        <f ca="1">IFERROR(__xludf.DUMMYFUNCTION("""COMPUTED_VALUE"""),"आस्वादवद्भिः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||")</f>
        <v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||</v>
      </c>
      <c r="B101" s="4" t="s">
        <v>6</v>
      </c>
      <c r="C101" s="4"/>
    </row>
    <row r="102" spans="1:3" ht="24" customHeight="1">
      <c r="A102" s="2" t="str">
        <f ca="1">IFERROR(__xludf.DUMMYFUNCTION("""COMPUTED_VALUE"""),"स्थितः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||")</f>
        <v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||</v>
      </c>
      <c r="B102" s="4" t="s">
        <v>21</v>
      </c>
      <c r="C102" s="4"/>
    </row>
    <row r="103" spans="1:3" ht="24" customHeight="1">
      <c r="A103" s="2" t="str">
        <f ca="1">IFERROR(__xludf.DUMMYFUNCTION("""COMPUTED_VALUE"""),"स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||")</f>
        <v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||</v>
      </c>
      <c r="B103" s="4" t="s">
        <v>0</v>
      </c>
      <c r="C103" s="4"/>
    </row>
    <row r="104" spans="1:3" ht="24" customHeight="1">
      <c r="A104" s="2" t="str">
        <f ca="1">IFERROR(__xludf.DUMMYFUNCTION("""COMPUTED_VALUE"""),"लताप्रतानोद्ग्रथितैः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||")</f>
        <v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||</v>
      </c>
      <c r="B104" s="4" t="s">
        <v>4</v>
      </c>
      <c r="C104" s="4"/>
    </row>
    <row r="105" spans="1:3" ht="24" customHeight="1">
      <c r="A105" s="2" t="str">
        <f ca="1">IFERROR(__xludf.DUMMYFUNCTION("""COMPUTED_VALUE"""),"विसृष्टपार्श्वानुचरस्य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||")</f>
        <v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||</v>
      </c>
      <c r="B105" s="4" t="s">
        <v>4</v>
      </c>
      <c r="C105" s="4"/>
    </row>
    <row r="106" spans="1:3" ht="24" customHeight="1">
      <c r="A106" s="2" t="str">
        <f ca="1">IFERROR(__xludf.DUMMYFUNCTION("""COMPUTED_VALUE"""),"मरुत्प्रयुक्ताश्च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||")</f>
        <v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||</v>
      </c>
      <c r="B106" s="4" t="s">
        <v>5</v>
      </c>
      <c r="C106" s="4"/>
    </row>
    <row r="107" spans="1:3" ht="24" customHeight="1">
      <c r="A107" s="2" t="str">
        <f ca="1">IFERROR(__xludf.DUMMYFUNCTION("""COMPUTED_VALUE"""),"धनुर्भृतोऽप्यस्य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||")</f>
        <v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||</v>
      </c>
      <c r="B107" s="4" t="s">
        <v>5</v>
      </c>
      <c r="C107" s="4"/>
    </row>
    <row r="108" spans="1:3" ht="24" customHeight="1">
      <c r="A108" s="2" t="str">
        <f ca="1">IFERROR(__xludf.DUMMYFUNCTION("""COMPUTED_VALUE"""),"स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||")</f>
        <v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||</v>
      </c>
      <c r="B108" s="4" t="s">
        <v>6</v>
      </c>
      <c r="C108" s="4"/>
    </row>
    <row r="109" spans="1:3" ht="24" customHeight="1">
      <c r="A109" s="2" t="str">
        <f ca="1">IFERROR(__xludf.DUMMYFUNCTION("""COMPUTED_VALUE"""),"पृक्तस्तुषारैर्गिरिनिर्झराणामनोकहाकम्पितपुष्पगन्धी । तमातपक्लान्तमनातपत्रमाचारपूतं पवनस्सिषेवे ||")</f>
        <v>पृक्तस्तुषारैर्गिरिनिर्झराणामनोकहाकम्पितपुष्पगन्धी । तमातपक्लान्तमनातपत्रमाचारपूतं पवनस्सिषेवे ||</v>
      </c>
      <c r="B109" s="4" t="s">
        <v>4</v>
      </c>
      <c r="C109" s="4"/>
    </row>
    <row r="110" spans="1:3" ht="24" customHeight="1">
      <c r="A110" s="2" t="str">
        <f ca="1">IFERROR(__xludf.DUMMYFUNCTION("""COMPUTED_VALUE"""),"शशाम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||")</f>
        <v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||</v>
      </c>
      <c r="B110" s="4" t="s">
        <v>1</v>
      </c>
      <c r="C110" s="4"/>
    </row>
    <row r="111" spans="1:3" ht="24" customHeight="1">
      <c r="A111" s="2" t="str">
        <f ca="1">IFERROR(__xludf.DUMMYFUNCTION("""COMPUTED_VALUE"""),"सञ्चारपूतानि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||")</f>
        <v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||</v>
      </c>
      <c r="B111" s="4" t="s">
        <v>1</v>
      </c>
      <c r="C111" s="4"/>
    </row>
    <row r="112" spans="1:3" ht="24" customHeight="1">
      <c r="A112" s="2" t="str">
        <f ca="1">IFERROR(__xludf.DUMMYFUNCTION("""COMPUTED_VALUE"""),"तां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||")</f>
        <v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||</v>
      </c>
      <c r="B112" s="4" t="s">
        <v>1</v>
      </c>
      <c r="C112" s="4"/>
    </row>
    <row r="113" spans="1:3" ht="24" customHeight="1">
      <c r="A113" s="2" t="str">
        <f ca="1">IFERROR(__xludf.DUMMYFUNCTION("""COMPUTED_VALUE"""),"स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||")</f>
        <v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||</v>
      </c>
      <c r="B113" s="4" t="s">
        <v>5</v>
      </c>
      <c r="C113" s="4"/>
    </row>
    <row r="114" spans="1:3" ht="24" customHeight="1">
      <c r="A114" s="2" t="str">
        <f ca="1">IFERROR(__xludf.DUMMYFUNCTION("""COMPUTED_VALUE"""),"आपीनभारोद्वहनप्रयत्नाद्गृष्टिर्गुरुत्वाद्वपुषो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||")</f>
        <v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||</v>
      </c>
      <c r="B114" s="4" t="s">
        <v>5</v>
      </c>
      <c r="C114" s="4"/>
    </row>
    <row r="115" spans="1:3" ht="24" customHeight="1">
      <c r="A115" s="2" t="str">
        <f ca="1">IFERROR(__xludf.DUMMYFUNCTION("""COMPUTED_VALUE"""),"वसिष्ठधेनोरनुयायिनं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||")</f>
        <v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||</v>
      </c>
      <c r="B115" s="4" t="s">
        <v>5</v>
      </c>
      <c r="C115" s="4"/>
    </row>
    <row r="116" spans="1:3" ht="24" customHeight="1">
      <c r="A116" s="2" t="str">
        <f ca="1">IFERROR(__xludf.DUMMYFUNCTION("""COMPUTED_VALUE"""),"पुरस्कृता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||")</f>
        <v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||</v>
      </c>
      <c r="B116" s="4" t="s">
        <v>5</v>
      </c>
      <c r="C116" s="4"/>
    </row>
    <row r="117" spans="1:3" ht="24" customHeight="1">
      <c r="A117" s="2" t="str">
        <f ca="1">IFERROR(__xludf.DUMMYFUNCTION("""COMPUTED_VALUE"""),"प्रदक्षिणीकृत्य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||")</f>
        <v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||</v>
      </c>
      <c r="B117" s="4" t="s">
        <v>20</v>
      </c>
      <c r="C117" s="4"/>
    </row>
    <row r="118" spans="1:3" ht="24" customHeight="1">
      <c r="A118" s="2" t="str">
        <f ca="1">IFERROR(__xludf.DUMMYFUNCTION("""COMPUTED_VALUE"""),"वत्सोत्सुकापि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||")</f>
        <v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||</v>
      </c>
      <c r="B118" s="4" t="s">
        <v>1</v>
      </c>
      <c r="C118" s="4"/>
    </row>
    <row r="119" spans="1:3" ht="24" customHeight="1">
      <c r="A119" s="2" t="str">
        <f ca="1">IFERROR(__xludf.DUMMYFUNCTION("""COMPUTED_VALUE"""),"गुरोः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||")</f>
        <v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||</v>
      </c>
      <c r="B119" s="4" t="s">
        <v>7</v>
      </c>
      <c r="C119" s="4"/>
    </row>
    <row r="120" spans="1:3" ht="24" customHeight="1">
      <c r="A120" s="2" t="str">
        <f ca="1">IFERROR(__xludf.DUMMYFUNCTION("""COMPUTED_VALUE"""),"तामन्तिकन्यस्तबलिप्रदीपामन्वास्य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||")</f>
        <v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||</v>
      </c>
      <c r="B120" s="4" t="s">
        <v>22</v>
      </c>
      <c r="C120" s="4"/>
    </row>
    <row r="121" spans="1:3" ht="24" customHeight="1">
      <c r="A121" s="2" t="str">
        <f ca="1">IFERROR(__xludf.DUMMYFUNCTION("""COMPUTED_VALUE"""),"इत्थं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||")</f>
        <v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||</v>
      </c>
      <c r="B121" s="4" t="s">
        <v>5</v>
      </c>
      <c r="C121" s="4"/>
    </row>
    <row r="122" spans="1:3" ht="24" customHeight="1">
      <c r="A122" s="2" t="str">
        <f ca="1">IFERROR(__xludf.DUMMYFUNCTION("""COMPUTED_VALUE"""),"अन्येद्युरात्मानुचरस्य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||")</f>
        <v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||</v>
      </c>
      <c r="B122" s="4" t="s">
        <v>8</v>
      </c>
      <c r="C122" s="4"/>
    </row>
    <row r="123" spans="1:3" ht="24" customHeight="1">
      <c r="A123" s="2" t="str">
        <f ca="1">IFERROR(__xludf.DUMMYFUNCTION("""COMPUTED_VALUE"""),"सा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||")</f>
        <v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||</v>
      </c>
      <c r="B123" s="4" t="s">
        <v>13</v>
      </c>
      <c r="C123" s="4"/>
    </row>
    <row r="124" spans="1:3" ht="24" customHeight="1">
      <c r="A124" s="2" t="str">
        <f ca="1">IFERROR(__xludf.DUMMYFUNCTION("""COMPUTED_VALUE"""),"तदीयमाक्रन्दितमार्तसाधोर्गुहानिबद्धप्रतिशब्ददीर्घम्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||")</f>
        <v>तदीयमाक्रन्दितमार्तसाधोर्गुहानिबद्धप्रतिशब्ददीर्घम्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||</v>
      </c>
      <c r="B124" s="4" t="s">
        <v>23</v>
      </c>
      <c r="C124" s="4"/>
    </row>
    <row r="125" spans="1:3" ht="24" customHeight="1">
      <c r="A125" s="2" t="str">
        <f ca="1">IFERROR(__xludf.DUMMYFUNCTION("""COMPUTED_VALUE"""),"स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||")</f>
        <v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||</v>
      </c>
      <c r="B125" s="4" t="s">
        <v>11</v>
      </c>
      <c r="C125" s="4"/>
    </row>
    <row r="126" spans="1:3" ht="24" customHeight="1">
      <c r="A126" s="2" t="str">
        <f ca="1">IFERROR(__xludf.DUMMYFUNCTION("""COMPUTED_VALUE"""),"ततो मृगेन्द्रस्य मृगेन्द्रगामी वधाय वध्यस्य शरं शरण्यः । जाताभिषङ्गो नृपतिर्निषङ्गादुद्धर्तुं ऐच्छत्प्रसभोद्धृतारिः ||")</f>
        <v>ततो मृगेन्द्रस्य मृगेन्द्रगामी वधाय वध्यस्य शरं शरण्यः । जाताभिषङ्गो नृपतिर्निषङ्गादुद्धर्तुं ऐच्छत्प्रसभोद्धृतारिः ||</v>
      </c>
      <c r="B126" s="4" t="s">
        <v>0</v>
      </c>
      <c r="C126" s="4"/>
    </row>
    <row r="127" spans="1:3" ht="24" customHeight="1">
      <c r="A127" s="2" t="str">
        <f ca="1">IFERROR(__xludf.DUMMYFUNCTION("""COMPUTED_VALUE"""),"वामेतरस्तस्य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||")</f>
        <v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||</v>
      </c>
      <c r="B127" s="4" t="s">
        <v>10</v>
      </c>
      <c r="C127" s="4"/>
    </row>
    <row r="128" spans="1:3" ht="24" customHeight="1">
      <c r="A128" s="2" t="str">
        <f ca="1">IFERROR(__xludf.DUMMYFUNCTION("""COMPUTED_VALUE"""),"बाहुप्रतिष्टम्भविवृद्धमन्युरभ्यर्णम्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||")</f>
        <v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||</v>
      </c>
      <c r="B128" s="4" t="s">
        <v>5</v>
      </c>
      <c r="C128" s="4"/>
    </row>
    <row r="129" spans="1:3" ht="24" customHeight="1">
      <c r="A129" s="2" t="str">
        <f ca="1">IFERROR(__xludf.DUMMYFUNCTION("""COMPUTED_VALUE"""),"तम् आर्यगृह्यं निगृहीतधेनुर्मनुष्यवाचा मनुवंशकेतुं । विस्माययन्विस्मितम् आत्मवृत्तौ सिंहोरुसत्त्वं निजगाद सिंहः ||")</f>
        <v>तम् आर्यगृह्यं निगृहीतधेनुर्मनुष्यवाचा मनुवंशकेतुं । विस्माययन्विस्मितम् आत्मवृत्तौ सिंहोरुसत्त्वं निजगाद सिंहः ||</v>
      </c>
      <c r="B129" s="4" t="s">
        <v>24</v>
      </c>
      <c r="C129" s="4"/>
    </row>
    <row r="130" spans="1:3" ht="24" customHeight="1">
      <c r="A130" s="2" t="str">
        <f ca="1">IFERROR(__xludf.DUMMYFUNCTION("""COMPUTED_VALUE"""),"अलं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||")</f>
        <v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||</v>
      </c>
      <c r="B130" s="4" t="s">
        <v>5</v>
      </c>
      <c r="C130" s="4"/>
    </row>
    <row r="131" spans="1:3" ht="24" customHeight="1">
      <c r="A131" s="2" t="str">
        <f ca="1">IFERROR(__xludf.DUMMYFUNCTION("""COMPUTED_VALUE"""),"कैलासगौरं वृषं आरुरुक्षोः पादार्पणानुग्रहपूतपृष्टं । अवेहि मां किंकरं अष्टमूर्तेः कुम्भोदरं नाम निकुम्भमित्रम् ||")</f>
        <v>कैलासगौरं वृषं आरुरुक्षोः पादार्पणानुग्रहपूतपृष्टं । अवेहि मां किंकरं अष्टमूर्तेः कुम्भोदरं नाम निकुम्भमित्रम् ||</v>
      </c>
      <c r="B131" s="4" t="s">
        <v>0</v>
      </c>
      <c r="C131" s="4"/>
    </row>
    <row r="132" spans="1:3" ht="24" customHeight="1">
      <c r="A132" s="2" t="str">
        <f ca="1">IFERROR(__xludf.DUMMYFUNCTION("""COMPUTED_VALUE"""),"अमुं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||")</f>
        <v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||</v>
      </c>
      <c r="B132" s="4" t="s">
        <v>25</v>
      </c>
      <c r="C132" s="4"/>
    </row>
    <row r="133" spans="1:3" ht="24" customHeight="1">
      <c r="A133" s="2" t="str">
        <f ca="1">IFERROR(__xludf.DUMMYFUNCTION("""COMPUTED_VALUE"""),"कण्डूयमानेन कटं कदाचिद्वन्यद्विपेनोन्मथिता त्वगस्य । अथैनं अद्रेस्तनया शुशोच सेनान्यं आलीढं इवासुरास्त्रैः ||")</f>
        <v>कण्डूयमानेन कटं कदाचिद्वन्यद्विपेनोन्मथिता त्वगस्य । अथैनं अद्रेस्तनया शुशोच सेनान्यं आलीढं इवासुरास्त्रैः ||</v>
      </c>
      <c r="B133" s="4" t="s">
        <v>0</v>
      </c>
      <c r="C133" s="4"/>
    </row>
    <row r="134" spans="1:3" ht="24" customHeight="1">
      <c r="A134" s="2" t="str">
        <f ca="1">IFERROR(__xludf.DUMMYFUNCTION("""COMPUTED_VALUE"""),"तदा प्रभृत्येव वनद्विपानां त्रासार्थम् अस्मिन्नहम् अद्रिकुक्षौ । व्यापारितः शूलभृता विधाय सिंहत्वं अङ्कागतसत्त्ववृत्ति ||")</f>
        <v>तदा प्रभृत्येव वनद्विपानां त्रासार्थम् अस्मिन्नहम् अद्रिकुक्षौ । व्यापारितः शूलभृता विधाय सिंहत्वं अङ्कागतसत्त्ववृत्ति ||</v>
      </c>
      <c r="B134" s="4" t="s">
        <v>2</v>
      </c>
      <c r="C134" s="4"/>
    </row>
    <row r="135" spans="1:3" ht="24" customHeight="1">
      <c r="A135" s="2" t="str">
        <f ca="1">IFERROR(__xludf.DUMMYFUNCTION("""COMPUTED_VALUE"""),"तस्यालं एषा क्षुधितस्य तृप्त्यै प्रदिष्टकाला परमेश्वरेण । उपस्थिता शोणितपारणा मे सुरद्विषश्चान्द्रमसी सुधेव ||")</f>
        <v>तस्यालं एषा क्षुधितस्य तृप्त्यै प्रदिष्टकाला परमेश्वरेण । उपस्थिता शोणितपारणा मे सुरद्विषश्चान्द्रमसी सुधेव ||</v>
      </c>
      <c r="B135" s="4" t="s">
        <v>4</v>
      </c>
      <c r="C135" s="4"/>
    </row>
    <row r="136" spans="1:3" ht="24" customHeight="1">
      <c r="A136" s="2" t="str">
        <f ca="1">IFERROR(__xludf.DUMMYFUNCTION("""COMPUTED_VALUE"""),"स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||")</f>
        <v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||</v>
      </c>
      <c r="B136" s="4" t="s">
        <v>2</v>
      </c>
      <c r="C136" s="4"/>
    </row>
    <row r="137" spans="1:3" ht="24" customHeight="1">
      <c r="A137" s="2" t="str">
        <f ca="1">IFERROR(__xludf.DUMMYFUNCTION("""COMPUTED_VALUE"""),"इति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||")</f>
        <v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||</v>
      </c>
      <c r="B137" s="4" t="s">
        <v>0</v>
      </c>
      <c r="C137" s="4"/>
    </row>
    <row r="138" spans="1:3" ht="24" customHeight="1">
      <c r="A138" s="2" t="str">
        <f ca="1">IFERROR(__xludf.DUMMYFUNCTION("""COMPUTED_VALUE"""),"प्रत्यब्रवीच्चैनं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||")</f>
        <v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||</v>
      </c>
      <c r="B138" s="4" t="s">
        <v>7</v>
      </c>
      <c r="C138" s="4"/>
    </row>
    <row r="139" spans="1:3" ht="24" customHeight="1">
      <c r="A139" s="2" t="str">
        <f ca="1">IFERROR(__xludf.DUMMYFUNCTION("""COMPUTED_VALUE"""),"प्रत्याह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||")</f>
        <v>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||</v>
      </c>
      <c r="B139" s="4" t="s">
        <v>1</v>
      </c>
      <c r="C139" s="4"/>
    </row>
    <row r="140" spans="1:3" ht="24" customHeight="1">
      <c r="A140" s="2" t="str">
        <f ca="1">IFERROR(__xludf.DUMMYFUNCTION("""COMPUTED_VALUE"""),"संरुद्धचेष्टस्य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||")</f>
        <v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||</v>
      </c>
      <c r="B140" s="4" t="s">
        <v>5</v>
      </c>
      <c r="C140" s="4"/>
    </row>
    <row r="141" spans="1:3" ht="24" customHeight="1">
      <c r="A141" s="2" t="str">
        <f ca="1">IFERROR(__xludf.DUMMYFUNCTION("""COMPUTED_VALUE"""),"मान्यः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||")</f>
        <v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||</v>
      </c>
      <c r="B141" s="4" t="s">
        <v>5</v>
      </c>
      <c r="C141" s="4"/>
    </row>
    <row r="142" spans="1:3" ht="24" customHeight="1">
      <c r="A142" s="2" t="str">
        <f ca="1">IFERROR(__xludf.DUMMYFUNCTION("""COMPUTED_VALUE"""),"स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||")</f>
        <v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||</v>
      </c>
      <c r="B142" s="4" t="s">
        <v>13</v>
      </c>
      <c r="C142" s="4"/>
    </row>
    <row r="143" spans="1:3" ht="24" customHeight="1">
      <c r="A143" s="2" t="str">
        <f ca="1">IFERROR(__xludf.DUMMYFUNCTION("""COMPUTED_VALUE"""),"अथान्धकारं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||")</f>
        <v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||</v>
      </c>
      <c r="B143" s="4" t="s">
        <v>13</v>
      </c>
      <c r="C143" s="4"/>
    </row>
    <row r="144" spans="1:3" ht="24" customHeight="1">
      <c r="A144" s="2" t="str">
        <f ca="1">IFERROR(__xludf.DUMMYFUNCTION("""COMPUTED_VALUE"""),"एकातपत्रं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||")</f>
        <v>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||</v>
      </c>
      <c r="B144" s="4" t="s">
        <v>4</v>
      </c>
      <c r="C144" s="4"/>
    </row>
    <row r="145" spans="1:3" ht="24" customHeight="1">
      <c r="A145" s="2" t="str">
        <f ca="1">IFERROR(__xludf.DUMMYFUNCTION("""COMPUTED_VALUE"""),"भूतानुकम्पा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||")</f>
        <v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||</v>
      </c>
      <c r="B145" s="4" t="s">
        <v>18</v>
      </c>
      <c r="C145" s="4"/>
    </row>
    <row r="146" spans="1:3" ht="24" customHeight="1">
      <c r="A146" s="2" t="str">
        <f ca="1">IFERROR(__xludf.DUMMYFUNCTION("""COMPUTED_VALUE"""),"अथैकधेनोरपराधचण्डाद्गुरोः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||")</f>
        <v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||</v>
      </c>
      <c r="B146" s="4" t="s">
        <v>1</v>
      </c>
      <c r="C146" s="4"/>
    </row>
    <row r="147" spans="1:3" ht="24" customHeight="1">
      <c r="A147" s="2" t="str">
        <f ca="1">IFERROR(__xludf.DUMMYFUNCTION("""COMPUTED_VALUE"""),"तद्रक्ष कल्याणपरंपराणां भोक्तारं ऊर्जस्वलं आत्मदेहं । महीतलस्पर्शनमात्रभिन्नं ऋद्धं हि राज्यं पदं ऐन्द्रं आहुः ||")</f>
        <v>तद्रक्ष कल्याणपरंपराणां भोक्तारं ऊर्जस्वलं आत्मदेहं । महीतलस्पर्शनमात्रभिन्नं ऋद्धं हि राज्यं पदं ऐन्द्रं आहुः ||</v>
      </c>
      <c r="B147" s="4" t="s">
        <v>24</v>
      </c>
      <c r="C147" s="4"/>
    </row>
    <row r="148" spans="1:3" ht="24" customHeight="1">
      <c r="A148" s="2" t="str">
        <f ca="1">IFERROR(__xludf.DUMMYFUNCTION("""COMPUTED_VALUE"""),"एतावदुक्त्वा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||")</f>
        <v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||</v>
      </c>
      <c r="B148" s="4" t="s">
        <v>4</v>
      </c>
      <c r="C148" s="4"/>
    </row>
    <row r="149" spans="1:3" ht="24" customHeight="1">
      <c r="A149" s="2" t="str">
        <f ca="1">IFERROR(__xludf.DUMMYFUNCTION("""COMPUTED_VALUE"""),"निशम्य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||")</f>
        <v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||</v>
      </c>
      <c r="B149" s="4" t="s">
        <v>11</v>
      </c>
      <c r="C149" s="4"/>
    </row>
    <row r="150" spans="1:3" ht="24" customHeight="1">
      <c r="A150" s="2" t="str">
        <f ca="1">IFERROR(__xludf.DUMMYFUNCTION("""COMPUTED_VALUE"""),"क्षतात्किल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||")</f>
        <v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||</v>
      </c>
      <c r="B150" s="4" t="s">
        <v>4</v>
      </c>
      <c r="C150" s="4"/>
    </row>
    <row r="151" spans="1:3" ht="24" customHeight="1">
      <c r="A151" s="2" t="str">
        <f ca="1">IFERROR(__xludf.DUMMYFUNCTION("""COMPUTED_VALUE"""),"कथं नु शक्योऽनुनयो महर्षेर्विश्राणनाच्चान्यपयस्विनीनां । इमां अनूनां सुरभेरवेहि रुद्रौजसा तु प्रहृतं त्वयास्याम् ||")</f>
        <v>कथं नु शक्योऽनुनयो महर्षेर्विश्राणनाच्चान्यपयस्विनीनां । इमां अनूनां सुरभेरवेहि रुद्रौजसा तु प्रहृतं त्वयास्याम् ||</v>
      </c>
      <c r="B151" s="4" t="s">
        <v>5</v>
      </c>
      <c r="C151" s="4"/>
    </row>
    <row r="152" spans="1:3" ht="24" customHeight="1">
      <c r="A152" s="2" t="str">
        <f ca="1">IFERROR(__xludf.DUMMYFUNCTION("""COMPUTED_VALUE"""),"सेयं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||")</f>
        <v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||</v>
      </c>
      <c r="B152" s="4" t="s">
        <v>10</v>
      </c>
      <c r="C152" s="4"/>
    </row>
    <row r="153" spans="1:3" ht="24" customHeight="1">
      <c r="A153" s="2" t="str">
        <f ca="1">IFERROR(__xludf.DUMMYFUNCTION("""COMPUTED_VALUE"""),"भवानपीदं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||")</f>
        <v>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||</v>
      </c>
      <c r="B153" s="4" t="s">
        <v>1</v>
      </c>
      <c r="C153" s="4"/>
    </row>
    <row r="154" spans="1:3" ht="24" customHeight="1">
      <c r="A154" s="2" t="str">
        <f ca="1">IFERROR(__xludf.DUMMYFUNCTION("""COMPUTED_VALUE"""),"किं अप्यहिंस्यस्तव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||")</f>
        <v>किं अप्यहिंस्यस्तव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||</v>
      </c>
      <c r="B154" s="4" t="s">
        <v>13</v>
      </c>
      <c r="C154" s="4"/>
    </row>
    <row r="155" spans="1:3" ht="24" customHeight="1">
      <c r="A155" s="2" t="str">
        <f ca="1">IFERROR(__xludf.DUMMYFUNCTION("""COMPUTED_VALUE"""),"संबन्धं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||")</f>
        <v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||</v>
      </c>
      <c r="B155" s="4" t="s">
        <v>2</v>
      </c>
      <c r="C155" s="4"/>
    </row>
    <row r="156" spans="1:3" ht="24" customHeight="1">
      <c r="A156" s="2" t="str">
        <f ca="1">IFERROR(__xludf.DUMMYFUNCTION("""COMPUTED_VALUE"""),"तथेति गां उक्तवते दिलीपः सद्यः प्रतिष्टम्भविमुक्तबाहुः । स न्यस्त शस्त्रो हरये स्वदेहं उपानयत्पिण्डं इवामिषस्य ||")</f>
        <v>तथेति गां उक्तवते दिलीपः सद्यः प्रतिष्टम्भविमुक्तबाहुः । स न्यस्त शस्त्रो हरये स्वदेहं उपानयत्पिण्डं इवामिषस्य ||</v>
      </c>
      <c r="B156" s="4" t="s">
        <v>5</v>
      </c>
      <c r="C156" s="4"/>
    </row>
    <row r="157" spans="1:3" ht="24" customHeight="1">
      <c r="A157" s="2" t="str">
        <f ca="1">IFERROR(__xludf.DUMMYFUNCTION("""COMPUTED_VALUE"""),"तस्मिन्क्षणे पालयितुः प्रजानां उत्पश्यतः सिंहनिपातं उग्रं । अवाङ्मुखस्य्ऽओपरि पुष्पवृष्टिः पपात विद्याधरहस्तमुक्ता ||")</f>
        <v>तस्मिन्क्षणे पालयितुः प्रजानां उत्पश्यतः सिंहनिपातं उग्रं । अवाङ्मुखस्य्ऽओपरि पुष्पवृष्टिः पपात विद्याधरहस्तमुक्ता ||</v>
      </c>
      <c r="B157" s="4" t="s">
        <v>2</v>
      </c>
      <c r="C157" s="4"/>
    </row>
    <row r="158" spans="1:3" ht="24" customHeight="1">
      <c r="A158" s="2" t="str">
        <f ca="1">IFERROR(__xludf.DUMMYFUNCTION("""COMPUTED_VALUE"""),"उत्तिष्ठ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||")</f>
        <v>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||</v>
      </c>
      <c r="B158" s="4" t="s">
        <v>24</v>
      </c>
      <c r="C158" s="4"/>
    </row>
    <row r="159" spans="1:3" ht="24" customHeight="1">
      <c r="A159" s="2" t="str">
        <f ca="1">IFERROR(__xludf.DUMMYFUNCTION("""COMPUTED_VALUE"""),"तं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किं उतान्यहिंस्राः ||")</f>
        <v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किं उतान्यहिंस्राः ||</v>
      </c>
      <c r="B159" s="4" t="s">
        <v>0</v>
      </c>
      <c r="C159" s="4"/>
    </row>
    <row r="160" spans="1:3" ht="24" customHeight="1">
      <c r="A160" s="2" t="str">
        <f ca="1">IFERROR(__xludf.DUMMYFUNCTION("""COMPUTED_VALUE"""),"भक्त्या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||")</f>
        <v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||</v>
      </c>
      <c r="B160" s="4" t="s">
        <v>1</v>
      </c>
      <c r="C160" s="4"/>
    </row>
    <row r="161" spans="1:3" ht="24" customHeight="1">
      <c r="A161" s="2" t="str">
        <f ca="1">IFERROR(__xludf.DUMMYFUNCTION("""COMPUTED_VALUE"""),"ततः समानीय स मानितार्थी हस्तौ स्वहस्तार्जितवीरशब्दः । वंशस्य कर्तारं अनन्तकीर्तिं सुदक्षिणायां तनयं ययाचे ||")</f>
        <v>ततः समानीय स मानितार्थी हस्तौ स्वहस्तार्जितवीरशब्दः । वंशस्य कर्तारं अनन्तकीर्तिं सुदक्षिणायां तनयं ययाचे ||</v>
      </c>
      <c r="B161" s="4" t="s">
        <v>16</v>
      </c>
      <c r="C161" s="4"/>
    </row>
    <row r="162" spans="1:3" ht="24" customHeight="1">
      <c r="A162" s="2" t="str">
        <f ca="1">IFERROR(__xludf.DUMMYFUNCTION("""COMPUTED_VALUE"""),"संतानकामाय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||")</f>
        <v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||</v>
      </c>
      <c r="B162" s="4" t="s">
        <v>8</v>
      </c>
      <c r="C162" s="4"/>
    </row>
    <row r="163" spans="1:3" ht="24" customHeight="1">
      <c r="A163" s="2" t="str">
        <f ca="1">IFERROR(__xludf.DUMMYFUNCTION("""COMPUTED_VALUE"""),"वत्सस्य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||")</f>
        <v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||</v>
      </c>
      <c r="B163" s="4" t="s">
        <v>5</v>
      </c>
      <c r="C163" s="4"/>
    </row>
    <row r="164" spans="1:3" ht="24" customHeight="1">
      <c r="A164" s="2" t="str">
        <f ca="1">IFERROR(__xludf.DUMMYFUNCTION("""COMPUTED_VALUE"""),"इत्थं क्षितीशेन वसिष्ठधेनुर्विज्ञापिता प्रीततरा बभूव । तदन्विता हैमवताच्च कुक्षेः प्रत्याययावाश्रमं अश्रमेण ||")</f>
        <v>इत्थं क्षितीशेन वसिष्ठधेनुर्विज्ञापिता प्रीततरा बभूव । तदन्विता हैमवताच्च कुक्षेः प्रत्याययावाश्रमं अश्रमेण ||</v>
      </c>
      <c r="B164" s="4" t="s">
        <v>7</v>
      </c>
      <c r="C164" s="4"/>
    </row>
    <row r="165" spans="1:3" ht="24" customHeight="1">
      <c r="A165" s="2" t="str">
        <f ca="1">IFERROR(__xludf.DUMMYFUNCTION("""COMPUTED_VALUE"""),"तस्याः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||")</f>
        <v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||</v>
      </c>
      <c r="B165" s="4" t="s">
        <v>4</v>
      </c>
      <c r="C165" s="4"/>
    </row>
    <row r="166" spans="1:3" ht="24" customHeight="1">
      <c r="A166" s="2" t="str">
        <f ca="1">IFERROR(__xludf.DUMMYFUNCTION("""COMPUTED_VALUE"""),"स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||")</f>
        <v>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||</v>
      </c>
      <c r="B166" s="4" t="s">
        <v>7</v>
      </c>
      <c r="C166" s="4"/>
    </row>
    <row r="167" spans="1:3" ht="24" customHeight="1">
      <c r="A167" s="2" t="str">
        <f ca="1">IFERROR(__xludf.DUMMYFUNCTION("""COMPUTED_VALUE"""),"प्रातर्यथोक्तव्रतपारणान्ते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||")</f>
        <v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||</v>
      </c>
      <c r="B167" s="4" t="s">
        <v>22</v>
      </c>
      <c r="C167" s="4"/>
    </row>
    <row r="168" spans="1:3" ht="24" customHeight="1">
      <c r="A168" s="2" t="str">
        <f ca="1">IFERROR(__xludf.DUMMYFUNCTION("""COMPUTED_VALUE"""),"प्रदक्षिणीकृत्य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||")</f>
        <v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||</v>
      </c>
      <c r="B168" s="4" t="s">
        <v>4</v>
      </c>
      <c r="C168" s="4"/>
    </row>
    <row r="169" spans="1:3" ht="24" customHeight="1">
      <c r="A169" s="2" t="str">
        <f ca="1">IFERROR(__xludf.DUMMYFUNCTION("""COMPUTED_VALUE"""),"श्रोताभिरामध्वनिना रथेन स धर्मपत्नीसहितः सहिष्णुः । ययावनुद्घातसुखेन मार्गं स्वेनेव पूर्णेन मनोरथेन ||")</f>
        <v>श्रोताभिरामध्वनिना रथेन स धर्मपत्नीसहितः सहिष्णुः । ययावनुद्घातसुखेन मार्गं स्वेनेव पूर्णेन मनोरथेन ||</v>
      </c>
      <c r="B169" s="4" t="s">
        <v>1</v>
      </c>
      <c r="C169" s="4"/>
    </row>
    <row r="170" spans="1:3" ht="24" customHeight="1">
      <c r="A170" s="2" t="str">
        <f ca="1">IFERROR(__xludf.DUMMYFUNCTION("""COMPUTED_VALUE"""),"तं आहितौत्सुक्यं अदर्शनेन प्रजाः प्रजार्थव्रतकर्शिताङ्गं । नेत्रैः पपुस्तृप्तिं अनाप्नुवद्भिर्नवोदयं नाथं इवौषधीनाम् ||")</f>
        <v>तं आहितौत्सुक्यं अदर्शनेन प्रजाः प्रजार्थव्रतकर्शिताङ्गं । नेत्रैः पपुस्तृप्तिं अनाप्नुवद्भिर्नवोदयं नाथं इवौषधीनाम् ||</v>
      </c>
      <c r="B170" s="4" t="s">
        <v>1</v>
      </c>
      <c r="C170" s="4"/>
    </row>
    <row r="171" spans="1:3" ht="24" customHeight="1">
      <c r="A171" s="2" t="str">
        <f ca="1">IFERROR(__xludf.DUMMYFUNCTION("""COMPUTED_VALUE"""),"पुरंदरश्रीः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||")</f>
        <v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||</v>
      </c>
      <c r="B171" s="4" t="s">
        <v>3</v>
      </c>
      <c r="C171" s="4"/>
    </row>
    <row r="172" spans="1:3" ht="24" customHeight="1">
      <c r="A172" s="2" t="str">
        <f ca="1">IFERROR(__xludf.DUMMYFUNCTION("""COMPUTED_VALUE"""),"अथ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||")</f>
        <v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||</v>
      </c>
      <c r="B172" s="4" t="s">
        <v>4</v>
      </c>
      <c r="C172" s="4"/>
    </row>
    <row r="173" spans="1:3" ht="24" customHeight="1">
      <c r="A173" s="4" t="str">
        <f ca="1">IFERROR(__xludf.DUMMYFUNCTION("""COMPUTED_VALUE"""),"")</f>
        <v/>
      </c>
      <c r="B173" s="4"/>
      <c r="C173" s="4"/>
    </row>
    <row r="174" spans="1:3" ht="24" customHeight="1">
      <c r="A174" s="4" t="str">
        <f ca="1">IFERROR(__xludf.DUMMYFUNCTION("""COMPUTED_VALUE"""),"")</f>
        <v/>
      </c>
      <c r="B174" s="4"/>
      <c r="C174" s="4"/>
    </row>
    <row r="175" spans="1:3" ht="24" customHeight="1">
      <c r="A175" s="3" t="str">
        <f ca="1">IFERROR(__xludf.DUMMYFUNCTION("""COMPUTED_VALUE"""),"रघुवंशम्/प्रथमः सर्गः")</f>
        <v>रघुवंशम्/प्रथमः सर्गः</v>
      </c>
      <c r="B175" s="3"/>
      <c r="C175" s="3"/>
    </row>
    <row r="176" spans="1:3" ht="24" customHeight="1">
      <c r="A176" s="4" t="str">
        <f ca="1">IFERROR(__xludf.DUMMYFUNCTION("""COMPUTED_VALUE"""),"अथेप्सितं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||")</f>
        <v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||</v>
      </c>
      <c r="B176" s="4" t="s">
        <v>20</v>
      </c>
      <c r="C176" s="4"/>
    </row>
    <row r="177" spans="1:3" ht="24" customHeight="1">
      <c r="A177" s="4" t="str">
        <f ca="1">IFERROR(__xludf.DUMMYFUNCTION("""COMPUTED_VALUE"""),"शरीरसादादसमग्रभूषणा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||")</f>
        <v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||</v>
      </c>
      <c r="B177" s="4" t="s">
        <v>0</v>
      </c>
      <c r="C177" s="4"/>
    </row>
    <row r="178" spans="1:3" ht="24" customHeight="1">
      <c r="A178" s="4" t="str">
        <f ca="1">IFERROR(__xludf.DUMMYFUNCTION("""COMPUTED_VALUE"""),"ततो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||")</f>
        <v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||</v>
      </c>
      <c r="B178" s="4" t="s">
        <v>17</v>
      </c>
      <c r="C178" s="4"/>
    </row>
    <row r="179" spans="1:3" ht="24" customHeight="1">
      <c r="A179" s="4" t="str">
        <f ca="1">IFERROR(__xludf.DUMMYFUNCTION("""COMPUTED_VALUE"""),"मुखेन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||")</f>
        <v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||</v>
      </c>
      <c r="B179" s="4" t="s">
        <v>5</v>
      </c>
      <c r="C179" s="4"/>
    </row>
    <row r="180" spans="1:3" ht="24" customHeight="1">
      <c r="A180" s="4" t="str">
        <f ca="1">IFERROR(__xludf.DUMMYFUNCTION("""COMPUTED_VALUE"""),"तदाननं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||")</f>
        <v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||</v>
      </c>
      <c r="B180" s="4" t="s">
        <v>11</v>
      </c>
      <c r="C180" s="4"/>
    </row>
    <row r="181" spans="1:3" ht="24" customHeight="1">
      <c r="A181" s="4" t="str">
        <f ca="1">IFERROR(__xludf.DUMMYFUNCTION("""COMPUTED_VALUE"""),"दिवं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||")</f>
        <v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||</v>
      </c>
      <c r="B181" s="4" t="s">
        <v>18</v>
      </c>
      <c r="C181" s="4"/>
    </row>
    <row r="182" spans="1:3" ht="24" customHeight="1">
      <c r="A182" s="4" t="str">
        <f ca="1">IFERROR(__xludf.DUMMYFUNCTION("""COMPUTED_VALUE"""),"न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||")</f>
        <v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||</v>
      </c>
      <c r="B182" s="4" t="s">
        <v>0</v>
      </c>
      <c r="C182" s="4"/>
    </row>
    <row r="183" spans="1:3" ht="24" customHeight="1">
      <c r="A183" s="4" t="str">
        <f ca="1">IFERROR(__xludf.DUMMYFUNCTION("""COMPUTED_VALUE"""),"उपेत्य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||")</f>
        <v>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||</v>
      </c>
      <c r="B183" s="4" t="s">
        <v>1</v>
      </c>
      <c r="C183" s="4"/>
    </row>
    <row r="184" spans="1:3" ht="24" customHeight="1">
      <c r="A184" s="4" t="str">
        <f ca="1">IFERROR(__xludf.DUMMYFUNCTION("""COMPUTED_VALUE"""),"क्रमेण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||")</f>
        <v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||</v>
      </c>
      <c r="B184" s="4" t="s">
        <v>4</v>
      </c>
      <c r="C184" s="4"/>
    </row>
    <row r="185" spans="1:3" ht="24" customHeight="1">
      <c r="A185" s="4" t="str">
        <f ca="1">IFERROR(__xludf.DUMMYFUNCTION("""COMPUTED_VALUE"""),"दिनेषु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||")</f>
        <v>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||</v>
      </c>
      <c r="B185" s="4" t="s">
        <v>5</v>
      </c>
      <c r="C185" s="4"/>
    </row>
    <row r="186" spans="1:3" ht="24" customHeight="1">
      <c r="A186" s="4" t="str">
        <f ca="1">IFERROR(__xludf.DUMMYFUNCTION("""COMPUTED_VALUE"""),"निधानगर्भां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||")</f>
        <v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||</v>
      </c>
      <c r="B186" s="4" t="s">
        <v>2</v>
      </c>
      <c r="C186" s="4"/>
    </row>
    <row r="187" spans="1:3" ht="24" customHeight="1">
      <c r="A187" s="4" t="str">
        <f ca="1">IFERROR(__xludf.DUMMYFUNCTION("""COMPUTED_VALUE"""),"प्रियानुरागस्य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||")</f>
        <v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||</v>
      </c>
      <c r="B187" s="4" t="s">
        <v>18</v>
      </c>
      <c r="C187" s="4"/>
    </row>
    <row r="188" spans="1:3" ht="24" customHeight="1">
      <c r="A188" s="4" t="str">
        <f ca="1">IFERROR(__xludf.DUMMYFUNCTION("""COMPUTED_VALUE"""),"सुरेन्द्रमात्राश्रितगर्भगौरवात्प्रयत्नमुक्तासनया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||")</f>
        <v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||</v>
      </c>
      <c r="B188" s="4" t="s">
        <v>9</v>
      </c>
      <c r="C188" s="4"/>
    </row>
    <row r="189" spans="1:3" ht="24" customHeight="1">
      <c r="A189" s="4" t="str">
        <f ca="1">IFERROR(__xludf.DUMMYFUNCTION("""COMPUTED_VALUE"""),"कुमारभृत्याकुशलैरनुष्ठिते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||")</f>
        <v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||</v>
      </c>
      <c r="B189" s="4" t="s">
        <v>4</v>
      </c>
      <c r="C189" s="4"/>
    </row>
    <row r="190" spans="1:3" ht="24" customHeight="1">
      <c r="A190" s="4" t="str">
        <f ca="1">IFERROR(__xludf.DUMMYFUNCTION("""COMPUTED_VALUE"""),"ग्रहैस्ततः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||")</f>
        <v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||</v>
      </c>
      <c r="B190" s="4" t="s">
        <v>5</v>
      </c>
      <c r="C190" s="4"/>
    </row>
    <row r="191" spans="1:3" ht="24" customHeight="1">
      <c r="A191" s="4" t="str">
        <f ca="1">IFERROR(__xludf.DUMMYFUNCTION("""COMPUTED_VALUE"""),"दिशः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||")</f>
        <v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||</v>
      </c>
      <c r="B191" s="4" t="s">
        <v>8</v>
      </c>
      <c r="C191" s="4"/>
    </row>
    <row r="192" spans="1:3" ht="24" customHeight="1">
      <c r="A192" s="4" t="str">
        <f ca="1">IFERROR(__xludf.DUMMYFUNCTION("""COMPUTED_VALUE"""),"अरिष्टशय्यां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||")</f>
        <v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||</v>
      </c>
      <c r="B192" s="4" t="s">
        <v>4</v>
      </c>
      <c r="C192" s="4"/>
    </row>
    <row r="193" spans="1:3" ht="24" customHeight="1">
      <c r="A193" s="4" t="str">
        <f ca="1">IFERROR(__xludf.DUMMYFUNCTION("""COMPUTED_VALUE"""),"जनाय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||")</f>
        <v>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||</v>
      </c>
      <c r="B193" s="4" t="s">
        <v>0</v>
      </c>
      <c r="C193" s="4"/>
    </row>
    <row r="194" spans="1:3" ht="24" customHeight="1">
      <c r="A194" s="4" t="str">
        <f ca="1">IFERROR(__xludf.DUMMYFUNCTION("""COMPUTED_VALUE"""),"समीक्ष्य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||")</f>
        <v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||</v>
      </c>
      <c r="B194" s="4" t="s">
        <v>10</v>
      </c>
      <c r="C194" s="4"/>
    </row>
    <row r="195" spans="1:3" ht="24" customHeight="1">
      <c r="A195" s="4" t="str">
        <f ca="1">IFERROR(__xludf.DUMMYFUNCTION("""COMPUTED_VALUE"""),"निवातपद्मस्तिमितेन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||")</f>
        <v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||</v>
      </c>
      <c r="B195" s="4" t="s">
        <v>1</v>
      </c>
      <c r="C195" s="4"/>
    </row>
    <row r="196" spans="1:3" ht="24" customHeight="1">
      <c r="A196" s="4" t="str">
        <f ca="1">IFERROR(__xludf.DUMMYFUNCTION("""COMPUTED_VALUE"""),"स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||")</f>
        <v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||</v>
      </c>
      <c r="B196" s="4" t="s">
        <v>6</v>
      </c>
      <c r="C196" s="4"/>
    </row>
    <row r="197" spans="1:3" ht="24" customHeight="1">
      <c r="A197" s="4" t="str">
        <f ca="1">IFERROR(__xludf.DUMMYFUNCTION("""COMPUTED_VALUE"""),"सुखश्रवा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||")</f>
        <v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||</v>
      </c>
      <c r="B197" s="4" t="s">
        <v>9</v>
      </c>
      <c r="C197" s="4"/>
    </row>
    <row r="198" spans="1:3" ht="24" customHeight="1">
      <c r="A198" s="4" t="str">
        <f ca="1">IFERROR(__xludf.DUMMYFUNCTION("""COMPUTED_VALUE"""),"न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||")</f>
        <v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||</v>
      </c>
      <c r="B198" s="4" t="s">
        <v>1</v>
      </c>
      <c r="C198" s="4"/>
    </row>
    <row r="199" spans="1:3" ht="24" customHeight="1">
      <c r="A199" s="4" t="str">
        <f ca="1">IFERROR(__xludf.DUMMYFUNCTION("""COMPUTED_VALUE"""),"शुतस्य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||")</f>
        <v>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||</v>
      </c>
      <c r="B199" s="4" t="s">
        <v>4</v>
      </c>
      <c r="C199" s="4"/>
    </row>
    <row r="200" spans="1:3" ht="24" customHeight="1">
      <c r="A200" s="4" t="str">
        <f ca="1">IFERROR(__xludf.DUMMYFUNCTION("""COMPUTED_VALUE"""),"पितुः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||")</f>
        <v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||</v>
      </c>
      <c r="B200" s="4" t="s">
        <v>12</v>
      </c>
      <c r="C200" s="4"/>
    </row>
    <row r="201" spans="1:3" ht="24" customHeight="1">
      <c r="A201" s="4" t="str">
        <f ca="1">IFERROR(__xludf.DUMMYFUNCTION("""COMPUTED_VALUE"""),"उमावृषाङ्कौ शरजन्मना यथा यथा जयन्तेन शचीपुरंदरौ । तथा नृपः सा च सुतेन मागधी ननन्दतुस्तत्सदृशेन तत्समौ ||")</f>
        <v>उमावृषाङ्कौ शरजन्मना यथा यथा जयन्तेन शचीपुरंदरौ । तथा नृपः सा च सुतेन मागधी ननन्दतुस्तत्सदृशेन तत्समौ ||</v>
      </c>
      <c r="B201" s="4" t="s">
        <v>12</v>
      </c>
      <c r="C201" s="4"/>
    </row>
    <row r="202" spans="1:3" ht="24" customHeight="1">
      <c r="A202" s="4" t="str">
        <f ca="1">IFERROR(__xludf.DUMMYFUNCTION("""COMPUTED_VALUE"""),"रथाङ्गनाम्नोरिव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||")</f>
        <v>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||</v>
      </c>
      <c r="B202" s="4" t="s">
        <v>2</v>
      </c>
      <c r="C202" s="4"/>
    </row>
    <row r="203" spans="1:3" ht="24" customHeight="1">
      <c r="A203" s="4" t="str">
        <f ca="1">IFERROR(__xludf.DUMMYFUNCTION("""COMPUTED_VALUE"""),"उवाच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||")</f>
        <v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||</v>
      </c>
      <c r="B203" s="4" t="s">
        <v>19</v>
      </c>
      <c r="C203" s="4"/>
    </row>
    <row r="204" spans="1:3" ht="24" customHeight="1">
      <c r="A204" s="4" t="str">
        <f ca="1">IFERROR(__xludf.DUMMYFUNCTION("""COMPUTED_VALUE"""),"तं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||")</f>
        <v>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||</v>
      </c>
      <c r="B204" s="4" t="s">
        <v>5</v>
      </c>
      <c r="C204" s="4"/>
    </row>
    <row r="205" spans="1:3" ht="24" customHeight="1">
      <c r="A205" s="4" t="str">
        <f ca="1">IFERROR(__xludf.DUMMYFUNCTION("""COMPUTED_VALUE"""),"तं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||")</f>
        <v>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||</v>
      </c>
      <c r="B205" s="4" t="s">
        <v>1</v>
      </c>
      <c r="C205" s="4"/>
    </row>
    <row r="206" spans="1:3" ht="24" customHeight="1">
      <c r="A206" s="4" t="str">
        <f ca="1">IFERROR(__xludf.DUMMYFUNCTION("""COMPUTED_VALUE"""),"स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||")</f>
        <v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||</v>
      </c>
      <c r="B206" s="4" t="s">
        <v>8</v>
      </c>
      <c r="C206" s="4"/>
    </row>
    <row r="207" spans="1:3" ht="24" customHeight="1">
      <c r="A207" s="4" t="str">
        <f ca="1">IFERROR(__xludf.DUMMYFUNCTION("""COMPUTED_VALUE"""),"अथोपनीतं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||")</f>
        <v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||</v>
      </c>
      <c r="B207" s="4" t="s">
        <v>6</v>
      </c>
      <c r="C207" s="4"/>
    </row>
    <row r="208" spans="1:3" ht="24" customHeight="1">
      <c r="A208" s="4" t="str">
        <f ca="1">IFERROR(__xludf.DUMMYFUNCTION("""COMPUTED_VALUE"""),"धियः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||")</f>
        <v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||</v>
      </c>
      <c r="B208" s="4" t="s">
        <v>0</v>
      </c>
      <c r="C208" s="4"/>
    </row>
    <row r="209" spans="1:3" ht="24" customHeight="1">
      <c r="A209" s="4" t="str">
        <f ca="1">IFERROR(__xludf.DUMMYFUNCTION("""COMPUTED_VALUE"""),"त्वचं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||")</f>
        <v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||</v>
      </c>
      <c r="B209" s="4" t="s">
        <v>18</v>
      </c>
      <c r="C209" s="4"/>
    </row>
    <row r="210" spans="1:3" ht="24" customHeight="1">
      <c r="A210" s="4" t="str">
        <f ca="1">IFERROR(__xludf.DUMMYFUNCTION("""COMPUTED_VALUE"""),"महोक्षतां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||")</f>
        <v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||</v>
      </c>
      <c r="B210" s="4" t="s">
        <v>9</v>
      </c>
      <c r="C210" s="4"/>
    </row>
    <row r="211" spans="1:3" ht="24" customHeight="1">
      <c r="A211" s="4" t="str">
        <f ca="1">IFERROR(__xludf.DUMMYFUNCTION("""COMPUTED_VALUE"""),"अथास्य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||")</f>
        <v>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||</v>
      </c>
      <c r="B211" s="4" t="s">
        <v>6</v>
      </c>
      <c r="C211" s="4"/>
    </row>
    <row r="212" spans="1:3" ht="24" customHeight="1">
      <c r="A212" s="4" t="str">
        <f ca="1">IFERROR(__xludf.DUMMYFUNCTION("""COMPUTED_VALUE"""),"युवा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||")</f>
        <v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||</v>
      </c>
      <c r="B212" s="4" t="s">
        <v>2</v>
      </c>
      <c r="C212" s="4"/>
    </row>
    <row r="213" spans="1:3" ht="24" customHeight="1">
      <c r="A213" s="4" t="str">
        <f ca="1">IFERROR(__xludf.DUMMYFUNCTION("""COMPUTED_VALUE"""),"ततः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||")</f>
        <v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||</v>
      </c>
      <c r="B213" s="4" t="s">
        <v>6</v>
      </c>
      <c r="C213" s="4"/>
    </row>
    <row r="214" spans="1:3" ht="24" customHeight="1">
      <c r="A214" s="4" t="str">
        <f ca="1">IFERROR(__xludf.DUMMYFUNCTION("""COMPUTED_VALUE"""),"नरेन्द्रमूलायतनादनन्तरं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||")</f>
        <v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||</v>
      </c>
      <c r="B214" s="4" t="s">
        <v>11</v>
      </c>
      <c r="C214" s="4"/>
    </row>
    <row r="215" spans="1:3" ht="24" customHeight="1">
      <c r="A215" s="4" t="str">
        <f ca="1">IFERROR(__xludf.DUMMYFUNCTION("""COMPUTED_VALUE"""),"विभावसुः सारथिनेव वायुना घनव्यपायेन गभस्तिमानिव । बभूव तेनातितरां सुदुःसहः कटप्रभेदेन करीव पार्थिवः ||")</f>
        <v>विभावसुः सारथिनेव वायुना घनव्यपायेन गभस्तिमानिव । बभूव तेनातितरां सुदुःसहः कटप्रभेदेन करीव पार्थिवः ||</v>
      </c>
      <c r="B215" s="4" t="s">
        <v>4</v>
      </c>
      <c r="C215" s="4"/>
    </row>
    <row r="216" spans="1:3" ht="24" customHeight="1">
      <c r="A216" s="4" t="str">
        <f ca="1">IFERROR(__xludf.DUMMYFUNCTION("""COMPUTED_VALUE"""),"नियुज्य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||")</f>
        <v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||</v>
      </c>
      <c r="B216" s="4" t="s">
        <v>18</v>
      </c>
      <c r="C216" s="4"/>
    </row>
    <row r="217" spans="1:3" ht="24" customHeight="1">
      <c r="A217" s="4" t="str">
        <f ca="1">IFERROR(__xludf.DUMMYFUNCTION("""COMPUTED_VALUE"""),"ततः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||")</f>
        <v>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||</v>
      </c>
      <c r="B217" s="4" t="s">
        <v>24</v>
      </c>
      <c r="C217" s="4"/>
    </row>
    <row r="218" spans="1:3" ht="24" customHeight="1">
      <c r="A218" s="4" t="str">
        <f ca="1">IFERROR(__xludf.DUMMYFUNCTION("""COMPUTED_VALUE"""),"विषादलुप्तप्रतिपत्ति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||")</f>
        <v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||</v>
      </c>
      <c r="B218" s="4" t="s">
        <v>1</v>
      </c>
      <c r="C218" s="4"/>
    </row>
    <row r="219" spans="1:3" ht="24" customHeight="1">
      <c r="A219" s="4" t="str">
        <f ca="1">IFERROR(__xludf.DUMMYFUNCTION("""COMPUTED_VALUE"""),"स्वेदाम्बुना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||")</f>
        <v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||</v>
      </c>
      <c r="B219" s="4" t="s">
        <v>1</v>
      </c>
      <c r="C219" s="4"/>
    </row>
    <row r="220" spans="1:3" ht="24" customHeight="1">
      <c r="A220" s="4" t="str">
        <f ca="1">IFERROR(__xludf.DUMMYFUNCTION("""COMPUTED_VALUE"""),"तदङ्गनिस्यन्दजलेन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||")</f>
        <v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||</v>
      </c>
      <c r="B220" s="4" t="s">
        <v>1</v>
      </c>
      <c r="C220" s="4"/>
    </row>
    <row r="221" spans="1:3" ht="24" customHeight="1">
      <c r="A221" s="4" t="str">
        <f ca="1">IFERROR(__xludf.DUMMYFUNCTION("""COMPUTED_VALUE"""),"स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||")</f>
        <v>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||</v>
      </c>
      <c r="B221" s="4" t="s">
        <v>2</v>
      </c>
      <c r="C221" s="4"/>
    </row>
    <row r="222" spans="1:3" ht="24" customHeight="1">
      <c r="A222" s="4" t="str">
        <f ca="1">IFERROR(__xludf.DUMMYFUNCTION("""COMPUTED_VALUE"""),"स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||")</f>
        <v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||</v>
      </c>
      <c r="B222" s="4" t="s">
        <v>4</v>
      </c>
      <c r="C222" s="4"/>
    </row>
    <row r="223" spans="1:3" ht="24" customHeight="1">
      <c r="A223" s="4" t="str">
        <f ca="1">IFERROR(__xludf.DUMMYFUNCTION("""COMPUTED_VALUE"""),"शतैस्तमक्ष्णामनिमेषवृत्तिभिर्हरिं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||")</f>
        <v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||</v>
      </c>
      <c r="B223" s="4" t="s">
        <v>4</v>
      </c>
      <c r="C223" s="4"/>
    </row>
    <row r="224" spans="1:3" ht="24" customHeight="1">
      <c r="A224" s="4" t="str">
        <f ca="1">IFERROR(__xludf.DUMMYFUNCTION("""COMPUTED_VALUE"""),"मखांशभाजां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||")</f>
        <v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||</v>
      </c>
      <c r="B224" s="4" t="s">
        <v>18</v>
      </c>
      <c r="C224" s="4"/>
    </row>
    <row r="225" spans="1:3" ht="24" customHeight="1">
      <c r="A225" s="4" t="str">
        <f ca="1">IFERROR(__xludf.DUMMYFUNCTION("""COMPUTED_VALUE"""),"त्रिलोकनाथेन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||")</f>
        <v>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||</v>
      </c>
      <c r="B225" s="4" t="s">
        <v>20</v>
      </c>
      <c r="C225" s="4"/>
    </row>
    <row r="226" spans="1:3" ht="24" customHeight="1">
      <c r="A226" s="4" t="str">
        <f ca="1">IFERROR(__xludf.DUMMYFUNCTION("""COMPUTED_VALUE"""),"तदङ्गम्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||")</f>
        <v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||</v>
      </c>
      <c r="B226" s="4" t="s">
        <v>2</v>
      </c>
      <c r="C226" s="4"/>
    </row>
    <row r="227" spans="1:3" ht="24" customHeight="1">
      <c r="A227" s="4" t="str">
        <f ca="1">IFERROR(__xludf.DUMMYFUNCTION("""COMPUTED_VALUE"""),"इति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||")</f>
        <v>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||</v>
      </c>
      <c r="B227" s="4" t="s">
        <v>0</v>
      </c>
      <c r="C227" s="4"/>
    </row>
    <row r="228" spans="1:3" ht="24" customHeight="1">
      <c r="A228" s="4" t="str">
        <f ca="1">IFERROR(__xludf.DUMMYFUNCTION("""COMPUTED_VALUE"""),"यदात्थ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||")</f>
        <v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||</v>
      </c>
      <c r="B228" s="4" t="s">
        <v>2</v>
      </c>
      <c r="C228" s="4"/>
    </row>
    <row r="229" spans="1:3" ht="24" customHeight="1">
      <c r="A229" s="4" t="str">
        <f ca="1">IFERROR(__xludf.DUMMYFUNCTION("""COMPUTED_VALUE"""),"हरिर्यथैकः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||")</f>
        <v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||</v>
      </c>
      <c r="B229" s="4" t="s">
        <v>1</v>
      </c>
      <c r="C229" s="4"/>
    </row>
    <row r="230" spans="1:3" ht="24" customHeight="1">
      <c r="A230" s="4" t="str">
        <f ca="1">IFERROR(__xludf.DUMMYFUNCTION("""COMPUTED_VALUE"""),"अतोऽयम्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||")</f>
        <v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||</v>
      </c>
      <c r="B230" s="4" t="s">
        <v>2</v>
      </c>
      <c r="C230" s="4"/>
    </row>
    <row r="231" spans="1:3" ht="24" customHeight="1">
      <c r="A231" s="4" t="str">
        <f ca="1">IFERROR(__xludf.DUMMYFUNCTION("""COMPUTED_VALUE"""),"ततः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||")</f>
        <v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||</v>
      </c>
      <c r="B231" s="4" t="s">
        <v>4</v>
      </c>
      <c r="C231" s="4"/>
    </row>
    <row r="232" spans="1:3" ht="24" customHeight="1">
      <c r="A232" s="4" t="str">
        <f ca="1">IFERROR(__xludf.DUMMYFUNCTION("""COMPUTED_VALUE"""),"स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||")</f>
        <v>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||</v>
      </c>
      <c r="B232" s="4" t="s">
        <v>0</v>
      </c>
      <c r="C232" s="4"/>
    </row>
    <row r="233" spans="1:3" ht="24" customHeight="1">
      <c r="A233" s="4" t="str">
        <f ca="1">IFERROR(__xludf.DUMMYFUNCTION("""COMPUTED_VALUE"""),"रघोरवष्टम्भमयेन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||")</f>
        <v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||</v>
      </c>
      <c r="B233" s="4" t="s">
        <v>19</v>
      </c>
      <c r="C233" s="4"/>
    </row>
    <row r="234" spans="1:3" ht="24" customHeight="1">
      <c r="A234" s="4" t="str">
        <f ca="1">IFERROR(__xludf.DUMMYFUNCTION("""COMPUTED_VALUE"""),"दिलीपसूनोः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||")</f>
        <v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||</v>
      </c>
      <c r="B234" s="4" t="s">
        <v>2</v>
      </c>
      <c r="C234" s="4"/>
    </row>
    <row r="235" spans="1:3" ht="24" customHeight="1">
      <c r="A235" s="4" t="str">
        <f ca="1">IFERROR(__xludf.DUMMYFUNCTION("""COMPUTED_VALUE"""),"हरेः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||")</f>
        <v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||</v>
      </c>
      <c r="B235" s="4" t="s">
        <v>19</v>
      </c>
      <c r="C235" s="4"/>
    </row>
    <row r="236" spans="1:3" ht="24" customHeight="1">
      <c r="A236" s="4" t="str">
        <f ca="1">IFERROR(__xludf.DUMMYFUNCTION("""COMPUTED_VALUE"""),"जहार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||")</f>
        <v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||</v>
      </c>
      <c r="B236" s="4" t="s">
        <v>4</v>
      </c>
      <c r="C236" s="4"/>
    </row>
    <row r="237" spans="1:3" ht="24" customHeight="1">
      <c r="A237" s="4" t="str">
        <f ca="1">IFERROR(__xludf.DUMMYFUNCTION("""COMPUTED_VALUE"""),"तयोरुपान्तस्थितसिद्धसैनिकं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||")</f>
        <v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||</v>
      </c>
      <c r="B237" s="4" t="s">
        <v>6</v>
      </c>
      <c r="C237" s="4"/>
    </row>
    <row r="238" spans="1:3" ht="24" customHeight="1">
      <c r="A238" s="4" t="str">
        <f ca="1">IFERROR(__xludf.DUMMYFUNCTION("""COMPUTED_VALUE"""),"अतिप्रबन्धप्रहितास्त्रवृष्टिभिस्तम्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||")</f>
        <v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||</v>
      </c>
      <c r="B238" s="4" t="s">
        <v>17</v>
      </c>
      <c r="C238" s="4"/>
    </row>
    <row r="239" spans="1:3" ht="24" customHeight="1">
      <c r="A239" s="4" t="str">
        <f ca="1">IFERROR(__xludf.DUMMYFUNCTION("""COMPUTED_VALUE"""),"ततः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||")</f>
        <v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||</v>
      </c>
      <c r="B239" s="4" t="s">
        <v>18</v>
      </c>
      <c r="C239" s="4"/>
    </row>
    <row r="240" spans="1:3" ht="24" customHeight="1">
      <c r="A240" s="4" t="str">
        <f ca="1">IFERROR(__xludf.DUMMYFUNCTION("""COMPUTED_VALUE"""),"स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||")</f>
        <v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||</v>
      </c>
      <c r="B240" s="4" t="s">
        <v>17</v>
      </c>
      <c r="C240" s="4"/>
    </row>
    <row r="241" spans="1:3" ht="24" customHeight="1">
      <c r="A241" s="4" t="str">
        <f ca="1">IFERROR(__xludf.DUMMYFUNCTION("""COMPUTED_VALUE"""),"रघुर्भृशं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||")</f>
        <v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||</v>
      </c>
      <c r="B241" s="4" t="s">
        <v>1</v>
      </c>
      <c r="C241" s="4"/>
    </row>
    <row r="242" spans="1:3" ht="24" customHeight="1">
      <c r="A242" s="4" t="str">
        <f ca="1">IFERROR(__xludf.DUMMYFUNCTION("""COMPUTED_VALUE"""),"तथापि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||")</f>
        <v>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||</v>
      </c>
      <c r="B242" s="4" t="s">
        <v>2</v>
      </c>
      <c r="C242" s="4"/>
    </row>
    <row r="243" spans="1:3" ht="24" customHeight="1">
      <c r="A243" s="4" t="str">
        <f ca="1">IFERROR(__xludf.DUMMYFUNCTION("""COMPUTED_VALUE"""),"असङ्गं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||")</f>
        <v>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||</v>
      </c>
      <c r="B243" s="4" t="s">
        <v>4</v>
      </c>
      <c r="C243" s="4"/>
    </row>
    <row r="244" spans="1:3" ht="24" customHeight="1">
      <c r="A244" s="4" t="str">
        <f ca="1">IFERROR(__xludf.DUMMYFUNCTION("""COMPUTED_VALUE"""),"ततो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||")</f>
        <v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||</v>
      </c>
      <c r="B244" s="4" t="s">
        <v>0</v>
      </c>
      <c r="C244" s="4"/>
    </row>
    <row r="245" spans="1:3" ht="24" customHeight="1">
      <c r="A245" s="4" t="str">
        <f ca="1">IFERROR(__xludf.DUMMYFUNCTION("""COMPUTED_VALUE"""),"अमोच्यं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||")</f>
        <v>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||</v>
      </c>
      <c r="B245" s="4" t="s">
        <v>2</v>
      </c>
      <c r="C245" s="4"/>
    </row>
    <row r="246" spans="1:3" ht="24" customHeight="1">
      <c r="A246" s="4" t="str">
        <f ca="1">IFERROR(__xludf.DUMMYFUNCTION("""COMPUTED_VALUE"""),"यथा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||")</f>
        <v>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||</v>
      </c>
      <c r="B246" s="4" t="s">
        <v>2</v>
      </c>
      <c r="C246" s="4"/>
    </row>
    <row r="247" spans="1:3" ht="24" customHeight="1">
      <c r="A247" s="4" t="str">
        <f ca="1">IFERROR(__xludf.DUMMYFUNCTION("""COMPUTED_VALUE"""),"तथेति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||")</f>
        <v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||</v>
      </c>
      <c r="B247" s="4" t="s">
        <v>2</v>
      </c>
      <c r="C247" s="4"/>
    </row>
    <row r="248" spans="1:3" ht="24" customHeight="1">
      <c r="A248" s="4" t="str">
        <f ca="1">IFERROR(__xludf.DUMMYFUNCTION("""COMPUTED_VALUE"""),"तं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||")</f>
        <v>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||</v>
      </c>
      <c r="B248" s="4" t="s">
        <v>2</v>
      </c>
      <c r="C248" s="4"/>
    </row>
    <row r="249" spans="1:3" ht="24" customHeight="1">
      <c r="A249" s="4" t="str">
        <f ca="1">IFERROR(__xludf.DUMMYFUNCTION("""COMPUTED_VALUE"""),"इति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||")</f>
        <v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||</v>
      </c>
      <c r="B249" s="4" t="s">
        <v>4</v>
      </c>
      <c r="C249" s="4"/>
    </row>
    <row r="250" spans="1:3" ht="24" customHeight="1">
      <c r="A250" s="4" t="str">
        <f ca="1">IFERROR(__xludf.DUMMYFUNCTION("""COMPUTED_VALUE"""),"अथ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||")</f>
        <v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||</v>
      </c>
      <c r="B250" s="4" t="s">
        <v>2</v>
      </c>
      <c r="C250" s="4"/>
    </row>
    <row r="251" spans="1:3" ht="24" customHeight="1">
      <c r="A251" s="4" t="str">
        <f ca="1">IFERROR(__xludf.DUMMYFUNCTION("""COMPUTED_VALUE"""),"स राज्यं गुरुणा दत्तं प्रतिपद्याधिकं बभौ । दिनान्ते निहितं तेजः सवित्रेव हुताशनः ||")</f>
        <v>स राज्यं गुरुणा दत्तं प्रतिपद्याधिकं बभौ । दिनान्ते निहितं तेजः सवित्रेव हुताशनः ||</v>
      </c>
      <c r="B251" s="4" t="s">
        <v>1</v>
      </c>
      <c r="C251" s="4"/>
    </row>
    <row r="252" spans="1:3" ht="24" customHeight="1">
      <c r="A252" s="4" t="str">
        <f ca="1">IFERROR(__xludf.DUMMYFUNCTION("""COMPUTED_VALUE"""),"न्यस्तशस्त्रं दिलीपं च तं च शुश्रुवुषां पतिं । राज्ञां उद्धृतनाराचे हृदि शल्यं इवार्पितं ||")</f>
        <v>न्यस्तशस्त्रं दिलीपं च तं च शुश्रुवुषां पतिं । राज्ञां उद्धृतनाराचे हृदि शल्यं इवार्पितं ||</v>
      </c>
      <c r="B252" s="4" t="s">
        <v>2</v>
      </c>
      <c r="C252" s="4"/>
    </row>
    <row r="253" spans="1:3" ht="24" customHeight="1">
      <c r="A253" s="4" t="str">
        <f ca="1">IFERROR(__xludf.DUMMYFUNCTION("""COMPUTED_VALUE"""),"दिलीपानन्तरं राज्ये तं निशम्य प्रतिष्ठितं । पूर्वं प्रदूमितो राज्ञां हृदयेऽग्निरिवोत्थितः ||")</f>
        <v>दिलीपानन्तरं राज्ये तं निशम्य प्रतिष्ठितं । पूर्वं प्रदूमितो राज्ञां हृदयेऽग्निरिवोत्थितः ||</v>
      </c>
      <c r="B253" s="4" t="s">
        <v>2</v>
      </c>
      <c r="C253" s="4"/>
    </row>
    <row r="254" spans="1:3" ht="24" customHeight="1">
      <c r="A254" s="4" t="str">
        <f ca="1">IFERROR(__xludf.DUMMYFUNCTION("""COMPUTED_VALUE"""),"पुरुहूतध्वजस्येव तस्योन्नयनपङ्क्तयः । नवाभ्युत्थानदर्शिन्यो ननन्दुः स प्रजाः प्रजाः ||")</f>
        <v>पुरुहूतध्वजस्येव तस्योन्नयनपङ्क्तयः । नवाभ्युत्थानदर्शिन्यो ननन्दुः स प्रजाः प्रजाः ||</v>
      </c>
      <c r="B254" s="4" t="s">
        <v>3</v>
      </c>
      <c r="C254" s="4"/>
    </row>
    <row r="255" spans="1:3" ht="24" customHeight="1">
      <c r="A255" s="4" t="str">
        <f ca="1">IFERROR(__xludf.DUMMYFUNCTION("""COMPUTED_VALUE"""),"समं एव समाक्रान्तं तस्योन्नयनपङ्क्तयः । तेन सिंहासनं पित्र्यं अखिलं चारिमण्डलं ||")</f>
        <v>समं एव समाक्रान्तं तस्योन्नयनपङ्क्तयः । तेन सिंहासनं पित्र्यं अखिलं चारिमण्डलं ||</v>
      </c>
      <c r="B255" s="4" t="s">
        <v>11</v>
      </c>
      <c r="C255" s="4"/>
    </row>
    <row r="256" spans="1:3" ht="24" customHeight="1">
      <c r="A256" s="4" t="str">
        <f ca="1">IFERROR(__xludf.DUMMYFUNCTION("""COMPUTED_VALUE"""),"छायामण्डललक्ष्येन तं अदृश्या किल स्वयं । पद्मा पद्मातपत्रेण भेजे साम्राज्यदीक्षितं ||")</f>
        <v>छायामण्डललक्ष्येन तं अदृश्या किल स्वयं । पद्मा पद्मातपत्रेण भेजे साम्राज्यदीक्षितं ||</v>
      </c>
      <c r="B256" s="4" t="s">
        <v>2</v>
      </c>
      <c r="C256" s="4"/>
    </row>
    <row r="257" spans="1:3" ht="24" customHeight="1">
      <c r="A257" s="4" t="str">
        <f ca="1">IFERROR(__xludf.DUMMYFUNCTION("""COMPUTED_VALUE"""),"परिकल्पितसांनिध्या काले काले च बन्दिषु । स्तुत्यं स्तुतिभिरर्थ्याभिरुपतस्थे सरस्वती ||")</f>
        <v>परिकल्पितसांनिध्या काले काले च बन्दिषु । स्तुत्यं स्तुतिभिरर्थ्याभिरुपतस्थे सरस्वती ||</v>
      </c>
      <c r="B257" s="4" t="s">
        <v>2</v>
      </c>
      <c r="C257" s="4"/>
    </row>
    <row r="258" spans="1:3" ht="24" customHeight="1">
      <c r="A258" s="4" t="str">
        <f ca="1">IFERROR(__xludf.DUMMYFUNCTION("""COMPUTED_VALUE"""),"मनुप्रभृतिभिर्मान्यैर्भुक्ता यद्यपि राजभिः । तथाप्यनन्यपूर्वेव तस्मिन्नासीद्वसुंधरा ||")</f>
        <v>मनुप्रभृतिभिर्मान्यैर्भुक्ता यद्यपि राजभिः । तथाप्यनन्यपूर्वेव तस्मिन्नासीद्वसुंधरा ||</v>
      </c>
      <c r="B258" s="4" t="s">
        <v>0</v>
      </c>
      <c r="C258" s="4"/>
    </row>
    <row r="259" spans="1:3" ht="24" customHeight="1">
      <c r="A259" s="4" t="str">
        <f ca="1">IFERROR(__xludf.DUMMYFUNCTION("""COMPUTED_VALUE"""),"स हि सर्वस्य लोकस्य युक्तदण्डतया मनः । आददे नातिशीतोष्णो नभस्वानिव दक्षिणः ||")</f>
        <v>स हि सर्वस्य लोकस्य युक्तदण्डतया मनः । आददे नातिशीतोष्णो नभस्वानिव दक्षिणः ||</v>
      </c>
      <c r="B259" s="4" t="s">
        <v>7</v>
      </c>
      <c r="C259" s="4"/>
    </row>
    <row r="260" spans="1:3" ht="24" customHeight="1">
      <c r="A260" s="4" t="str">
        <f ca="1">IFERROR(__xludf.DUMMYFUNCTION("""COMPUTED_VALUE"""),"मन्दोत्कण्टः कृतास्तेन गुणाधिकतया गुरौ । फलेन सहकारस्य फुष्पोद्गम इव प्रजाः ||")</f>
        <v>मन्दोत्कण्टः कृतास्तेन गुणाधिकतया गुरौ । फलेन सहकारस्य फुष्पोद्गम इव प्रजाः ||</v>
      </c>
      <c r="B260" s="4" t="s">
        <v>3</v>
      </c>
      <c r="C260" s="4"/>
    </row>
    <row r="261" spans="1:3" ht="24" customHeight="1">
      <c r="A261" s="4" t="str">
        <f ca="1">IFERROR(__xludf.DUMMYFUNCTION("""COMPUTED_VALUE"""),"नयविद्भिर्नवे राज्ञि सदसच्चोपदर्शितं । पूर्व एवाभवत्पक्षस्तस्मिन्नाभवदुत्तरः ||")</f>
        <v>नयविद्भिर्नवे राज्ञि सदसच्चोपदर्शितं । पूर्व एवाभवत्पक्षस्तस्मिन्नाभवदुत्तरः ||</v>
      </c>
      <c r="B261" s="4" t="s">
        <v>0</v>
      </c>
      <c r="C261" s="4"/>
    </row>
    <row r="262" spans="1:3" ht="24" customHeight="1">
      <c r="A262" s="4" t="str">
        <f ca="1">IFERROR(__xludf.DUMMYFUNCTION("""COMPUTED_VALUE"""),"पञ्चानां अपि भूतानां उत्कर्षं पुपुषुर्गुणाः । नवे तस्मिन्महीपाले सर्वं नवं इवाभवथ् ||")</f>
        <v>पञ्चानां अपि भूतानां उत्कर्षं पुपुषुर्गुणाः । नवे तस्मिन्महीपाले सर्वं नवं इवाभवथ् ||</v>
      </c>
      <c r="B262" s="4" t="s">
        <v>4</v>
      </c>
      <c r="C262" s="4"/>
    </row>
    <row r="263" spans="1:3" ht="24" customHeight="1">
      <c r="A263" s="4" t="str">
        <f ca="1">IFERROR(__xludf.DUMMYFUNCTION("""COMPUTED_VALUE"""),"यथा प्रह्लादनाच्चन्द्रः प्रतापात्तपनो यथा । तथैव सोऽभूदन्वर्थो राजा प्रकृतिरञ्जनाथ् ||")</f>
        <v>यथा प्रह्लादनाच्चन्द्रः प्रतापात्तपनो यथा । तथैव सोऽभूदन्वर्थो राजा प्रकृतिरञ्जनाथ् ||</v>
      </c>
      <c r="B263" s="4" t="s">
        <v>1</v>
      </c>
      <c r="C263" s="4"/>
    </row>
    <row r="264" spans="1:3" ht="24" customHeight="1">
      <c r="A264" s="4" t="str">
        <f ca="1">IFERROR(__xludf.DUMMYFUNCTION("""COMPUTED_VALUE"""),"कामं कर्णान्तविष्रान्ते विशाले तस्य लोचने । चक्षुष्मत्ता तु शास्त्रेण सूक्ष्मकार्यार्थदर्शिना ||")</f>
        <v>कामं कर्णान्तविष्रान्ते विशाले तस्य लोचने । चक्षुष्मत्ता तु शास्त्रेण सूक्ष्मकार्यार्थदर्शिना ||</v>
      </c>
      <c r="B264" s="4" t="s">
        <v>1</v>
      </c>
      <c r="C264" s="4"/>
    </row>
    <row r="265" spans="1:3" ht="24" customHeight="1">
      <c r="A265" s="4" t="str">
        <f ca="1">IFERROR(__xludf.DUMMYFUNCTION("""COMPUTED_VALUE"""),"लब्धप्रशमनस्वस्थं अथैनं समुपस्थिता । पार्थिवश्रीर्द्वितीयेव शरत्पङ्कजलक्षणा ||")</f>
        <v>लब्धप्रशमनस्वस्थं अथैनं समुपस्थिता । पार्थिवश्रीर्द्वितीयेव शरत्पङ्कजलक्षणा ||</v>
      </c>
      <c r="B265" s="4" t="s">
        <v>7</v>
      </c>
      <c r="C265" s="4"/>
    </row>
    <row r="266" spans="1:3" ht="24" customHeight="1">
      <c r="A266" s="4" t="str">
        <f ca="1">IFERROR(__xludf.DUMMYFUNCTION("""COMPUTED_VALUE"""),"निर्वृष्टलघुभिर्मेघैर्मुक्तवर्त्मा सुदुःसहः । स्वं धनुः शङ्कितेनेव युगपद्व्यानशे दिशः ||")</f>
        <v>निर्वृष्टलघुभिर्मेघैर्मुक्तवर्त्मा सुदुःसहः । स्वं धनुः शङ्कितेनेव युगपद्व्यानशे दिशः ||</v>
      </c>
      <c r="B266" s="4" t="s">
        <v>8</v>
      </c>
      <c r="C266" s="4"/>
    </row>
    <row r="267" spans="1:3" ht="24" customHeight="1">
      <c r="A267" s="4" t="str">
        <f ca="1">IFERROR(__xludf.DUMMYFUNCTION("""COMPUTED_VALUE"""),"अधिज्यं आयुधं कर्तुं मुक्तवर्त्मा सुदुःसहः । स्वं धनुः शङ्कितेनेव संजह्रे शतमन्युना ||")</f>
        <v>अधिज्यं आयुधं कर्तुं मुक्तवर्त्मा सुदुःसहः । स्वं धनुः शङ्कितेनेव संजह्रे शतमन्युना ||</v>
      </c>
      <c r="B267" s="4" t="s">
        <v>1</v>
      </c>
      <c r="C267" s="4"/>
    </row>
    <row r="268" spans="1:3" ht="24" customHeight="1">
      <c r="A268" s="4" t="str">
        <f ca="1">IFERROR(__xludf.DUMMYFUNCTION("""COMPUTED_VALUE"""),"वार्षिकं संजहारेन्द्रो धनुर्जैत्रं रघुर्दधौ । प्रजार्थसाधने तौ हि पर्यायोद्यतकार्मुकौ ||")</f>
        <v>वार्षिकं संजहारेन्द्रो धनुर्जैत्रं रघुर्दधौ । प्रजार्थसाधने तौ हि पर्यायोद्यतकार्मुकौ ||</v>
      </c>
      <c r="B268" s="4" t="s">
        <v>19</v>
      </c>
      <c r="C268" s="4"/>
    </row>
    <row r="269" spans="1:3" ht="24" customHeight="1">
      <c r="A269" s="4" t="str">
        <f ca="1">IFERROR(__xludf.DUMMYFUNCTION("""COMPUTED_VALUE"""),"पुण्डरीकातपत्रस्तं विकसत्काशचामरः । ऋतुर्विडम्बयां आस आसीत्समरसा द्वयोः ||")</f>
        <v>पुण्डरीकातपत्रस्तं विकसत्काशचामरः । ऋतुर्विडम्बयां आस आसीत्समरसा द्वयोः ||</v>
      </c>
      <c r="B269" s="4" t="s">
        <v>5</v>
      </c>
      <c r="C269" s="4"/>
    </row>
    <row r="270" spans="1:3" ht="24" customHeight="1">
      <c r="A270" s="4" t="str">
        <f ca="1">IFERROR(__xludf.DUMMYFUNCTION("""COMPUTED_VALUE"""),"प्रसादरीकातपत्रस्तं चन्द्रे च विशदप्रभे । तदा चक्षुष्मतां प्रीतिरासीत्समरसा द्वयोः ||")</f>
        <v>प्रसादरीकातपत्रस्तं चन्द्रे च विशदप्रभे । तदा चक्षुष्मतां प्रीतिरासीत्समरसा द्वयोः ||</v>
      </c>
      <c r="B270" s="4" t="s">
        <v>5</v>
      </c>
      <c r="C270" s="4"/>
    </row>
    <row r="271" spans="1:3" ht="24" customHeight="1">
      <c r="A271" s="4" t="str">
        <f ca="1">IFERROR(__xludf.DUMMYFUNCTION("""COMPUTED_VALUE"""),"हंसश्रेणीषु तारासु कुमुद्वत्सु च वारिषु । विभूतयय्स्तदीयानां पर्यस्ता यशसां इव ||")</f>
        <v>हंसश्रेणीषु तारासु कुमुद्वत्सु च वारिषु । विभूतयय्स्तदीयानां पर्यस्ता यशसां इव ||</v>
      </c>
      <c r="B271" s="4" t="s">
        <v>4</v>
      </c>
      <c r="C271" s="4"/>
    </row>
    <row r="272" spans="1:3" ht="24" customHeight="1">
      <c r="A272" s="4" t="str">
        <f ca="1">IFERROR(__xludf.DUMMYFUNCTION("""COMPUTED_VALUE"""),"इक्षुच्छायनिषादिन्यस्तस्य गोप्तुर्गुणोदयं । आकुमारकथोद्घातं शालिगोप्यो जगुर्यशः ||")</f>
        <v>इक्षुच्छायनिषादिन्यस्तस्य गोप्तुर्गुणोदयं । आकुमारकथोद्घातं शालिगोप्यो जगुर्यशः ||</v>
      </c>
      <c r="B272" s="4" t="s">
        <v>8</v>
      </c>
      <c r="C272" s="4"/>
    </row>
    <row r="273" spans="1:3" ht="24" customHeight="1">
      <c r="A273" s="4" t="str">
        <f ca="1">IFERROR(__xludf.DUMMYFUNCTION("""COMPUTED_VALUE"""),"प्रससादोदयादम्भः कुम्भयोनेर्महौजसः । रघोरभिभवाशङ्कि चुक्षुभे द्विषतां मनः ||")</f>
        <v>प्रससादोदयादम्भः कुम्भयोनेर्महौजसः । रघोरभिभवाशङ्कि चुक्षुभे द्विषतां मनः ||</v>
      </c>
      <c r="B273" s="4" t="s">
        <v>1</v>
      </c>
      <c r="C273" s="4"/>
    </row>
    <row r="274" spans="1:3" ht="24" customHeight="1">
      <c r="A274" s="4" t="str">
        <f ca="1">IFERROR(__xludf.DUMMYFUNCTION("""COMPUTED_VALUE"""),"मदोदग्राः ककुद्मन्तः सरितां कूलमुद्रुजाः । लीलाखेलं अनुप्रापुर्मोहक्षास्तस्य विक्रमं ||")</f>
        <v>मदोदग्राः ककुद्मन्तः सरितां कूलमुद्रुजाः । लीलाखेलं अनुप्रापुर्मोहक्षास्तस्य विक्रमं ||</v>
      </c>
      <c r="B274" s="4" t="s">
        <v>12</v>
      </c>
      <c r="C274" s="4"/>
    </row>
    <row r="275" spans="1:3" ht="24" customHeight="1">
      <c r="A275" s="4" t="str">
        <f ca="1">IFERROR(__xludf.DUMMYFUNCTION("""COMPUTED_VALUE"""),"प्रसवैः सप्तपर्णानां मदगन्धिभिराहताः । असूययेव तन्नागाः सप्तधैव प्रसुस्रुवुः ||")</f>
        <v>प्रसवैः सप्तपर्णानां मदगन्धिभिराहताः । असूययेव तन्नागाः सप्तधैव प्रसुस्रुवुः ||</v>
      </c>
      <c r="B275" s="4" t="s">
        <v>4</v>
      </c>
      <c r="C275" s="4"/>
    </row>
    <row r="276" spans="1:3" ht="24" customHeight="1">
      <c r="A276" s="4" t="str">
        <f ca="1">IFERROR(__xludf.DUMMYFUNCTION("""COMPUTED_VALUE"""),"सरितः कुर्वती गाधाः पथश्चाश्यानकर्दमान् । यात्रायै चोदयां आस तं शक्तेः प्रथमं शरथ् ||")</f>
        <v>सरितः कुर्वती गाधाः पथश्चाश्यानकर्दमान् । यात्रायै चोदयां आस तं शक्तेः प्रथमं शरथ् ||</v>
      </c>
      <c r="B276" s="4" t="s">
        <v>0</v>
      </c>
      <c r="C276" s="4"/>
    </row>
    <row r="277" spans="1:3" ht="24" customHeight="1">
      <c r="A277" s="4" t="str">
        <f ca="1">IFERROR(__xludf.DUMMYFUNCTION("""COMPUTED_VALUE"""),"सम्यक्तस्मै घुतो वह्निर्वाजिनीराजनाविधौ । प्रदक्षिणार्चिर्व्याजेन हस्तेनेव जयं ददौ ||")</f>
        <v>सम्यक्तस्मै घुतो वह्निर्वाजिनीराजनाविधौ । प्रदक्षिणार्चिर्व्याजेन हस्तेनेव जयं ददौ ||</v>
      </c>
      <c r="B277" s="4" t="s">
        <v>17</v>
      </c>
      <c r="C277" s="4"/>
    </row>
    <row r="278" spans="1:3" ht="24" customHeight="1">
      <c r="A278" s="4" t="str">
        <f ca="1">IFERROR(__xludf.DUMMYFUNCTION("""COMPUTED_VALUE"""),"स गुप्तमूलप्रत्यन्तः शुद्धपार्ष्णिरयान्वितः । षड्विधं बलं आदाय प्रतस्थे दिग्जिगीषया ||")</f>
        <v>स गुप्तमूलप्रत्यन्तः शुद्धपार्ष्णिरयान्वितः । षड्विधं बलं आदाय प्रतस्थे दिग्जिगीषया ||</v>
      </c>
      <c r="B278" s="4" t="s">
        <v>5</v>
      </c>
      <c r="C278" s="4"/>
    </row>
    <row r="279" spans="1:3" ht="24" customHeight="1">
      <c r="A279" s="4" t="str">
        <f ca="1">IFERROR(__xludf.DUMMYFUNCTION("""COMPUTED_VALUE"""),"अवाकिरन्वयोवृद्धास्तं लाजैः पौरयोषितः । पृषतैर्मन्दरोद्धूतैः क्षीरोर्मय इवाच्युतं ||")</f>
        <v>अवाकिरन्वयोवृद्धास्तं लाजैः पौरयोषितः । पृषतैर्मन्दरोद्धूतैः क्षीरोर्मय इवाच्युतं ||</v>
      </c>
      <c r="B279" s="4" t="s">
        <v>2</v>
      </c>
      <c r="C279" s="4"/>
    </row>
    <row r="280" spans="1:3" ht="24" customHeight="1">
      <c r="A280" s="4" t="str">
        <f ca="1">IFERROR(__xludf.DUMMYFUNCTION("""COMPUTED_VALUE"""),"स ययौ प्रथमं प्राचीं तुल्यः प्राचीनबर्हिषा । अहिताननिलोद्धूतैस्तर्जयन्निव केतुभिः ||")</f>
        <v>स ययौ प्रथमं प्राचीं तुल्यः प्राचीनबर्हिषा । अहिताननिलोद्धूतैस्तर्जयन्निव केतुभिः ||</v>
      </c>
      <c r="B280" s="4" t="s">
        <v>6</v>
      </c>
      <c r="C280" s="4"/>
    </row>
    <row r="281" spans="1:3" ht="24" customHeight="1">
      <c r="A281" s="4" t="str">
        <f ca="1">IFERROR(__xludf.DUMMYFUNCTION("""COMPUTED_VALUE"""),"रजोभिः स्यन्दनोद्धूतैर्गजैश्च घनसंनिभैः । भुवस्तलं इव व्य्ॐअ कुर्वन्व्य्ॐएव भूतलं ||")</f>
        <v>रजोभिः स्यन्दनोद्धूतैर्गजैश्च घनसंनिभैः । भुवस्तलं इव व्य्ॐअ कुर्वन्व्य्ॐएव भूतलं ||</v>
      </c>
      <c r="B281" s="4" t="s">
        <v>11</v>
      </c>
      <c r="C281" s="4"/>
    </row>
    <row r="282" spans="1:3" ht="24" customHeight="1">
      <c r="A282" s="4" t="str">
        <f ca="1">IFERROR(__xludf.DUMMYFUNCTION("""COMPUTED_VALUE"""),"प्रतापोऽग्रे ततः शब्दः परागस्तदन्तरं । ययौ पश्चाद्रथादीति चतुःस्कन्धेव सा चमूः ||")</f>
        <v>प्रतापोऽग्रे ततः शब्दः परागस्तदन्तरं । ययौ पश्चाद्रथादीति चतुःस्कन्धेव सा चमूः ||</v>
      </c>
      <c r="B282" s="4" t="s">
        <v>12</v>
      </c>
      <c r="C282" s="4"/>
    </row>
    <row r="283" spans="1:3" ht="24" customHeight="1">
      <c r="A283" s="4" t="str">
        <f ca="1">IFERROR(__xludf.DUMMYFUNCTION("""COMPUTED_VALUE"""),"मरुपृष्ठान्युदम्भांसि नाव्याः सुप्रतरा नदीः । विपिनानि प्रकाशानि शक्तिमत्त्वाच्चकार सः ||")</f>
        <v>मरुपृष्ठान्युदम्भांसि नाव्याः सुप्रतरा नदीः । विपिनानि प्रकाशानि शक्तिमत्त्वाच्चकार सः ||</v>
      </c>
      <c r="B283" s="4" t="s">
        <v>18</v>
      </c>
      <c r="C283" s="4"/>
    </row>
    <row r="284" spans="1:3" ht="24" customHeight="1">
      <c r="A284" s="4" t="str">
        <f ca="1">IFERROR(__xludf.DUMMYFUNCTION("""COMPUTED_VALUE"""),"पुरोगैः कलुषास्तस्य सहप्रस्थायिभिः कृशाः । पश्चात्प्रयायिभिः पङ्काश्चक्रिरे मार्गनिम्नगाः ||")</f>
        <v>पुरोगैः कलुषास्तस्य सहप्रस्थायिभिः कृशाः । पश्चात्प्रयायिभिः पङ्काश्चक्रिरे मार्गनिम्नगाः ||</v>
      </c>
      <c r="B284" s="4" t="s">
        <v>15</v>
      </c>
      <c r="C284" s="4"/>
    </row>
    <row r="285" spans="1:3" ht="24" customHeight="1">
      <c r="A285" s="4" t="str">
        <f ca="1">IFERROR(__xludf.DUMMYFUNCTION("""COMPUTED_VALUE"""),"स सेनां महतीं कर्षन्पूर्वसागरगामिनीं । बभौ हरजटाभ्रष्टां गङ्गां इव भगीरथः ||")</f>
        <v>स सेनां महतीं कर्षन्पूर्वसागरगामिनीं । बभौ हरजटाभ्रष्टां गङ्गां इव भगीरथः ||</v>
      </c>
      <c r="B285" s="4" t="s">
        <v>10</v>
      </c>
      <c r="C285" s="4"/>
    </row>
    <row r="286" spans="1:3" ht="24" customHeight="1">
      <c r="A286" s="4" t="str">
        <f ca="1">IFERROR(__xludf.DUMMYFUNCTION("""COMPUTED_VALUE"""),"त्याजितैः फलं उत्खातैर्भग्नैश्च बहुधा नृपैः । तस्यासीदुल्बणो मार्गः पादपैरिव दन्तिनः ||")</f>
        <v>त्याजितैः फलं उत्खातैर्भग्नैश्च बहुधा नृपैः । तस्यासीदुल्बणो मार्गः पादपैरिव दन्तिनः ||</v>
      </c>
      <c r="B286" s="4" t="s">
        <v>1</v>
      </c>
      <c r="C286" s="4"/>
    </row>
    <row r="287" spans="1:3" ht="24" customHeight="1">
      <c r="A287" s="4" t="str">
        <f ca="1">IFERROR(__xludf.DUMMYFUNCTION("""COMPUTED_VALUE"""),"पौरस्त्यानेवं आक्रामंस्तांस्ताञ्जनपदाञ्जयी । प्राप तालीवन्श्यामं उपकञ्ठं महोदधेः ||")</f>
        <v>पौरस्त्यानेवं आक्रामंस्तांस्ताञ्जनपदाञ्जयी । प्राप तालीवन्श्यामं उपकञ्ठं महोदधेः ||</v>
      </c>
      <c r="B287" s="4" t="s">
        <v>20</v>
      </c>
      <c r="C287" s="4"/>
    </row>
    <row r="288" spans="1:3" ht="24" customHeight="1">
      <c r="A288" s="4" t="str">
        <f ca="1">IFERROR(__xludf.DUMMYFUNCTION("""COMPUTED_VALUE"""),"अनम्राणां समुद्धर्तुस्तस्मात्सिन्धुरयादिव । आत्मा संरक्षितः सुह्मैर्वृत्तिं आश्रित्य वैतसीं ||")</f>
        <v>अनम्राणां समुद्धर्तुस्तस्मात्सिन्धुरयादिव । आत्मा संरक्षितः सुह्मैर्वृत्तिं आश्रित्य वैतसीं ||</v>
      </c>
      <c r="B288" s="4" t="s">
        <v>18</v>
      </c>
      <c r="C288" s="4"/>
    </row>
    <row r="289" spans="1:3" ht="24" customHeight="1">
      <c r="A289" s="4" t="str">
        <f ca="1">IFERROR(__xludf.DUMMYFUNCTION("""COMPUTED_VALUE"""),"वङ्गानुत्खाय तरसा नेता नौसाधनोद्धतान् । निचखान जयस्तम्भान्गङ्गास्रोतोऽन्तरेषु सः ||")</f>
        <v>वङ्गानुत्खाय तरसा नेता नौसाधनोद्धतान् । निचखान जयस्तम्भान्गङ्गास्रोतोऽन्तरेषु सः ||</v>
      </c>
      <c r="B289" s="4" t="s">
        <v>18</v>
      </c>
      <c r="C289" s="4"/>
    </row>
    <row r="290" spans="1:3" ht="24" customHeight="1">
      <c r="A290" s="4" t="str">
        <f ca="1">IFERROR(__xludf.DUMMYFUNCTION("""COMPUTED_VALUE"""),"आपादपद्मप्रणताः कलमा इव ते रघुं । फलैः संवर्धयां आसुरुत्खातप्रतिरोपिताः ||")</f>
        <v>आपादपद्मप्रणताः कलमा इव ते रघुं । फलैः संवर्धयां आसुरुत्खातप्रतिरोपिताः ||</v>
      </c>
      <c r="B290" s="4" t="s">
        <v>2</v>
      </c>
      <c r="C290" s="4"/>
    </row>
    <row r="291" spans="1:3" ht="24" customHeight="1">
      <c r="A291" s="4" t="str">
        <f ca="1">IFERROR(__xludf.DUMMYFUNCTION("""COMPUTED_VALUE"""),"स तीर्त्वा कपिषां सैन्यैर्बद्धद्विरदसेतुभिः । उत्कलादर्शितपथः कलिङ्गाभिमुखो ययौ ||")</f>
        <v>स तीर्त्वा कपिषां सैन्यैर्बद्धद्विरदसेतुभिः । उत्कलादर्शितपथः कलिङ्गाभिमुखो ययौ ||</v>
      </c>
      <c r="B291" s="4" t="s">
        <v>5</v>
      </c>
      <c r="C291" s="4"/>
    </row>
    <row r="292" spans="1:3" ht="24" customHeight="1">
      <c r="A292" s="4" t="str">
        <f ca="1">IFERROR(__xludf.DUMMYFUNCTION("""COMPUTED_VALUE"""),"स प्रतापं महेन्द्रस्य मूर्ध्नि तीक्ष्णं न्यवेशयथ् । अङ्कुशं द्विरदस्येव यन्ता गम्भीरवेदिनः ||")</f>
        <v>स प्रतापं महेन्द्रस्य मूर्ध्नि तीक्ष्णं न्यवेशयथ् । अङ्कुशं द्विरदस्येव यन्ता गम्भीरवेदिनः ||</v>
      </c>
      <c r="B292" s="4" t="s">
        <v>1</v>
      </c>
      <c r="C292" s="4"/>
    </row>
    <row r="293" spans="1:3" ht="24" customHeight="1">
      <c r="A293" s="4" t="str">
        <f ca="1">IFERROR(__xludf.DUMMYFUNCTION("""COMPUTED_VALUE"""),"प्रतिजग्राह कालिङ्गस्तं अस्त्रैर्गजसाधनः । पक्षच्छेदोद्यतं शक्रं शिलावर्षीव पर्वतः ||")</f>
        <v>प्रतिजग्राह कालिङ्गस्तं अस्त्रैर्गजसाधनः । पक्षच्छेदोद्यतं शक्रं शिलावर्षीव पर्वतः ||</v>
      </c>
      <c r="B293" s="4" t="s">
        <v>2</v>
      </c>
      <c r="C293" s="4"/>
    </row>
    <row r="294" spans="1:3" ht="24" customHeight="1">
      <c r="A294" s="4" t="str">
        <f ca="1">IFERROR(__xludf.DUMMYFUNCTION("""COMPUTED_VALUE"""),"द्विषां विषह्य काकुत्स्थस्तत्र नाराचदुर्दिनं । सन्मङ्गलस्नात इव प्रतिपेदे जयश्रियं ||")</f>
        <v>द्विषां विषह्य काकुत्स्थस्तत्र नाराचदुर्दिनं । सन्मङ्गलस्नात इव प्रतिपेदे जयश्रियं ||</v>
      </c>
      <c r="B294" s="4" t="s">
        <v>5</v>
      </c>
      <c r="C294" s="4"/>
    </row>
    <row r="295" spans="1:3" ht="24" customHeight="1">
      <c r="A295" s="4" t="str">
        <f ca="1">IFERROR(__xludf.DUMMYFUNCTION("""COMPUTED_VALUE"""),"वायव्यास्त्रविनिर्धूतात्पक्षाविद्धान्महोदधेः । गजानीकात्स कालिङ्गं तार्क्ष्यः सर्पं इवाददे ||")</f>
        <v>वायव्यास्त्रविनिर्धूतात्पक्षाविद्धान्महोदधेः । गजानीकात्स कालिङ्गं तार्क्ष्यः सर्पं इवाददे ||</v>
      </c>
      <c r="B295" s="4" t="s">
        <v>17</v>
      </c>
      <c r="C295" s="4"/>
    </row>
    <row r="296" spans="1:3" ht="24" customHeight="1">
      <c r="A296" s="4" t="str">
        <f ca="1">IFERROR(__xludf.DUMMYFUNCTION("""COMPUTED_VALUE"""),"ताम्बूलीनां दलैस्तत्र रचितापानभूमयः । नलिकेरासवं योधाः शात्रवं च पपुर्यशः ||")</f>
        <v>ताम्बूलीनां दलैस्तत्र रचितापानभूमयः । नलिकेरासवं योधाः शात्रवं च पपुर्यशः ||</v>
      </c>
      <c r="B296" s="4" t="s">
        <v>8</v>
      </c>
      <c r="C296" s="4"/>
    </row>
    <row r="297" spans="1:3" ht="24" customHeight="1">
      <c r="A297" s="4" t="str">
        <f ca="1">IFERROR(__xludf.DUMMYFUNCTION("""COMPUTED_VALUE"""),"गृहीतप्रतिमुक्तस्य स धर्मविजयी नृपः । श्रियं महेन्द्रनाथस्य जहार न तु मेदिनीं ||")</f>
        <v>गृहीतप्रतिमुक्तस्य स धर्मविजयी नृपः । श्रियं महेन्द्रनाथस्य जहार न तु मेदिनीं ||</v>
      </c>
      <c r="B297" s="4" t="s">
        <v>1</v>
      </c>
      <c r="C297" s="4"/>
    </row>
    <row r="298" spans="1:3" ht="24" customHeight="1">
      <c r="A298" s="4" t="str">
        <f ca="1">IFERROR(__xludf.DUMMYFUNCTION("""COMPUTED_VALUE"""),"ततो वेलातटेनैव फलवत्पूगमालिना । अगस्त्याचरितां आशां अनाशास्यजयो ययौ ||")</f>
        <v>ततो वेलातटेनैव फलवत्पूगमालिना । अगस्त्याचरितां आशां अनाशास्यजयो ययौ ||</v>
      </c>
      <c r="B298" s="4" t="s">
        <v>5</v>
      </c>
      <c r="C298" s="4"/>
    </row>
    <row r="299" spans="1:3" ht="24" customHeight="1">
      <c r="A299" s="4" t="str">
        <f ca="1">IFERROR(__xludf.DUMMYFUNCTION("""COMPUTED_VALUE"""),"स सैन्यपरिभोगेण गजदानसुगन्धिना । कावेरीं सरितां पत्युः शङ्कनीयां इवाकरोथ् ||")</f>
        <v>स सैन्यपरिभोगेण गजदानसुगन्धिना । कावेरीं सरितां पत्युः शङ्कनीयां इवाकरोथ् ||</v>
      </c>
      <c r="B299" s="4" t="s">
        <v>0</v>
      </c>
      <c r="C299" s="4"/>
    </row>
    <row r="300" spans="1:3" ht="24" customHeight="1">
      <c r="A300" s="4" t="str">
        <f ca="1">IFERROR(__xludf.DUMMYFUNCTION("""COMPUTED_VALUE"""),"बलैरधुषितास्तस्य विजिगीषोर्गताध्वनः । मरिचोद्भ्रान्तहारीता मलयाद्रेरुपत्यकाः ||")</f>
        <v>बलैरधुषितास्तस्य विजिगीषोर्गताध्वनः । मरिचोद्भ्रान्तहारीता मलयाद्रेरुपत्यकाः ||</v>
      </c>
      <c r="B300" s="4" t="s">
        <v>19</v>
      </c>
      <c r="C300" s="4"/>
    </row>
    <row r="301" spans="1:3" ht="24" customHeight="1">
      <c r="A301" s="4" t="str">
        <f ca="1">IFERROR(__xludf.DUMMYFUNCTION("""COMPUTED_VALUE"""),"ससञ्जुरश्वक्षुण्णानां एलानां उत्पतिष्णवः । तुल्यगन्धिषु मत्तेभकटेषु फलरेणवः ||")</f>
        <v>ससञ्जुरश्वक्षुण्णानां एलानां उत्पतिष्णवः । तुल्यगन्धिषु मत्तेभकटेषु फलरेणवः ||</v>
      </c>
      <c r="B301" s="4" t="s">
        <v>4</v>
      </c>
      <c r="C301" s="4"/>
    </row>
    <row r="302" spans="1:3" ht="24" customHeight="1">
      <c r="A302" s="4" t="str">
        <f ca="1">IFERROR(__xludf.DUMMYFUNCTION("""COMPUTED_VALUE"""),"आजानेयखुरक्षुण्णपक्वैलाक्षेत्रसंभवं । व्यानशे सपदि व्य्ॐअ त्रिपदीछेदिनां अपि ||")</f>
        <v>आजानेयखुरक्षुण्णपक्वैलाक्षेत्रसंभवं । व्यानशे सपदि व्य्ॐअ त्रिपदीछेदिनां अपि ||</v>
      </c>
      <c r="B302" s="4" t="s">
        <v>9</v>
      </c>
      <c r="C302" s="4"/>
    </row>
    <row r="303" spans="1:3" ht="24" customHeight="1">
      <c r="A303" s="4" t="str">
        <f ca="1">IFERROR(__xludf.DUMMYFUNCTION("""COMPUTED_VALUE"""),"भोगिवेष्टनमार्गेषु चन्दनानां समर्पितं । न्ऽआस्रसत्करिणां ग्रैवं त्रिपदीछेदिनां अपि ||")</f>
        <v>भोगिवेष्टनमार्गेषु चन्दनानां समर्पितं । न्ऽआस्रसत्करिणां ग्रैवं त्रिपदीछेदिनां अपि ||</v>
      </c>
      <c r="B303" s="4" t="s">
        <v>9</v>
      </c>
      <c r="C303" s="4"/>
    </row>
    <row r="304" spans="1:3" ht="24" customHeight="1">
      <c r="A304" s="4" t="str">
        <f ca="1">IFERROR(__xludf.DUMMYFUNCTION("""COMPUTED_VALUE"""),"दिशि मन्दायते तेजो दक्षिणस्यां रवेरपि । तस्यां एव रघोः पाण्ड्याः प्रतापं न विषेहिरे ||")</f>
        <v>दिशि मन्दायते तेजो दक्षिणस्यां रवेरपि । तस्यां एव रघोः पाण्ड्याः प्रतापं न विषेहिरे ||</v>
      </c>
      <c r="B304" s="4" t="s">
        <v>0</v>
      </c>
      <c r="C304" s="4"/>
    </row>
    <row r="305" spans="1:3" ht="24" customHeight="1">
      <c r="A305" s="4" t="str">
        <f ca="1">IFERROR(__xludf.DUMMYFUNCTION("""COMPUTED_VALUE"""),"ताम्रपर्णीसमेतस्य मुक्तासारं महोदधेः । ते निपत्य ददुस्तस्मै यशः स्वं इव संचितं ||")</f>
        <v>ताम्रपर्णीसमेतस्य मुक्तासारं महोदधेः । ते निपत्य ददुस्तस्मै यशः स्वं इव संचितं ||</v>
      </c>
      <c r="B305" s="4" t="s">
        <v>2</v>
      </c>
      <c r="C305" s="4"/>
    </row>
    <row r="306" spans="1:3" ht="24" customHeight="1">
      <c r="A306" s="4" t="str">
        <f ca="1">IFERROR(__xludf.DUMMYFUNCTION("""COMPUTED_VALUE"""),"स निर्विश्य यथाकामं तटेष्वालीनचन्दनौ । स्तनाविव दिशस्तस्याः शैलौ मलयदर्दुरौ ||")</f>
        <v>स निर्विश्य यथाकामं तटेष्वालीनचन्दनौ । स्तनाविव दिशस्तस्याः शैलौ मलयदर्दुरौ ||</v>
      </c>
      <c r="B306" s="4" t="s">
        <v>0</v>
      </c>
      <c r="C306" s="4"/>
    </row>
    <row r="307" spans="1:3" ht="24" customHeight="1">
      <c r="A307" s="4" t="str">
        <f ca="1">IFERROR(__xludf.DUMMYFUNCTION("""COMPUTED_VALUE"""),"तस्यानीकैर्विसर्पद्भिरपरान्तजयोद्यतैः । रामास्त्रोत्सारितोऽप्यासीत्सह्यलग्न इवार्णवः ||")</f>
        <v>तस्यानीकैर्विसर्पद्भिरपरान्तजयोद्यतैः । रामास्त्रोत्सारितोऽप्यासीत्सह्यलग्न इवार्णवः ||</v>
      </c>
      <c r="B307" s="4" t="s">
        <v>4</v>
      </c>
      <c r="C307" s="4"/>
    </row>
    <row r="308" spans="1:3" ht="24" customHeight="1">
      <c r="A308" s="4" t="str">
        <f ca="1">IFERROR(__xludf.DUMMYFUNCTION("""COMPUTED_VALUE"""),"भयोत्सृष्टविभूषाणां तेन केरलयोषितां । अलकेषु चमूरेणुश्चूर्णप्रतिनिधीकृतः ||")</f>
        <v>भयोत्सृष्टविभूषाणां तेन केरलयोषितां । अलकेषु चमूरेणुश्चूर्णप्रतिनिधीकृतः ||</v>
      </c>
      <c r="B308" s="4" t="s">
        <v>2</v>
      </c>
      <c r="C308" s="4"/>
    </row>
    <row r="309" spans="1:3" ht="24" customHeight="1">
      <c r="A309" s="4" t="str">
        <f ca="1">IFERROR(__xludf.DUMMYFUNCTION("""COMPUTED_VALUE"""),"मुरलामारुतोद्धूतं अगमत्कैतकं रजः । तद्योधवारबाणानां अयत्नपटवासतां ||")</f>
        <v>मुरलामारुतोद्धूतं अगमत्कैतकं रजः । तद्योधवारबाणानां अयत्नपटवासतां ||</v>
      </c>
      <c r="B309" s="4" t="s">
        <v>2</v>
      </c>
      <c r="C309" s="4"/>
    </row>
    <row r="310" spans="1:3" ht="24" customHeight="1">
      <c r="A310" s="4" t="str">
        <f ca="1">IFERROR(__xludf.DUMMYFUNCTION("""COMPUTED_VALUE"""),"अभ्यभूयत वाहानां चरतां गात्रशिञ्जितैः । वर्मभिः पवनोद्धूतराजतालीवनद्व्ह्वनैः ||")</f>
        <v>अभ्यभूयत वाहानां चरतां गात्रशिञ्जितैः । वर्मभिः पवनोद्धूतराजतालीवनद्व्ह्वनैः ||</v>
      </c>
      <c r="B310" s="4" t="s">
        <v>1</v>
      </c>
      <c r="C310" s="4"/>
    </row>
    <row r="311" spans="1:3" ht="24" customHeight="1">
      <c r="A311" s="4" t="str">
        <f ca="1">IFERROR(__xludf.DUMMYFUNCTION("""COMPUTED_VALUE"""),"खर्जूरीस्कन्धनद्धानां मदोद्गार्तसुगन्धिषु । कटेषु करिणां पेतुः पुंनागेभ्यः शिलीमुखाः ||")</f>
        <v>खर्जूरीस्कन्धनद्धानां मदोद्गार्तसुगन्धिषु । कटेषु करिणां पेतुः पुंनागेभ्यः शिलीमुखाः ||</v>
      </c>
      <c r="B311" s="4" t="s">
        <v>14</v>
      </c>
      <c r="C311" s="4"/>
    </row>
    <row r="312" spans="1:3" ht="24" customHeight="1">
      <c r="A312" s="4" t="str">
        <f ca="1">IFERROR(__xludf.DUMMYFUNCTION("""COMPUTED_VALUE"""),"अवकाशं किलोदन्वान्रामायाभ्यर्थितो ददौ । अपरान्तमहीपालव्याजेन रघवे करं ||")</f>
        <v>अवकाशं किलोदन्वान्रामायाभ्यर्थितो ददौ । अपरान्तमहीपालव्याजेन रघवे करं ||</v>
      </c>
      <c r="B312" s="4" t="s">
        <v>0</v>
      </c>
      <c r="C312" s="4"/>
    </row>
    <row r="313" spans="1:3" ht="24" customHeight="1">
      <c r="A313" s="4" t="str">
        <f ca="1">IFERROR(__xludf.DUMMYFUNCTION("""COMPUTED_VALUE"""),"मत्तेभरदनोत्कीर्णव्यक्तविक्रमलक्षणं । त्रिकूटं एव तत्रोच्चैर्जयस्तम्भं चकार सः ||")</f>
        <v>मत्तेभरदनोत्कीर्णव्यक्तविक्रमलक्षणं । त्रिकूटं एव तत्रोच्चैर्जयस्तम्भं चकार सः ||</v>
      </c>
      <c r="B313" s="4" t="s">
        <v>18</v>
      </c>
      <c r="C313" s="4"/>
    </row>
    <row r="314" spans="1:3" ht="24" customHeight="1">
      <c r="A314" s="4" t="str">
        <f ca="1">IFERROR(__xludf.DUMMYFUNCTION("""COMPUTED_VALUE"""),"पारसीकांस्ततो जेतुं प्रतस्थे स्थलवर्त्मना । इन्द्रियाख्यानिव रिपूंस्तत्त्वज्ञानेन संयमी ||")</f>
        <v>पारसीकांस्ततो जेतुं प्रतस्थे स्थलवर्त्मना । इन्द्रियाख्यानिव रिपूंस्तत्त्वज्ञानेन संयमी ||</v>
      </c>
      <c r="B314" s="4" t="s">
        <v>12</v>
      </c>
      <c r="C314" s="4"/>
    </row>
    <row r="315" spans="1:3" ht="24" customHeight="1">
      <c r="A315" s="4" t="str">
        <f ca="1">IFERROR(__xludf.DUMMYFUNCTION("""COMPUTED_VALUE"""),"यवनीमुखपद्मानां सेहे मधुमदं न सः । बालातपं इवाब्जानां अकालजलदोदयः ||")</f>
        <v>यवनीमुखपद्मानां सेहे मधुमदं न सः । बालातपं इवाब्जानां अकालजलदोदयः ||</v>
      </c>
      <c r="B315" s="4" t="s">
        <v>5</v>
      </c>
      <c r="C315" s="4"/>
    </row>
    <row r="316" spans="1:3" ht="24" customHeight="1">
      <c r="A316" s="4" t="str">
        <f ca="1">IFERROR(__xludf.DUMMYFUNCTION("""COMPUTED_VALUE"""),"संग्रामस्तुमुलस्तस्य पाश्चात्यैरश्वसाधनैः । शार्ङ्गकूजितविज्ञेयप्रतियोधे रजस्यभूथ् ||")</f>
        <v>संग्रामस्तुमुलस्तस्य पाश्चात्यैरश्वसाधनैः । शार्ङ्गकूजितविज्ञेयप्रतियोधे रजस्यभूथ् ||</v>
      </c>
      <c r="B316" s="4" t="s">
        <v>6</v>
      </c>
      <c r="C316" s="4"/>
    </row>
    <row r="317" spans="1:3" ht="24" customHeight="1">
      <c r="A317" s="4" t="str">
        <f ca="1">IFERROR(__xludf.DUMMYFUNCTION("""COMPUTED_VALUE"""),"भल्लापवर्जितैस्तेषां शिरोभिः श्मश्रुलैर्महीं । तस्तार सरघाव्याप्तैः स क्षौद्रपटलैरिव ||")</f>
        <v>भल्लापवर्जितैस्तेषां शिरोभिः श्मश्रुलैर्महीं । तस्तार सरघाव्याप्तैः स क्षौद्रपटलैरिव ||</v>
      </c>
      <c r="B317" s="4" t="s">
        <v>4</v>
      </c>
      <c r="C317" s="4"/>
    </row>
    <row r="318" spans="1:3" ht="24" customHeight="1">
      <c r="A318" s="4" t="str">
        <f ca="1">IFERROR(__xludf.DUMMYFUNCTION("""COMPUTED_VALUE"""),"अपनीतशिरस्त्राणाः शेषास्तं शरणं ययुः । प्रणिपातप्रतीकारः संरम्भो हि महात्मनां ||")</f>
        <v>अपनीतशिरस्त्राणाः शेषास्तं शरणं ययुः । प्रणिपातप्रतीकारः संरम्भो हि महात्मनां ||</v>
      </c>
      <c r="B318" s="4" t="s">
        <v>1</v>
      </c>
      <c r="C318" s="4"/>
    </row>
    <row r="319" spans="1:3" ht="24" customHeight="1">
      <c r="A319" s="4" t="str">
        <f ca="1">IFERROR(__xludf.DUMMYFUNCTION("""COMPUTED_VALUE"""),"विनयन्ते स्म तद्योधा मधुभिर्विजयश्रमं । आस्तीर्णाजिनरत्नासु द्राक्षावलयभूमिषु ||")</f>
        <v>विनयन्ते स्म तद्योधा मधुभिर्विजयश्रमं । आस्तीर्णाजिनरत्नासु द्राक्षावलयभूमिषु ||</v>
      </c>
      <c r="B319" s="4" t="s">
        <v>13</v>
      </c>
      <c r="C319" s="4"/>
    </row>
    <row r="320" spans="1:3" ht="24" customHeight="1">
      <c r="A320" s="4" t="str">
        <f ca="1">IFERROR(__xludf.DUMMYFUNCTION("""COMPUTED_VALUE"""),"ततः प्रतस्थे कौबेरीं भास्वानिव रघुर्दिशं । शरैरुस्रैरिवोदीच्यानुद्धरिष्यं रसानिव ||")</f>
        <v>ततः प्रतस्थे कौबेरीं भास्वानिव रघुर्दिशं । शरैरुस्रैरिवोदीच्यानुद्धरिष्यं रसानिव ||</v>
      </c>
      <c r="B320" s="4" t="s">
        <v>4</v>
      </c>
      <c r="C320" s="4"/>
    </row>
    <row r="321" spans="1:3" ht="24" customHeight="1">
      <c r="A321" s="4" t="str">
        <f ca="1">IFERROR(__xludf.DUMMYFUNCTION("""COMPUTED_VALUE"""),"जितानजय्यस्तानेव कृत्वा रथपुरःसरान् । महार्णवं इवौराग्निः प्रविवेशोत्तरापथं ||")</f>
        <v>जितानजय्यस्तानेव कृत्वा रथपुरःसरान् । महार्णवं इवौराग्निः प्रविवेशोत्तरापथं ||</v>
      </c>
      <c r="B321" s="4" t="s">
        <v>10</v>
      </c>
      <c r="C321" s="4"/>
    </row>
    <row r="322" spans="1:3" ht="24" customHeight="1">
      <c r="A322" s="4" t="str">
        <f ca="1">IFERROR(__xludf.DUMMYFUNCTION("""COMPUTED_VALUE"""),"विनीताध्वश्रमास्तस्य सिन्धुतीरवेचेष्टनैः । दुधुवुर्वाजिनः स्कन्धांल्लग्नकुङ्कुमकेसरान् ||")</f>
        <v>विनीताध्वश्रमास्तस्य सिन्धुतीरवेचेष्टनैः । दुधुवुर्वाजिनः स्कन्धांल्लग्नकुङ्कुमकेसरान् ||</v>
      </c>
      <c r="B322" s="4" t="s">
        <v>0</v>
      </c>
      <c r="C322" s="4"/>
    </row>
    <row r="323" spans="1:3" ht="24" customHeight="1">
      <c r="A323" s="4" t="str">
        <f ca="1">IFERROR(__xludf.DUMMYFUNCTION("""COMPUTED_VALUE"""),"तत्र हूणावरोधानां भर्तृशु व्यक्तविक्रमं । कपोलपाटलादेशि बभूव रघुचेष्टितं ||")</f>
        <v>तत्र हूणावरोधानां भर्तृशु व्यक्तविक्रमं । कपोलपाटलादेशि बभूव रघुचेष्टितं ||</v>
      </c>
      <c r="B323" s="4" t="s">
        <v>2</v>
      </c>
      <c r="C323" s="4"/>
    </row>
    <row r="324" spans="1:3" ht="24" customHeight="1">
      <c r="A324" s="4" t="str">
        <f ca="1">IFERROR(__xludf.DUMMYFUNCTION("""COMPUTED_VALUE"""),"काम्बोजाः समरे सोढुं तस्य वीर्यं अनीश्वराः । गजालानपरिक्लिष्टैरक्षोटैः सार्धं आनताः ||")</f>
        <v>काम्बोजाः समरे सोढुं तस्य वीर्यं अनीश्वराः । गजालानपरिक्लिष्टैरक्षोटैः सार्धं आनताः ||</v>
      </c>
      <c r="B324" s="4" t="s">
        <v>2</v>
      </c>
      <c r="C324" s="4"/>
    </row>
    <row r="325" spans="1:3" ht="24" customHeight="1">
      <c r="A325" s="4" t="str">
        <f ca="1">IFERROR(__xludf.DUMMYFUNCTION("""COMPUTED_VALUE"""),"तेषां सदश्वभूयिष्ठास्तुङ्गा द्रविणराशयः । उपदा विविशुः शश्वन्नोत्सेकाः कोसलेश्वरं ||")</f>
        <v>तेषां सदश्वभूयिष्ठास्तुङ्गा द्रविणराशयः । उपदा विविशुः शश्वन्नोत्सेकाः कोसलेश्वरं ||</v>
      </c>
      <c r="B325" s="4" t="s">
        <v>0</v>
      </c>
      <c r="C325" s="4"/>
    </row>
    <row r="326" spans="1:3" ht="24" customHeight="1">
      <c r="A326" s="4" t="str">
        <f ca="1">IFERROR(__xludf.DUMMYFUNCTION("""COMPUTED_VALUE"""),"ततो गौरीगुरुं शैलं आरुरोहाश्वसाधनः । वर्धयन्निव तत्कूटानुद्धूतैर्धातुरेणुभिः ||")</f>
        <v>ततो गौरीगुरुं शैलं आरुरोहाश्वसाधनः । वर्धयन्निव तत्कूटानुद्धूतैर्धातुरेणुभिः ||</v>
      </c>
      <c r="B326" s="4" t="s">
        <v>6</v>
      </c>
      <c r="C326" s="4"/>
    </row>
    <row r="327" spans="1:3" ht="24" customHeight="1">
      <c r="A327" s="4" t="str">
        <f ca="1">IFERROR(__xludf.DUMMYFUNCTION("""COMPUTED_VALUE"""),"शशंस तुल्यसत्त्वानां सैन्यघोषेऽप्यसंभ्रमं । गुहाशयानां सिंहानां परिवृत्यावलोकितं ||")</f>
        <v>शशंस तुल्यसत्त्वानां सैन्यघोषेऽप्यसंभ्रमं । गुहाशयानां सिंहानां परिवृत्यावलोकितं ||</v>
      </c>
      <c r="B327" s="4" t="s">
        <v>2</v>
      </c>
      <c r="C327" s="4"/>
    </row>
    <row r="328" spans="1:3" ht="24" customHeight="1">
      <c r="A328" s="4" t="str">
        <f ca="1">IFERROR(__xludf.DUMMYFUNCTION("""COMPUTED_VALUE"""),"भूर्जेषु मर्मरीभूताः कीचकध्वनिहेतवः । गङ्गाशीकरिणो मार्गे मरुतस्तं सिषेविरे ||")</f>
        <v>भूर्जेषु मर्मरीभूताः कीचकध्वनिहेतवः । गङ्गाशीकरिणो मार्गे मरुतस्तं सिषेविरे ||</v>
      </c>
      <c r="B328" s="4" t="s">
        <v>0</v>
      </c>
      <c r="C328" s="4"/>
    </row>
    <row r="329" spans="1:3" ht="24" customHeight="1">
      <c r="A329" s="4" t="str">
        <f ca="1">IFERROR(__xludf.DUMMYFUNCTION("""COMPUTED_VALUE"""),"विशश्रमुर्नमेरूणां छायास्वध्यास्य सैनिकाः । दृषदो वासितोत्सङ्गा निषण्णमृगनाभिभिः ||")</f>
        <v>विशश्रमुर्नमेरूणां छायास्वध्यास्य सैनिकाः । दृषदो वासितोत्सङ्गा निषण्णमृगनाभिभिः ||</v>
      </c>
      <c r="B329" s="4" t="s">
        <v>6</v>
      </c>
      <c r="C329" s="4"/>
    </row>
    <row r="330" spans="1:3" ht="24" customHeight="1">
      <c r="A330" s="4" t="str">
        <f ca="1">IFERROR(__xludf.DUMMYFUNCTION("""COMPUTED_VALUE"""),"सरलासक्तमातङ्गग्रैवेयस्फुरितत्विषः । आसन्नोषधयो नेतुर्नक्तं अस्नेहदीपिकाः ||")</f>
        <v>सरलासक्तमातङ्गग्रैवेयस्फुरितत्विषः । आसन्नोषधयो नेतुर्नक्तं अस्नेहदीपिकाः ||</v>
      </c>
      <c r="B330" s="4" t="s">
        <v>19</v>
      </c>
      <c r="C330" s="4"/>
    </row>
    <row r="331" spans="1:3" ht="24" customHeight="1">
      <c r="A331" s="4" t="str">
        <f ca="1">IFERROR(__xludf.DUMMYFUNCTION("""COMPUTED_VALUE"""),"तस्योत्सृष्टनिवासेषु कण्ठरज्जुक्षत त्वचः । गजवर्ष्म किरातेभ्यः शशंसुर्देवदारवः ||")</f>
        <v>तस्योत्सृष्टनिवासेषु कण्ठरज्जुक्षत त्वचः । गजवर्ष्म किरातेभ्यः शशंसुर्देवदारवः ||</v>
      </c>
      <c r="B331" s="4" t="s">
        <v>4</v>
      </c>
      <c r="C331" s="4"/>
    </row>
    <row r="332" spans="1:3" ht="24" customHeight="1">
      <c r="A332" s="4" t="str">
        <f ca="1">IFERROR(__xludf.DUMMYFUNCTION("""COMPUTED_VALUE"""),"तत्र जन्यं रघोर्घोरं पार्वतीयैर्गणैरभूथ् । नाराचक्षेपणीयाश्मनिष्पेषोत्पतितानलं ||")</f>
        <v>तत्र जन्यं रघोर्घोरं पार्वतीयैर्गणैरभूथ् । नाराचक्षेपणीयाश्मनिष्पेषोत्पतितानलं ||</v>
      </c>
      <c r="B332" s="4" t="s">
        <v>11</v>
      </c>
      <c r="C332" s="4"/>
    </row>
    <row r="333" spans="1:3" ht="24" customHeight="1">
      <c r="A333" s="4" t="str">
        <f ca="1">IFERROR(__xludf.DUMMYFUNCTION("""COMPUTED_VALUE"""),"शरैरुत्सवसंकेतान्स कृत्वा विरतोत्सवान् । जयोदाहरणं बाह्वोर्गापयां आस किंनरान् ||")</f>
        <v>शरैरुत्सवसंकेतान्स कृत्वा विरतोत्सवान् । जयोदाहरणं बाह्वोर्गापयां आस किंनरान् ||</v>
      </c>
      <c r="B333" s="4" t="s">
        <v>0</v>
      </c>
      <c r="C333" s="4"/>
    </row>
    <row r="334" spans="1:3" ht="24" customHeight="1">
      <c r="A334" s="4" t="str">
        <f ca="1">IFERROR(__xludf.DUMMYFUNCTION("""COMPUTED_VALUE"""),"परस्परेण विज्ञातस्तेषूपायनपाणिषु । राज्ञा हिमवतः सारो राज्ञः सारो हिमाद्रिणा ||")</f>
        <v>परस्परेण विज्ञातस्तेषूपायनपाणिषु । राज्ञा हिमवतः सारो राज्ञः सारो हिमाद्रिणा ||</v>
      </c>
      <c r="B334" s="4" t="s">
        <v>7</v>
      </c>
      <c r="C334" s="4"/>
    </row>
    <row r="335" spans="1:3" ht="24" customHeight="1">
      <c r="A335" s="4" t="str">
        <f ca="1">IFERROR(__xludf.DUMMYFUNCTION("""COMPUTED_VALUE"""),"तत्राक्षोभ्यं यशोराशिं निवेश्यावरुरोभ सः । पौलस्त्यतुलितस्याद्रेरादधान इव ह्रियं ||")</f>
        <v>तत्राक्षोभ्यं यशोराशिं निवेश्यावरुरोभ सः । पौलस्त्यतुलितस्याद्रेरादधान इव ह्रियं ||</v>
      </c>
      <c r="B335" s="4" t="s">
        <v>5</v>
      </c>
      <c r="C335" s="4"/>
    </row>
    <row r="336" spans="1:3" ht="24" customHeight="1">
      <c r="A336" s="4" t="str">
        <f ca="1">IFERROR(__xludf.DUMMYFUNCTION("""COMPUTED_VALUE"""),"चकम्पे तीर्णलौहित्ये तस्मिन्प्राग्ज्योतिषेश्वरः । तद्गालानतां प्राप्तैः सह कालागुरुद्रुअमैः ||")</f>
        <v>चकम्पे तीर्णलौहित्ये तस्मिन्प्राग्ज्योतिषेश्वरः । तद्गालानतां प्राप्तैः सह कालागुरुद्रुअमैः ||</v>
      </c>
      <c r="B336" s="4" t="s">
        <v>12</v>
      </c>
      <c r="C336" s="4"/>
    </row>
    <row r="337" spans="1:3" ht="24" customHeight="1">
      <c r="A337" s="4" t="str">
        <f ca="1">IFERROR(__xludf.DUMMYFUNCTION("""COMPUTED_VALUE"""),"न प्रसेहे स रुद्धार्कं अधारावर्षदुर्दिनं । रथवर्त्म रजोऽप्यस्य कुत एव पताकिनीं ||")</f>
        <v>न प्रसेहे स रुद्धार्कं अधारावर्षदुर्दिनं । रथवर्त्म रजोऽप्यस्य कुत एव पताकिनीं ||</v>
      </c>
      <c r="B337" s="4" t="s">
        <v>1</v>
      </c>
      <c r="C337" s="4"/>
    </row>
    <row r="338" spans="1:3" ht="24" customHeight="1">
      <c r="A338" s="4" t="str">
        <f ca="1">IFERROR(__xludf.DUMMYFUNCTION("""COMPUTED_VALUE"""),"तं ईशः कामरूपाणां अत्याखण्डलविक्रमं । भेजे भिन्नकटैर्नागैरन्यानुपरुरोध यैः ||")</f>
        <v>तं ईशः कामरूपाणां अत्याखण्डलविक्रमं । भेजे भिन्नकटैर्नागैरन्यानुपरुरोध यैः ||</v>
      </c>
      <c r="B338" s="4" t="s">
        <v>5</v>
      </c>
      <c r="C338" s="4"/>
    </row>
    <row r="339" spans="1:3" ht="24" customHeight="1">
      <c r="A339" s="4" t="str">
        <f ca="1">IFERROR(__xludf.DUMMYFUNCTION("""COMPUTED_VALUE"""),"कामरूपेश्वरस्तस्य हेमपीठाधिदेवतां । रत्नपुष्पोपहारेण च्छायां आनर्च पादयोः ||")</f>
        <v>कामरूपेश्वरस्तस्य हेमपीठाधिदेवतां । रत्नपुष्पोपहारेण च्छायां आनर्च पादयोः ||</v>
      </c>
      <c r="B339" s="4" t="s">
        <v>5</v>
      </c>
      <c r="C339" s="4"/>
    </row>
    <row r="340" spans="1:3" ht="24" customHeight="1">
      <c r="A340" s="4" t="str">
        <f ca="1">IFERROR(__xludf.DUMMYFUNCTION("""COMPUTED_VALUE"""),"इति जित्वा दिषो जिष्णुर्न्यवर्तत रथोद्धतं । रजो विश्रामयन्राज्ञां छत्त्रशून्येषु मौलिषु ||")</f>
        <v>इति जित्वा दिषो जिष्णुर्न्यवर्तत रथोद्धतं । रजो विश्रामयन्राज्ञां छत्त्रशून्येषु मौलिषु ||</v>
      </c>
      <c r="B340" s="4" t="s">
        <v>13</v>
      </c>
      <c r="C340" s="4"/>
    </row>
    <row r="341" spans="1:3" ht="24" customHeight="1">
      <c r="A341" s="4" t="str">
        <f ca="1">IFERROR(__xludf.DUMMYFUNCTION("""COMPUTED_VALUE"""),"स विश्वजितं आजह्रे यज्ञं सर्वस्वदक्षिणं । आदानं हि विसर्गाय सतं वारिमुचां इव ||")</f>
        <v>स विश्वजितं आजह्रे यज्ञं सर्वस्वदक्षिणं । आदानं हि विसर्गाय सतं वारिमुचां इव ||</v>
      </c>
      <c r="B341" s="4" t="s">
        <v>4</v>
      </c>
      <c r="C341" s="4"/>
    </row>
    <row r="342" spans="1:3" ht="24" customHeight="1">
      <c r="A342" s="4" t="str">
        <f ca="1">IFERROR(__xludf.DUMMYFUNCTION("""COMPUTED_VALUE"""),"सत्त्रान्ते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||")</f>
        <v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||</v>
      </c>
      <c r="B342" s="4" t="s">
        <v>1</v>
      </c>
      <c r="C342" s="4"/>
    </row>
    <row r="343" spans="1:3" ht="24" customHeight="1">
      <c r="A343" s="4" t="str">
        <f ca="1">IFERROR(__xludf.DUMMYFUNCTION("""COMPUTED_VALUE"""),"यज्ञान्ते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||")</f>
        <v>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||</v>
      </c>
      <c r="B343" s="4" t="s">
        <v>12</v>
      </c>
      <c r="C343" s="4"/>
    </row>
    <row r="344" spans="1:3" ht="24" customHeight="1">
      <c r="A344" s="4" t="str">
        <f ca="1">IFERROR(__xludf.DUMMYFUNCTION("""COMPUTED_VALUE"""),"ते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||")</f>
        <v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||</v>
      </c>
      <c r="B344" s="4" t="s">
        <v>0</v>
      </c>
      <c r="C344" s="4"/>
    </row>
    <row r="345" spans="1:3" ht="24" customHeight="1">
      <c r="A345" s="4" t="str">
        <f ca="1">IFERROR(__xludf.DUMMYFUNCTION("""COMPUTED_VALUE"""),"तं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||")</f>
        <v>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||</v>
      </c>
      <c r="B345" s="4" t="s">
        <v>5</v>
      </c>
      <c r="C345" s="4"/>
    </row>
    <row r="346" spans="1:3" ht="24" customHeight="1">
      <c r="A346" s="4" t="str">
        <f ca="1">IFERROR(__xludf.DUMMYFUNCTION("""COMPUTED_VALUE"""),"स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||")</f>
        <v>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||</v>
      </c>
      <c r="B346" s="4" t="s">
        <v>5</v>
      </c>
      <c r="C346" s="4"/>
    </row>
    <row r="347" spans="1:3" ht="24" customHeight="1">
      <c r="A347" s="4" t="str">
        <f ca="1">IFERROR(__xludf.DUMMYFUNCTION("""COMPUTED_VALUE"""),"तं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||")</f>
        <v>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||</v>
      </c>
      <c r="B347" s="4" t="s">
        <v>16</v>
      </c>
      <c r="C347" s="4"/>
    </row>
    <row r="348" spans="1:3" ht="24" customHeight="1">
      <c r="A348" s="4" t="str">
        <f ca="1">IFERROR(__xludf.DUMMYFUNCTION("""COMPUTED_VALUE"""),"अप्यग्रणीर्मन्त्रकृतां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||")</f>
        <v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||</v>
      </c>
      <c r="B348" s="4" t="s">
        <v>12</v>
      </c>
      <c r="C348" s="4"/>
    </row>
    <row r="349" spans="1:3" ht="24" customHeight="1">
      <c r="A349" s="4" t="str">
        <f ca="1">IFERROR(__xludf.DUMMYFUNCTION("""COMPUTED_VALUE"""),"कायेन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तपस्तथ् ||")</f>
        <v>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तपस्तथ् ||</v>
      </c>
      <c r="B349" s="4" t="s">
        <v>2</v>
      </c>
      <c r="C349" s="4"/>
    </row>
    <row r="350" spans="1:3" ht="24" customHeight="1">
      <c r="A350" s="4" t="str">
        <f ca="1">IFERROR(__xludf.DUMMYFUNCTION("""COMPUTED_VALUE"""),"आधारबन्धप्रमुखैः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||")</f>
        <v>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||</v>
      </c>
      <c r="B350" s="4" t="s">
        <v>1</v>
      </c>
      <c r="C350" s="4"/>
    </row>
    <row r="351" spans="1:3" ht="24" customHeight="1">
      <c r="A351" s="4" t="str">
        <f ca="1">IFERROR(__xludf.DUMMYFUNCTION("""COMPUTED_VALUE"""),"क्रियानिमित्तेष्वपि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||")</f>
        <v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||</v>
      </c>
      <c r="B351" s="4" t="s">
        <v>2</v>
      </c>
      <c r="C351" s="4"/>
    </row>
    <row r="352" spans="1:3" ht="24" customHeight="1">
      <c r="A352" s="4" t="str">
        <f ca="1">IFERROR(__xludf.DUMMYFUNCTION("""COMPUTED_VALUE"""),"निर्वर्त्यते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कच्चिथ् ||")</f>
        <v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कच्चिथ् ||</v>
      </c>
      <c r="B352" s="4" t="s">
        <v>16</v>
      </c>
      <c r="C352" s="4"/>
    </row>
    <row r="353" spans="1:3" ht="24" customHeight="1">
      <c r="A353" s="4" t="str">
        <f ca="1">IFERROR(__xludf.DUMMYFUNCTION("""COMPUTED_VALUE"""),"नीवारपाकादि कडम्गरीयैरामृश्यते जानपदैर्न कच्चिथ् । कालोपपन्नातिथिकल्पभागं वन्यं शरीरस्थितिसाधनं वः ||")</f>
        <v>नीवारपाकादि कडम्गरीयैरामृश्यते जानपदैर्न कच्चिथ् । कालोपपन्नातिथिकल्पभागं वन्यं शरीरस्थितिसाधनं वः ||</v>
      </c>
      <c r="B353" s="4" t="s">
        <v>4</v>
      </c>
      <c r="C353" s="4"/>
    </row>
    <row r="354" spans="1:3" ht="24" customHeight="1">
      <c r="A354" s="4" t="str">
        <f ca="1">IFERROR(__xludf.DUMMYFUNCTION("""COMPUTED_VALUE"""),"अपि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||")</f>
        <v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||</v>
      </c>
      <c r="B354" s="4" t="s">
        <v>2</v>
      </c>
      <c r="C354" s="4"/>
    </row>
    <row r="355" spans="1:3" ht="24" customHeight="1">
      <c r="A355" s="4" t="str">
        <f ca="1">IFERROR(__xludf.DUMMYFUNCTION("""COMPUTED_VALUE"""),"तवार्हतो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||")</f>
        <v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||</v>
      </c>
      <c r="B355" s="4" t="s">
        <v>12</v>
      </c>
      <c r="C355" s="4"/>
    </row>
    <row r="356" spans="1:3" ht="24" customHeight="1">
      <c r="A356" s="4" t="str">
        <f ca="1">IFERROR(__xludf.DUMMYFUNCTION("""COMPUTED_VALUE"""),"इत्यर्घ्यपात्रानुमितव्ययस्य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||")</f>
        <v>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||</v>
      </c>
      <c r="B356" s="4" t="s">
        <v>5</v>
      </c>
      <c r="C356" s="4"/>
    </row>
    <row r="357" spans="1:3" ht="24" customHeight="1">
      <c r="A357" s="4" t="str">
        <f ca="1">IFERROR(__xludf.DUMMYFUNCTION("""COMPUTED_VALUE"""),"सर्वत्र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||")</f>
        <v>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||</v>
      </c>
      <c r="B357" s="4" t="s">
        <v>0</v>
      </c>
      <c r="C357" s="4"/>
    </row>
    <row r="358" spans="1:3" ht="24" customHeight="1">
      <c r="A358" s="4" t="str">
        <f ca="1">IFERROR(__xludf.DUMMYFUNCTION("""COMPUTED_VALUE"""),"भक्तिः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||")</f>
        <v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||</v>
      </c>
      <c r="B358" s="4" t="s">
        <v>17</v>
      </c>
      <c r="C358" s="4"/>
    </row>
    <row r="359" spans="1:3" ht="24" customHeight="1">
      <c r="A359" s="4" t="str">
        <f ca="1">IFERROR(__xludf.DUMMYFUNCTION("""COMPUTED_VALUE"""),"शरीरमात्रेण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||")</f>
        <v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||</v>
      </c>
      <c r="B359" s="4" t="s">
        <v>22</v>
      </c>
      <c r="C359" s="4"/>
    </row>
    <row r="360" spans="1:3" ht="24" customHeight="1">
      <c r="A360" s="4" t="str">
        <f ca="1">IFERROR(__xludf.DUMMYFUNCTION("""COMPUTED_VALUE"""),"स्थाने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||")</f>
        <v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||</v>
      </c>
      <c r="B360" s="4" t="s">
        <v>20</v>
      </c>
      <c r="C360" s="4"/>
    </row>
    <row r="361" spans="1:3" ht="24" customHeight="1">
      <c r="A361" s="4" t="str">
        <f ca="1">IFERROR(__xludf.DUMMYFUNCTION("""COMPUTED_VALUE"""),"तदन्यतस्तावदनन्यकार्यो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||")</f>
        <v>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||</v>
      </c>
      <c r="B361" s="4" t="s">
        <v>9</v>
      </c>
      <c r="C361" s="4"/>
    </row>
    <row r="362" spans="1:3" ht="24" customHeight="1">
      <c r="A362" s="4" t="str">
        <f ca="1">IFERROR(__xludf.DUMMYFUNCTION("""COMPUTED_VALUE"""),"एतावदुक्त्वा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||")</f>
        <v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||</v>
      </c>
      <c r="B362" s="4" t="s">
        <v>2</v>
      </c>
      <c r="C362" s="4"/>
    </row>
    <row r="363" spans="1:3" ht="24" customHeight="1">
      <c r="A363" s="4" t="str">
        <f ca="1">IFERROR(__xludf.DUMMYFUNCTION("""COMPUTED_VALUE"""),"ततो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||")</f>
        <v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||</v>
      </c>
      <c r="B363" s="4" t="s">
        <v>13</v>
      </c>
      <c r="C363" s="4"/>
    </row>
    <row r="364" spans="1:3" ht="24" customHeight="1">
      <c r="A364" s="4" t="str">
        <f ca="1">IFERROR(__xludf.DUMMYFUNCTION("""COMPUTED_VALUE"""),"समाप्तविद्येन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एवागणयत्पुरस्ताथ् ||")</f>
        <v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एवागणयत्पुरस्ताथ् ||</v>
      </c>
      <c r="B364" s="4" t="s">
        <v>2</v>
      </c>
      <c r="C364" s="4"/>
    </row>
    <row r="365" spans="1:3" ht="24" customHeight="1">
      <c r="A365" s="4" t="str">
        <f ca="1">IFERROR(__xludf.DUMMYFUNCTION("""COMPUTED_VALUE"""),"निर्बन्धसंजातरुषार्थकार्श्यं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||")</f>
        <v>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||</v>
      </c>
      <c r="B365" s="4" t="s">
        <v>2</v>
      </c>
      <c r="C365" s="4"/>
    </row>
    <row r="366" spans="1:3" ht="24" customHeight="1">
      <c r="A366" s="4" t="str">
        <f ca="1">IFERROR(__xludf.DUMMYFUNCTION("""COMPUTED_VALUE"""),"सोऽहं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||")</f>
        <v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||</v>
      </c>
      <c r="B366" s="4" t="s">
        <v>5</v>
      </c>
      <c r="C366" s="4"/>
    </row>
    <row r="367" spans="1:3" ht="24" customHeight="1">
      <c r="A367" s="4" t="str">
        <f ca="1">IFERROR(__xludf.DUMMYFUNCTION("""COMPUTED_VALUE"""),"इत्थं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||")</f>
        <v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||</v>
      </c>
      <c r="B367" s="4" t="s">
        <v>10</v>
      </c>
      <c r="C367" s="4"/>
    </row>
    <row r="368" spans="1:3" ht="24" customHeight="1">
      <c r="A368" s="4" t="str">
        <f ca="1">IFERROR(__xludf.DUMMYFUNCTION("""COMPUTED_VALUE"""),"गुर्वर्थं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||")</f>
        <v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||</v>
      </c>
      <c r="B368" s="4" t="s">
        <v>0</v>
      </c>
      <c r="C368" s="4"/>
    </row>
    <row r="369" spans="1:3" ht="24" customHeight="1">
      <c r="A369" s="4" t="str">
        <f ca="1">IFERROR(__xludf.DUMMYFUNCTION("""COMPUTED_VALUE"""),"स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||")</f>
        <v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||</v>
      </c>
      <c r="B369" s="4" t="s">
        <v>10</v>
      </c>
      <c r="C369" s="4"/>
    </row>
    <row r="370" spans="1:3" ht="24" customHeight="1">
      <c r="A370" s="4" t="str">
        <f ca="1">IFERROR(__xludf.DUMMYFUNCTION("""COMPUTED_VALUE"""),"तथेति तस्य्ऽ आवितथं प्रतीतः प्रत्यग्रहीत्संगरं अग्रजन्मा । गां आत्तसारां रघुरप्यवेक्ष्य निष्कष्टुं अर्थं चकमे कुबेराथ् ||")</f>
        <v>तथेति तस्य्ऽ आवितथं प्रतीतः प्रत्यग्रहीत्संगरं अग्रजन्मा । गां आत्तसारां रघुरप्यवेक्ष्य निष्कष्टुं अर्थं चकमे कुबेराथ् ||</v>
      </c>
      <c r="B370" s="4" t="s">
        <v>0</v>
      </c>
      <c r="C370" s="4"/>
    </row>
    <row r="371" spans="1:3" ht="24" customHeight="1">
      <c r="A371" s="4" t="str">
        <f ca="1">IFERROR(__xludf.DUMMYFUNCTION("""COMPUTED_VALUE"""),"वसिष्ठमन्त्रोक्षणजात्प्रभावादुदन्वदाकाशमहीधरेषु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||")</f>
        <v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||</v>
      </c>
      <c r="B371" s="4" t="s">
        <v>5</v>
      </c>
      <c r="C371" s="4"/>
    </row>
    <row r="372" spans="1:3" ht="24" customHeight="1">
      <c r="A372" s="4" t="str">
        <f ca="1">IFERROR(__xludf.DUMMYFUNCTION("""COMPUTED_VALUE"""),"अथाधिशिश्ये प्रयथः प्रदोषे रथं रघुः कल्पितशस्त्रगर्भं । सामन्तसंभावनयैव धीरः कैलासनाथं तरसा जिगीषुः ||")</f>
        <v>अथाधिशिश्ये प्रयथः प्रदोषे रथं रघुः कल्पितशस्त्रगर्भं । सामन्तसंभावनयैव धीरः कैलासनाथं तरसा जिगीषुः ||</v>
      </c>
      <c r="B372" s="4" t="s">
        <v>13</v>
      </c>
      <c r="C372" s="4"/>
    </row>
    <row r="373" spans="1:3" ht="24" customHeight="1">
      <c r="A373" s="4" t="str">
        <f ca="1">IFERROR(__xludf.DUMMYFUNCTION("""COMPUTED_VALUE"""),"प्रातः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||")</f>
        <v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||</v>
      </c>
      <c r="B373" s="4" t="s">
        <v>2</v>
      </c>
      <c r="C373" s="4"/>
    </row>
    <row r="374" spans="1:3" ht="24" customHeight="1">
      <c r="A374" s="4" t="str">
        <f ca="1">IFERROR(__xludf.DUMMYFUNCTION("""COMPUTED_VALUE"""),"तं भूपतिर्भासुरहेमराशिं लब्धं कुबेरादभियास्यमानाथ् । दिदेश कौतस्य समस्तं एव पादं सुमेरोरिव वज्रभिन्नं ||")</f>
        <v>तं भूपतिर्भासुरहेमराशिं लब्धं कुबेरादभियास्यमानाथ् । दिदेश कौतस्य समस्तं एव पादं सुमेरोरिव वज्रभिन्नं ||</v>
      </c>
      <c r="B374" s="4" t="s">
        <v>1</v>
      </c>
      <c r="C374" s="4"/>
    </row>
    <row r="375" spans="1:3" ht="24" customHeight="1">
      <c r="A375" s="4" t="str">
        <f ca="1">IFERROR(__xludf.DUMMYFUNCTION("""COMPUTED_VALUE"""),"जनस्य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||")</f>
        <v>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||</v>
      </c>
      <c r="B375" s="4" t="s">
        <v>16</v>
      </c>
      <c r="C375" s="4"/>
    </row>
    <row r="376" spans="1:3" ht="24" customHeight="1">
      <c r="A376" s="4" t="str">
        <f ca="1">IFERROR(__xludf.DUMMYFUNCTION("""COMPUTED_VALUE"""),"अथोष्ट्रवामीशतवाहितार्थं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||")</f>
        <v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||</v>
      </c>
      <c r="B376" s="4" t="s">
        <v>18</v>
      </c>
      <c r="C376" s="4"/>
    </row>
    <row r="377" spans="1:3" ht="24" customHeight="1">
      <c r="A377" s="4" t="str">
        <f ca="1">IFERROR(__xludf.DUMMYFUNCTION("""COMPUTED_VALUE"""),"किं अत्र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||")</f>
        <v>किं अत्र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||</v>
      </c>
      <c r="B377" s="4" t="s">
        <v>20</v>
      </c>
      <c r="C377" s="4"/>
    </row>
    <row r="378" spans="1:3" ht="24" customHeight="1">
      <c r="A378" s="4" t="str">
        <f ca="1">IFERROR(__xludf.DUMMYFUNCTION("""COMPUTED_VALUE"""),"आशास्यं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||")</f>
        <v>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||</v>
      </c>
      <c r="B378" s="4" t="s">
        <v>4</v>
      </c>
      <c r="C378" s="4"/>
    </row>
    <row r="379" spans="1:3" ht="24" customHeight="1">
      <c r="A379" s="4" t="str">
        <f ca="1">IFERROR(__xludf.DUMMYFUNCTION("""COMPUTED_VALUE"""),"इत्थं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||")</f>
        <v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||</v>
      </c>
      <c r="B379" s="4" t="s">
        <v>19</v>
      </c>
      <c r="C379" s="4"/>
    </row>
    <row r="380" spans="1:3" ht="24" customHeight="1">
      <c r="A380" s="4" t="str">
        <f ca="1">IFERROR(__xludf.DUMMYFUNCTION("""COMPUTED_VALUE"""),"ब्राह्मे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||")</f>
        <v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||</v>
      </c>
      <c r="B380" s="4" t="s">
        <v>0</v>
      </c>
      <c r="C380" s="4"/>
    </row>
    <row r="381" spans="1:3" ht="24" customHeight="1">
      <c r="A381" s="4" t="str">
        <f ca="1">IFERROR(__xludf.DUMMYFUNCTION("""COMPUTED_VALUE"""),"रूपं तदोजस्वि तदेव वीर्यं तदैव नैसर्गिकं उन्नतत्वं । न कारणात्स्वाद्बिभिदे कुमारः प्रवर्तितो दीप इव प्रदीपाथ् ||")</f>
        <v>रूपं तदोजस्वि तदेव वीर्यं तदैव नैसर्गिकं उन्नतत्वं । न कारणात्स्वाद्बिभिदे कुमारः प्रवर्तितो दीप इव प्रदीपाथ् ||</v>
      </c>
      <c r="B381" s="4" t="s">
        <v>9</v>
      </c>
      <c r="C381" s="4"/>
    </row>
    <row r="382" spans="1:3" ht="24" customHeight="1">
      <c r="A382" s="4" t="str">
        <f ca="1">IFERROR(__xludf.DUMMYFUNCTION("""COMPUTED_VALUE"""),"उपात्तविद्यं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||")</f>
        <v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||</v>
      </c>
      <c r="B382" s="4" t="s">
        <v>13</v>
      </c>
      <c r="C382" s="4"/>
    </row>
    <row r="383" spans="1:3" ht="24" customHeight="1">
      <c r="A383" s="4" t="str">
        <f ca="1">IFERROR(__xludf.DUMMYFUNCTION("""COMPUTED_VALUE"""),"अथेश्वरेण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||")</f>
        <v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||</v>
      </c>
      <c r="B383" s="4" t="s">
        <v>23</v>
      </c>
      <c r="C383" s="4"/>
    </row>
    <row r="384" spans="1:3" ht="24" customHeight="1">
      <c r="A384" s="4" t="str">
        <f ca="1">IFERROR(__xludf.DUMMYFUNCTION("""COMPUTED_VALUE"""),"तं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||")</f>
        <v>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||</v>
      </c>
      <c r="B384" s="4" t="s">
        <v>1</v>
      </c>
      <c r="C384" s="4"/>
    </row>
    <row r="385" spans="1:3" ht="24" customHeight="1">
      <c r="A385" s="4" t="str">
        <f ca="1">IFERROR(__xludf.DUMMYFUNCTION("""COMPUTED_VALUE"""),"तस्योपकार्यारचितोपकारा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||")</f>
        <v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||</v>
      </c>
      <c r="B385" s="4" t="s">
        <v>9</v>
      </c>
      <c r="C385" s="4"/>
    </row>
    <row r="386" spans="1:3" ht="24" customHeight="1">
      <c r="A386" s="4" t="str">
        <f ca="1">IFERROR(__xludf.DUMMYFUNCTION("""COMPUTED_VALUE"""),"स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||")</f>
        <v>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||</v>
      </c>
      <c r="B386" s="4" t="s">
        <v>5</v>
      </c>
      <c r="C386" s="4"/>
    </row>
    <row r="387" spans="1:3" ht="24" customHeight="1">
      <c r="A387" s="4" t="str">
        <f ca="1">IFERROR(__xludf.DUMMYFUNCTION("""COMPUTED_VALUE"""),"अथोपरिष्टाद्भ्रमरैर्भ्रमद्भिः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||")</f>
        <v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||</v>
      </c>
      <c r="B387" s="4" t="s">
        <v>3</v>
      </c>
      <c r="C387" s="4"/>
    </row>
    <row r="388" spans="1:3" ht="24" customHeight="1">
      <c r="A388" s="4" t="str">
        <f ca="1">IFERROR(__xludf.DUMMYFUNCTION("""COMPUTED_VALUE"""),"निःशेषविक्षालितधातुनापि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||")</f>
        <v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||</v>
      </c>
      <c r="B388" s="4" t="s">
        <v>1</v>
      </c>
      <c r="C388" s="4"/>
    </row>
    <row r="389" spans="1:3" ht="24" customHeight="1">
      <c r="A389" s="4" t="str">
        <f ca="1">IFERROR(__xludf.DUMMYFUNCTION("""COMPUTED_VALUE"""),"संहारविक्षेपलघुक्रियेण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||")</f>
        <v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||</v>
      </c>
      <c r="B389" s="4" t="s">
        <v>2</v>
      </c>
      <c r="C389" s="4"/>
    </row>
    <row r="390" spans="1:3" ht="24" customHeight="1">
      <c r="A390" s="4" t="str">
        <f ca="1">IFERROR(__xludf.DUMMYFUNCTION("""COMPUTED_VALUE"""),"स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||")</f>
        <v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||</v>
      </c>
      <c r="B390" s="4" t="s">
        <v>12</v>
      </c>
      <c r="C390" s="4"/>
    </row>
    <row r="391" spans="1:3" ht="24" customHeight="1">
      <c r="A391" s="4" t="str">
        <f ca="1">IFERROR(__xludf.DUMMYFUNCTION("""COMPUTED_VALUE"""),"शैलोपमः शैवलमञ्जरीणां जालानि कर्षन्नुरसा स पश्चाथ् । पूर्वं तदुत्पीडितवारिराशिः सरित्प्रवाहस्तटं उत्ससर्प ||")</f>
        <v>शैलोपमः शैवलमञ्जरीणां जालानि कर्षन्नुरसा स पश्चाथ् । पूर्वं तदुत्पीडितवारिराशिः सरित्प्रवाहस्तटं उत्ससर्प ||</v>
      </c>
      <c r="B391" s="4" t="s">
        <v>9</v>
      </c>
      <c r="C391" s="4"/>
    </row>
    <row r="392" spans="1:3" ht="24" customHeight="1">
      <c r="A392" s="4" t="str">
        <f ca="1">IFERROR(__xludf.DUMMYFUNCTION("""COMPUTED_VALUE"""),"कारण्डवोत्सृष्टमृदुप्रत्नानाः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||")</f>
        <v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||</v>
      </c>
      <c r="B392" s="4" t="s">
        <v>9</v>
      </c>
      <c r="C392" s="4"/>
    </row>
    <row r="393" spans="1:3" ht="24" customHeight="1">
      <c r="A393" s="4" t="str">
        <f ca="1">IFERROR(__xludf.DUMMYFUNCTION("""COMPUTED_VALUE"""),"तस्यैकनागस्य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||")</f>
        <v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||</v>
      </c>
      <c r="B393" s="4" t="s">
        <v>0</v>
      </c>
      <c r="C393" s="4"/>
    </row>
    <row r="394" spans="1:3" ht="24" customHeight="1">
      <c r="A394" s="4" t="str">
        <f ca="1">IFERROR(__xludf.DUMMYFUNCTION("""COMPUTED_VALUE"""),"सप्तच्छदक्षीरकटुप्रवाहं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||")</f>
        <v>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||</v>
      </c>
      <c r="B394" s="4" t="s">
        <v>4</v>
      </c>
      <c r="C394" s="4"/>
    </row>
    <row r="395" spans="1:3" ht="24" customHeight="1">
      <c r="A395" s="4" t="str">
        <f ca="1">IFERROR(__xludf.DUMMYFUNCTION("""COMPUTED_VALUE"""),"स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||")</f>
        <v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||</v>
      </c>
      <c r="B395" s="4" t="s">
        <v>0</v>
      </c>
      <c r="C395" s="4"/>
    </row>
    <row r="396" spans="1:3" ht="24" customHeight="1">
      <c r="A396" s="4" t="str">
        <f ca="1">IFERROR(__xludf.DUMMYFUNCTION("""COMPUTED_VALUE"""),"तं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||")</f>
        <v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||</v>
      </c>
      <c r="B396" s="4" t="s">
        <v>15</v>
      </c>
      <c r="C396" s="4"/>
    </row>
    <row r="397" spans="1:3" ht="24" customHeight="1">
      <c r="A397" s="4" t="str">
        <f ca="1">IFERROR(__xludf.DUMMYFUNCTION("""COMPUTED_VALUE"""),"स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वपुर्व्य्ॐअचरं प्रपेदे ||")</f>
        <v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वपुर्व्य्ॐअचरं प्रपेदे ||</v>
      </c>
      <c r="B397" s="4" t="s">
        <v>17</v>
      </c>
      <c r="C397" s="4"/>
    </row>
    <row r="398" spans="1:3" ht="24" customHeight="1">
      <c r="A398" s="4" t="str">
        <f ca="1">IFERROR(__xludf.DUMMYFUNCTION("""COMPUTED_VALUE"""),"अथ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||")</f>
        <v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||</v>
      </c>
      <c r="B398" s="4" t="s">
        <v>0</v>
      </c>
      <c r="C398" s="4"/>
    </row>
    <row r="399" spans="1:3" ht="24" customHeight="1">
      <c r="A399" s="4" t="str">
        <f ca="1">IFERROR(__xludf.DUMMYFUNCTION("""COMPUTED_VALUE"""),"मतङ्गशापादवलेपमूलादवाप्तवानस्मि मतङ्गजत्वं । अवेहि गन्धर्वपतेस्तनूजं प्रियंवदं मां प्रियदर्शनस्य ||")</f>
        <v>मतङ्गशापादवलेपमूलादवाप्तवानस्मि मतङ्गजत्वं । अवेहि गन्धर्वपतेस्तनूजं प्रियंवदं मां प्रियदर्शनस्य ||</v>
      </c>
      <c r="B399" s="4" t="s">
        <v>5</v>
      </c>
      <c r="C399" s="4"/>
    </row>
    <row r="400" spans="1:3" ht="24" customHeight="1">
      <c r="A400" s="4" t="str">
        <f ca="1">IFERROR(__xludf.DUMMYFUNCTION("""COMPUTED_VALUE"""),"स चानुनीतः प्रणतेन पश्चान्मया महर्षिर्मृदुतां अगच्छथ् । उष्णत्वं अग्न्यातपसंप्रयोगाच्छैत्यं हि यत्सा प्रकृतिर्जलस्य ||")</f>
        <v>स चानुनीतः प्रणतेन पश्चान्मया महर्षिर्मृदुतां अगच्छथ् । उष्णत्वं अग्न्यातपसंप्रयोगाच्छैत्यं हि यत्सा प्रकृतिर्जलस्य ||</v>
      </c>
      <c r="B400" s="4" t="s">
        <v>5</v>
      </c>
      <c r="C400" s="4"/>
    </row>
    <row r="401" spans="1:3" ht="24" customHeight="1">
      <c r="A401" s="4" t="str">
        <f ca="1">IFERROR(__xludf.DUMMYFUNCTION("""COMPUTED_VALUE"""),"इक्ष्वाकुवंशप्रभवो यदा ते भेत्स्यत्यजः कुम्भं अय्ॐउखेन । संयोक्ष्यसे स्वेन वपुर्महिम्ना तदेत्यवोचत्स तपोनिधिर्मां ||")</f>
        <v>इक्ष्वाकुवंशप्रभवो यदा ते भेत्स्यत्यजः कुम्भं अय्ॐउखेन । संयोक्ष्यसे स्वेन वपुर्महिम्ना तदेत्यवोचत्स तपोनिधिर्मां ||</v>
      </c>
      <c r="B401" s="4" t="s">
        <v>12</v>
      </c>
      <c r="C401" s="4"/>
    </row>
    <row r="402" spans="1:3" ht="24" customHeight="1">
      <c r="A402" s="4" t="str">
        <f ca="1">IFERROR(__xludf.DUMMYFUNCTION("""COMPUTED_VALUE"""),"संमोचितः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||")</f>
        <v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||</v>
      </c>
      <c r="B402" s="4" t="s">
        <v>20</v>
      </c>
      <c r="C402" s="4"/>
    </row>
    <row r="403" spans="1:3" ht="24" customHeight="1">
      <c r="A403" s="4" t="str">
        <f ca="1">IFERROR(__xludf.DUMMYFUNCTION("""COMPUTED_VALUE"""),"संमोहनं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||")</f>
        <v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||</v>
      </c>
      <c r="B403" s="4" t="s">
        <v>2</v>
      </c>
      <c r="C403" s="4"/>
    </row>
    <row r="404" spans="1:3" ht="24" customHeight="1">
      <c r="A404" s="4" t="str">
        <f ca="1">IFERROR(__xludf.DUMMYFUNCTION("""COMPUTED_VALUE"""),"अलं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||")</f>
        <v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||</v>
      </c>
      <c r="B404" s="4" t="s">
        <v>5</v>
      </c>
      <c r="C404" s="4"/>
    </row>
    <row r="405" spans="1:3" ht="24" customHeight="1">
      <c r="A405" s="4" t="str">
        <f ca="1">IFERROR(__xludf.DUMMYFUNCTION("""COMPUTED_VALUE"""),"तथेत्युपस्पृश्य पयः पवित्रं स्ॐओध्बवायाः सरितो नृस्ॐअः । उदङ्मुखः सोऽस्त्रविदस्त्रमन्त्रं जग्राह तस्मान्निगृहीतशापाथ् ||")</f>
        <v>तथेत्युपस्पृश्य पयः पवित्रं स्ॐओध्बवायाः सरितो नृस्ॐअः । उदङ्मुखः सोऽस्त्रविदस्त्रमन्त्रं जग्राह तस्मान्निगृहीतशापाथ् ||</v>
      </c>
      <c r="B405" s="4" t="s">
        <v>9</v>
      </c>
      <c r="C405" s="4"/>
    </row>
    <row r="406" spans="1:3" ht="24" customHeight="1">
      <c r="A406" s="4" t="str">
        <f ca="1">IFERROR(__xludf.DUMMYFUNCTION("""COMPUTED_VALUE"""),"एवं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||")</f>
        <v>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||</v>
      </c>
      <c r="B406" s="4" t="s">
        <v>6</v>
      </c>
      <c r="C406" s="4"/>
    </row>
    <row r="407" spans="1:3" ht="24" customHeight="1">
      <c r="A407" s="4" t="str">
        <f ca="1">IFERROR(__xludf.DUMMYFUNCTION("""COMPUTED_VALUE"""),"तं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||")</f>
        <v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||</v>
      </c>
      <c r="B407" s="4" t="s">
        <v>11</v>
      </c>
      <c r="C407" s="4"/>
    </row>
    <row r="408" spans="1:3" ht="24" customHeight="1">
      <c r="A408" s="4" t="str">
        <f ca="1">IFERROR(__xludf.DUMMYFUNCTION("""COMPUTED_VALUE"""),"प्रवेश्य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||")</f>
        <v>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||</v>
      </c>
      <c r="B408" s="4" t="s">
        <v>8</v>
      </c>
      <c r="C408" s="4"/>
    </row>
    <row r="409" spans="1:3" ht="24" customHeight="1">
      <c r="A409" s="4" t="str">
        <f ca="1">IFERROR(__xludf.DUMMYFUNCTION("""COMPUTED_VALUE"""),"तस्य्ऽ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||")</f>
        <v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||</v>
      </c>
      <c r="B409" s="4" t="s">
        <v>18</v>
      </c>
      <c r="C409" s="4"/>
    </row>
    <row r="410" spans="1:3" ht="24" customHeight="1">
      <c r="A410" s="4" t="str">
        <f ca="1">IFERROR(__xludf.DUMMYFUNCTION("""COMPUTED_VALUE"""),"तत्र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||")</f>
        <v>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||</v>
      </c>
      <c r="B410" s="4" t="s">
        <v>4</v>
      </c>
      <c r="C410" s="4"/>
    </row>
    <row r="411" spans="1:3" ht="24" customHeight="1">
      <c r="A411" s="4" t="str">
        <f ca="1">IFERROR(__xludf.DUMMYFUNCTION("""COMPUTED_VALUE"""),"तं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||")</f>
        <v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||</v>
      </c>
      <c r="B411" s="4" t="s">
        <v>16</v>
      </c>
      <c r="C411" s="4"/>
    </row>
    <row r="412" spans="1:3" ht="24" customHeight="1">
      <c r="A412" s="4" t="str">
        <f ca="1">IFERROR(__xludf.DUMMYFUNCTION("""COMPUTED_VALUE"""),"रात्रिर्गता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||")</f>
        <v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||</v>
      </c>
      <c r="B412" s="4" t="s">
        <v>26</v>
      </c>
      <c r="C412" s="4"/>
    </row>
    <row r="413" spans="1:3" ht="24" customHeight="1">
      <c r="A413" s="4" t="str">
        <f ca="1">IFERROR(__xludf.DUMMYFUNCTION("""COMPUTED_VALUE"""),"निद्रावशेन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||")</f>
        <v>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||</v>
      </c>
      <c r="B413" s="4" t="s">
        <v>2</v>
      </c>
      <c r="C413" s="4"/>
    </row>
    <row r="414" spans="1:3" ht="24" customHeight="1">
      <c r="A414" s="4" t="str">
        <f ca="1">IFERROR(__xludf.DUMMYFUNCTION("""COMPUTED_VALUE"""),"तद्वल्गुना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||")</f>
        <v>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||</v>
      </c>
      <c r="B414" s="4" t="s">
        <v>12</v>
      </c>
      <c r="C414" s="4"/>
    </row>
    <row r="415" spans="1:3" ht="24" customHeight="1">
      <c r="A415" s="4" t="str">
        <f ca="1">IFERROR(__xludf.DUMMYFUNCTION("""COMPUTED_VALUE"""),"वृन्ताच्छ्लथं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||")</f>
        <v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||</v>
      </c>
      <c r="B415" s="4" t="s">
        <v>5</v>
      </c>
      <c r="C415" s="4"/>
    </row>
    <row r="416" spans="1:3" ht="24" customHeight="1">
      <c r="A416" s="4" t="str">
        <f ca="1">IFERROR(__xludf.DUMMYFUNCTION("""COMPUTED_VALUE"""),"ताम्रोदरेषु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||")</f>
        <v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||</v>
      </c>
      <c r="B416" s="4" t="s">
        <v>5</v>
      </c>
      <c r="C416" s="4"/>
    </row>
    <row r="417" spans="1:3" ht="24" customHeight="1">
      <c r="A417" s="4" t="str">
        <f ca="1">IFERROR(__xludf.DUMMYFUNCTION("""COMPUTED_VALUE"""),"यावत्प्रतापनिधिराक्रमते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||")</f>
        <v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||</v>
      </c>
      <c r="B417" s="4" t="s">
        <v>2</v>
      </c>
      <c r="C417" s="4"/>
    </row>
    <row r="418" spans="1:3" ht="24" customHeight="1">
      <c r="A418" s="4" t="str">
        <f ca="1">IFERROR(__xludf.DUMMYFUNCTION("""COMPUTED_VALUE"""),"शय्यां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||")</f>
        <v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||</v>
      </c>
      <c r="B418" s="4" t="s">
        <v>13</v>
      </c>
      <c r="C418" s="4"/>
    </row>
    <row r="419" spans="1:3" ht="24" customHeight="1">
      <c r="A419" s="4" t="str">
        <f ca="1">IFERROR(__xludf.DUMMYFUNCTION("""COMPUTED_VALUE"""),"दीर्घेष्वमी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||")</f>
        <v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||</v>
      </c>
      <c r="B419" s="4" t="s">
        <v>24</v>
      </c>
      <c r="C419" s="4"/>
    </row>
    <row r="420" spans="1:3" ht="24" customHeight="1">
      <c r="A420" s="4" t="str">
        <f ca="1">IFERROR(__xludf.DUMMYFUNCTION("""COMPUTED_VALUE"""),"भवति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||")</f>
        <v>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||</v>
      </c>
      <c r="B420" s="4" t="s">
        <v>10</v>
      </c>
      <c r="C420" s="4"/>
    </row>
    <row r="421" spans="1:3" ht="24" customHeight="1">
      <c r="A421" s="4" t="str">
        <f ca="1">IFERROR(__xludf.DUMMYFUNCTION("""COMPUTED_VALUE"""),"इति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||")</f>
        <v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||</v>
      </c>
      <c r="B421" s="4" t="s">
        <v>19</v>
      </c>
      <c r="C421" s="4"/>
    </row>
    <row r="422" spans="1:3" ht="24" customHeight="1">
      <c r="A422" s="4" t="str">
        <f ca="1">IFERROR(__xludf.DUMMYFUNCTION("""COMPUTED_VALUE"""),"अथ विधिं अवसाय्य शास्त्रदृष्टं दिवसमुखोचितं अञ्चिताक्षिपक्ष्मा । क्षितिपसमाजं अगात्स्वयंवरस्थम् ||")</f>
        <v>अथ विधिं अवसाय्य शास्त्रदृष्टं दिवसमुखोचितं अञ्चिताक्षिपक्ष्मा । क्षितिपसमाजं अगात्स्वयंवरस्थम् ||</v>
      </c>
      <c r="B422" s="4" t="s">
        <v>10</v>
      </c>
      <c r="C422" s="4"/>
    </row>
    <row r="423" spans="1:3" ht="24" customHeight="1">
      <c r="A423" s="4" t="str">
        <f ca="1">IFERROR(__xludf.DUMMYFUNCTION("""COMPUTED_VALUE"""),"स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||")</f>
        <v>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||</v>
      </c>
      <c r="B423" s="4" t="s">
        <v>11</v>
      </c>
      <c r="C423" s="4"/>
    </row>
    <row r="424" spans="1:3" ht="24" customHeight="1">
      <c r="A424" s="4" t="str">
        <f ca="1">IFERROR(__xludf.DUMMYFUNCTION("""COMPUTED_VALUE"""),"रतेर्गृहीतानुनयेन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||")</f>
        <v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||</v>
      </c>
      <c r="B424" s="4" t="s">
        <v>8</v>
      </c>
      <c r="C424" s="4"/>
    </row>
    <row r="425" spans="1:3" ht="24" customHeight="1">
      <c r="A425" s="4" t="str">
        <f ca="1">IFERROR(__xludf.DUMMYFUNCTION("""COMPUTED_VALUE"""),"वैदर्भनिर्दिष्टं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||")</f>
        <v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||</v>
      </c>
      <c r="B425" s="4" t="s">
        <v>24</v>
      </c>
      <c r="C425" s="4"/>
    </row>
    <row r="426" spans="1:3" ht="24" customHeight="1">
      <c r="A426" s="4" t="str">
        <f ca="1">IFERROR(__xludf.DUMMYFUNCTION("""COMPUTED_VALUE"""),"परार्ध्यवर्णास्तरणोपपन्नं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||")</f>
        <v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||</v>
      </c>
      <c r="B426" s="4" t="s">
        <v>1</v>
      </c>
      <c r="C426" s="4"/>
    </row>
    <row r="427" spans="1:3" ht="24" customHeight="1">
      <c r="A427" s="4" t="str">
        <f ca="1">IFERROR(__xludf.DUMMYFUNCTION("""COMPUTED_VALUE"""),"तासु श्रिया राजपरंपरासु प्रभाविशेषोदयदुर्निरीक्ष्यः । सहस्रधात्मा व्यरुचद्विभक्तः पय्ॐउचां पङ्क्तिषु विद्युतेव ||")</f>
        <v>तासु श्रिया राजपरंपरासु प्रभाविशेषोदयदुर्निरीक्ष्यः । सहस्रधात्मा व्यरुचद्विभक्तः पय्ॐउचां पङ्क्तिषु विद्युतेव ||</v>
      </c>
      <c r="B427" s="4" t="s">
        <v>4</v>
      </c>
      <c r="C427" s="4"/>
    </row>
    <row r="428" spans="1:3" ht="24" customHeight="1">
      <c r="A428" s="4" t="str">
        <f ca="1">IFERROR(__xludf.DUMMYFUNCTION("""COMPUTED_VALUE"""),"तेषां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||")</f>
        <v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||</v>
      </c>
      <c r="B428" s="4" t="s">
        <v>2</v>
      </c>
      <c r="C428" s="4"/>
    </row>
    <row r="429" spans="1:3" ht="24" customHeight="1">
      <c r="A429" s="4" t="str">
        <f ca="1">IFERROR(__xludf.DUMMYFUNCTION("""COMPUTED_VALUE"""),"नेत्रव्रजाः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||")</f>
        <v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||</v>
      </c>
      <c r="B429" s="4" t="s">
        <v>27</v>
      </c>
      <c r="C429" s="4"/>
    </row>
    <row r="430" spans="1:3" ht="24" customHeight="1">
      <c r="A430" s="4" t="str">
        <f ca="1">IFERROR(__xludf.DUMMYFUNCTION("""COMPUTED_VALUE"""),"अथ स्तुते बन्दिभिरन्वयज्ञैः स्ॐआर्कवंश्ये नरदेवलोके । संचारिते च्ऽ आगारुसारयोनौ धूपे समुत्सर्पति वैजयन्तीः ||")</f>
        <v>अथ स्तुते बन्दिभिरन्वयज्ञैः स्ॐआर्कवंश्ये नरदेवलोके । संचारिते च्ऽ आगारुसारयोनौ धूपे समुत्सर्पति वैजयन्तीः ||</v>
      </c>
      <c r="B430" s="4" t="s">
        <v>2</v>
      </c>
      <c r="C430" s="4"/>
    </row>
    <row r="431" spans="1:3" ht="24" customHeight="1">
      <c r="A431" s="4" t="str">
        <f ca="1">IFERROR(__xludf.DUMMYFUNCTION("""COMPUTED_VALUE"""),"पुरोपकण्ठोपवनाश्रयाणां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||")</f>
        <v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||</v>
      </c>
      <c r="B431" s="4" t="s">
        <v>10</v>
      </c>
      <c r="C431" s="4"/>
    </row>
    <row r="432" spans="1:3" ht="24" customHeight="1">
      <c r="A432" s="4" t="str">
        <f ca="1">IFERROR(__xludf.DUMMYFUNCTION("""COMPUTED_VALUE"""),"मनुष्यवाह्यं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||")</f>
        <v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||</v>
      </c>
      <c r="B432" s="4" t="s">
        <v>13</v>
      </c>
      <c r="C432" s="4"/>
    </row>
    <row r="433" spans="1:3" ht="24" customHeight="1">
      <c r="A433" s="4" t="str">
        <f ca="1">IFERROR(__xludf.DUMMYFUNCTION("""COMPUTED_VALUE"""),"तस्मिन्विधानातिशये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||")</f>
        <v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||</v>
      </c>
      <c r="B433" s="4" t="s">
        <v>13</v>
      </c>
      <c r="C433" s="4"/>
    </row>
    <row r="434" spans="1:3" ht="24" customHeight="1">
      <c r="A434" s="4" t="str">
        <f ca="1">IFERROR(__xludf.DUMMYFUNCTION("""COMPUTED_VALUE"""),"तां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||")</f>
        <v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||</v>
      </c>
      <c r="B434" s="4" t="s">
        <v>4</v>
      </c>
      <c r="C434" s="4"/>
    </row>
    <row r="435" spans="1:3" ht="24" customHeight="1">
      <c r="A435" s="4" t="str">
        <f ca="1">IFERROR(__xludf.DUMMYFUNCTION("""COMPUTED_VALUE"""),"कश्चित्कराभ्यां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||")</f>
        <v>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||</v>
      </c>
      <c r="B435" s="4" t="s">
        <v>0</v>
      </c>
      <c r="C435" s="4"/>
    </row>
    <row r="436" spans="1:3" ht="24" customHeight="1">
      <c r="A436" s="4" t="str">
        <f ca="1">IFERROR(__xludf.DUMMYFUNCTION("""COMPUTED_VALUE"""),"विस्रस्तं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||")</f>
        <v>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||</v>
      </c>
      <c r="B436" s="4" t="s">
        <v>0</v>
      </c>
      <c r="C436" s="4"/>
    </row>
    <row r="437" spans="1:3" ht="24" customHeight="1">
      <c r="A437" s="4" t="str">
        <f ca="1">IFERROR(__xludf.DUMMYFUNCTION("""COMPUTED_VALUE"""),"आकुञ्चिताग्राङ्गुलिना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||")</f>
        <v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||</v>
      </c>
      <c r="B437" s="4" t="s">
        <v>22</v>
      </c>
      <c r="C437" s="4"/>
    </row>
    <row r="438" spans="1:3" ht="24" customHeight="1">
      <c r="A438" s="4" t="str">
        <f ca="1">IFERROR(__xludf.DUMMYFUNCTION("""COMPUTED_VALUE"""),"निवेश्य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सुहृत्समाभाषणतत्परोऽभूथ् ||")</f>
        <v>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सुहृत्समाभाषणतत्परोऽभूथ् ||</v>
      </c>
      <c r="B438" s="4" t="s">
        <v>6</v>
      </c>
      <c r="C438" s="4"/>
    </row>
    <row r="439" spans="1:3" ht="24" customHeight="1">
      <c r="A439" s="4" t="str">
        <f ca="1">IFERROR(__xludf.DUMMYFUNCTION("""COMPUTED_VALUE"""),"विलासिनीविभ्रमदन्तपत्त्रं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||")</f>
        <v>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||</v>
      </c>
      <c r="B439" s="4" t="s">
        <v>0</v>
      </c>
      <c r="C439" s="4"/>
    </row>
    <row r="440" spans="1:3" ht="24" customHeight="1">
      <c r="A440" s="4" t="str">
        <f ca="1">IFERROR(__xludf.DUMMYFUNCTION("""COMPUTED_VALUE"""),"कुशेशयाताम्रतलेन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||")</f>
        <v>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||</v>
      </c>
      <c r="B440" s="4" t="s">
        <v>13</v>
      </c>
      <c r="C440" s="4"/>
    </row>
    <row r="441" spans="1:3" ht="24" customHeight="1">
      <c r="A441" s="4" t="str">
        <f ca="1">IFERROR(__xludf.DUMMYFUNCTION("""COMPUTED_VALUE"""),"कश्चिद्यथाभागं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||")</f>
        <v>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||</v>
      </c>
      <c r="B441" s="4" t="s">
        <v>23</v>
      </c>
      <c r="C441" s="4"/>
    </row>
    <row r="442" spans="1:3" ht="24" customHeight="1">
      <c r="A442" s="4" t="str">
        <f ca="1">IFERROR(__xludf.DUMMYFUNCTION("""COMPUTED_VALUE"""),"ततो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||")</f>
        <v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||</v>
      </c>
      <c r="B442" s="4" t="s">
        <v>17</v>
      </c>
      <c r="C442" s="4"/>
    </row>
    <row r="443" spans="1:3" ht="24" customHeight="1">
      <c r="A443" s="4" t="str">
        <f ca="1">IFERROR(__xludf.DUMMYFUNCTION("""COMPUTED_VALUE"""),"असौ शरण्यः शरणोन्मुखानां अगाधसत्त्वो मगधप्रतिष्ठः । राजा प्रजारञ्जनलब्धवर्णः परंतपो नाम यथार्थनामा ||")</f>
        <v>असौ शरण्यः शरणोन्मुखानां अगाधसत्त्वो मगधप्रतिष्ठः । राजा प्रजारञ्जनलब्धवर्णः परंतपो नाम यथार्थनामा ||</v>
      </c>
      <c r="B443" s="4" t="s">
        <v>12</v>
      </c>
      <c r="C443" s="4"/>
    </row>
    <row r="444" spans="1:3" ht="24" customHeight="1">
      <c r="A444" s="4" t="str">
        <f ca="1">IFERROR(__xludf.DUMMYFUNCTION("""COMPUTED_VALUE"""),"कामं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||")</f>
        <v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||</v>
      </c>
      <c r="B444" s="4" t="s">
        <v>0</v>
      </c>
      <c r="C444" s="4"/>
    </row>
    <row r="445" spans="1:3" ht="24" customHeight="1">
      <c r="A445" s="4" t="str">
        <f ca="1">IFERROR(__xludf.DUMMYFUNCTION("""COMPUTED_VALUE"""),"क्रियाप्रबन्धादयं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||")</f>
        <v>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||</v>
      </c>
      <c r="B445" s="4" t="s">
        <v>0</v>
      </c>
      <c r="C445" s="4"/>
    </row>
    <row r="446" spans="1:3" ht="24" customHeight="1">
      <c r="A446" s="4" t="str">
        <f ca="1">IFERROR(__xludf.DUMMYFUNCTION("""COMPUTED_VALUE"""),"अनेन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||")</f>
        <v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||</v>
      </c>
      <c r="B446" s="4" t="s">
        <v>1</v>
      </c>
      <c r="C446" s="4"/>
    </row>
    <row r="447" spans="1:3" ht="24" customHeight="1">
      <c r="A447" s="4" t="str">
        <f ca="1">IFERROR(__xludf.DUMMYFUNCTION("""COMPUTED_VALUE"""),"एवं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||")</f>
        <v>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||</v>
      </c>
      <c r="B447" s="4" t="s">
        <v>7</v>
      </c>
      <c r="C447" s="4"/>
    </row>
    <row r="448" spans="1:3" ht="24" customHeight="1">
      <c r="A448" s="4" t="str">
        <f ca="1">IFERROR(__xludf.DUMMYFUNCTION("""COMPUTED_VALUE"""),"तां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||")</f>
        <v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||</v>
      </c>
      <c r="B448" s="4" t="s">
        <v>18</v>
      </c>
      <c r="C448" s="4"/>
    </row>
    <row r="449" spans="1:3" ht="24" customHeight="1">
      <c r="A449" s="4" t="str">
        <f ca="1">IFERROR(__xludf.DUMMYFUNCTION("""COMPUTED_VALUE"""),"जगाद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||")</f>
        <v>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||</v>
      </c>
      <c r="B449" s="4" t="s">
        <v>2</v>
      </c>
      <c r="C449" s="4"/>
    </row>
    <row r="450" spans="1:3" ht="24" customHeight="1">
      <c r="A450" s="4" t="str">
        <f ca="1">IFERROR(__xludf.DUMMYFUNCTION("""COMPUTED_VALUE"""),"अनेन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||")</f>
        <v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||</v>
      </c>
      <c r="B450" s="4" t="s">
        <v>0</v>
      </c>
      <c r="C450" s="4"/>
    </row>
    <row r="451" spans="1:3" ht="24" customHeight="1">
      <c r="A451" s="4" t="str">
        <f ca="1">IFERROR(__xludf.DUMMYFUNCTION("""COMPUTED_VALUE"""),"निसर्गभिन्नास्पदं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||")</f>
        <v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||</v>
      </c>
      <c r="B451" s="4" t="s">
        <v>5</v>
      </c>
      <c r="C451" s="4"/>
    </row>
    <row r="452" spans="1:3" ht="24" customHeight="1">
      <c r="A452" s="4" t="str">
        <f ca="1">IFERROR(__xludf.DUMMYFUNCTION("""COMPUTED_VALUE"""),"अथाङ्गराजादवतार्य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||")</f>
        <v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||</v>
      </c>
      <c r="B452" s="4" t="s">
        <v>19</v>
      </c>
      <c r="C452" s="4"/>
    </row>
    <row r="453" spans="1:3" ht="24" customHeight="1">
      <c r="A453" s="4" t="str">
        <f ca="1">IFERROR(__xludf.DUMMYFUNCTION("""COMPUTED_VALUE"""),"ततः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||")</f>
        <v>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||</v>
      </c>
      <c r="B453" s="4" t="s">
        <v>5</v>
      </c>
      <c r="C453" s="4"/>
    </row>
    <row r="454" spans="1:3" ht="24" customHeight="1">
      <c r="A454" s="4" t="str">
        <f ca="1">IFERROR(__xludf.DUMMYFUNCTION("""COMPUTED_VALUE"""),"अवन्तिनाथोऽयं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||")</f>
        <v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||</v>
      </c>
      <c r="B454" s="4" t="s">
        <v>2</v>
      </c>
      <c r="C454" s="4"/>
    </row>
    <row r="455" spans="1:3" ht="24" customHeight="1">
      <c r="A455" s="4" t="str">
        <f ca="1">IFERROR(__xludf.DUMMYFUNCTION("""COMPUTED_VALUE"""),"अस्य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||")</f>
        <v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||</v>
      </c>
      <c r="B455" s="4" t="s">
        <v>18</v>
      </c>
      <c r="C455" s="4"/>
    </row>
    <row r="456" spans="1:3" ht="24" customHeight="1">
      <c r="A456" s="4" t="str">
        <f ca="1">IFERROR(__xludf.DUMMYFUNCTION("""COMPUTED_VALUE"""),"असौ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||")</f>
        <v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||</v>
      </c>
      <c r="B456" s="4" t="s">
        <v>13</v>
      </c>
      <c r="C456" s="4"/>
    </row>
    <row r="457" spans="1:3" ht="24" customHeight="1">
      <c r="A457" s="4" t="str">
        <f ca="1">IFERROR(__xludf.DUMMYFUNCTION("""COMPUTED_VALUE"""),"अनेन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||")</f>
        <v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||</v>
      </c>
      <c r="B457" s="4" t="s">
        <v>18</v>
      </c>
      <c r="C457" s="4"/>
    </row>
    <row r="458" spans="1:3" ht="24" customHeight="1">
      <c r="A458" s="4" t="str">
        <f ca="1">IFERROR(__xludf.DUMMYFUNCTION("""COMPUTED_VALUE"""),"तस्मिन्नभिद्योतितबन्धुपद्मे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||")</f>
        <v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||</v>
      </c>
      <c r="B458" s="4" t="s">
        <v>4</v>
      </c>
      <c r="C458" s="4"/>
    </row>
    <row r="459" spans="1:3" ht="24" customHeight="1">
      <c r="A459" s="4" t="str">
        <f ca="1">IFERROR(__xludf.DUMMYFUNCTION("""COMPUTED_VALUE"""),"तां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||")</f>
        <v>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||</v>
      </c>
      <c r="B459" s="4" t="s">
        <v>17</v>
      </c>
      <c r="C459" s="4"/>
    </row>
    <row r="460" spans="1:3" ht="24" customHeight="1">
      <c r="A460" s="4" t="str">
        <f ca="1">IFERROR(__xludf.DUMMYFUNCTION("""COMPUTED_VALUE"""),"संग्रामनिर्विष्टसहस्रबाहुरष्टदासद्वीपनिखातयूपः । अनन्यसाधारणराजशब्दो बभूव योगी किल कार्तवीर्यः ||")</f>
        <v>संग्रामनिर्विष्टसहस्रबाहुरष्टदासद्वीपनिखातयूपः । अनन्यसाधारणराजशब्दो बभूव योगी किल कार्तवीर्यः ||</v>
      </c>
      <c r="B460" s="4" t="s">
        <v>5</v>
      </c>
      <c r="C460" s="4"/>
    </row>
    <row r="461" spans="1:3" ht="24" customHeight="1">
      <c r="A461" s="4" t="str">
        <f ca="1">IFERROR(__xludf.DUMMYFUNCTION("""COMPUTED_VALUE"""),"अकार्यचिन्तासमकालं एव प्रादुर्भवंश्चापधरः पुरस्ताथ् । अन्तःशरीरेष्वपि यः प्रजानां प्रत्यादिदेशाविनयं विनेता ||")</f>
        <v>अकार्यचिन्तासमकालं एव प्रादुर्भवंश्चापधरः पुरस्ताथ् । अन्तःशरीरेष्वपि यः प्रजानां प्रत्यादिदेशाविनयं विनेता ||</v>
      </c>
      <c r="B461" s="4" t="s">
        <v>2</v>
      </c>
      <c r="C461" s="4"/>
    </row>
    <row r="462" spans="1:3" ht="24" customHeight="1">
      <c r="A462" s="4" t="str">
        <f ca="1">IFERROR(__xludf.DUMMYFUNCTION("""COMPUTED_VALUE"""),"ज्याबन्धनिष्पन्दभुजेन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प्रसादाथ् ||")</f>
        <v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प्रसादाथ् ||</v>
      </c>
      <c r="B462" s="4" t="s">
        <v>17</v>
      </c>
      <c r="C462" s="4"/>
    </row>
    <row r="463" spans="1:3" ht="24" customHeight="1">
      <c r="A463" s="4" t="str">
        <f ca="1">IFERROR(__xludf.DUMMYFUNCTION("""COMPUTED_VALUE"""),"तस्यान्वये भूपतिरेष जातः प्रतीप इत्यागमवृद्धसेवी । येन श्रियः संश्रयदोषरूढं स्वभावलोलेत्ययशः प्रमृश्टं ||")</f>
        <v>तस्यान्वये भूपतिरेष जातः प्रतीप इत्यागमवृद्धसेवी । येन श्रियः संश्रयदोषरूढं स्वभावलोलेत्ययशः प्रमृश्टं ||</v>
      </c>
      <c r="B463" s="4" t="s">
        <v>23</v>
      </c>
      <c r="C463" s="4"/>
    </row>
    <row r="464" spans="1:3" ht="24" customHeight="1">
      <c r="A464" s="4" t="str">
        <f ca="1">IFERROR(__xludf.DUMMYFUNCTION("""COMPUTED_VALUE"""),"आयोधने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||")</f>
        <v>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||</v>
      </c>
      <c r="B464" s="4" t="s">
        <v>0</v>
      </c>
      <c r="C464" s="4"/>
    </row>
    <row r="465" spans="1:3" ht="24" customHeight="1">
      <c r="A465" s="4" t="str">
        <f ca="1">IFERROR(__xludf.DUMMYFUNCTION("""COMPUTED_VALUE"""),"अस्याङ्कलक्ष्मीर्भव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||")</f>
        <v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||</v>
      </c>
      <c r="B465" s="4" t="s">
        <v>12</v>
      </c>
      <c r="C465" s="4"/>
    </row>
    <row r="466" spans="1:3" ht="24" customHeight="1">
      <c r="A466" s="4" t="str">
        <f ca="1">IFERROR(__xludf.DUMMYFUNCTION("""COMPUTED_VALUE"""),"तस्याः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||")</f>
        <v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||</v>
      </c>
      <c r="B466" s="4" t="s">
        <v>5</v>
      </c>
      <c r="C466" s="4"/>
    </row>
    <row r="467" spans="1:3" ht="24" customHeight="1">
      <c r="A467" s="4" t="str">
        <f ca="1">IFERROR(__xludf.DUMMYFUNCTION("""COMPUTED_VALUE"""),"सा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||")</f>
        <v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||</v>
      </c>
      <c r="B467" s="4" t="s">
        <v>0</v>
      </c>
      <c r="C467" s="4"/>
    </row>
    <row r="468" spans="1:3" ht="24" customHeight="1">
      <c r="A468" s="4" t="str">
        <f ca="1">IFERROR(__xludf.DUMMYFUNCTION("""COMPUTED_VALUE"""),"नीपान्वयः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||")</f>
        <v>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||</v>
      </c>
      <c r="B468" s="4" t="s">
        <v>20</v>
      </c>
      <c r="C468" s="4"/>
    </row>
    <row r="469" spans="1:3" ht="24" customHeight="1">
      <c r="A469" s="4" t="str">
        <f ca="1">IFERROR(__xludf.DUMMYFUNCTION("""COMPUTED_VALUE"""),"यस्य्ऽ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||")</f>
        <v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||</v>
      </c>
      <c r="B469" s="4" t="s">
        <v>13</v>
      </c>
      <c r="C469" s="4"/>
    </row>
    <row r="470" spans="1:3" ht="24" customHeight="1">
      <c r="A470" s="4" t="str">
        <f ca="1">IFERROR(__xludf.DUMMYFUNCTION("""COMPUTED_VALUE"""),"यस्यावरोधस्तनचन्दनानां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||")</f>
        <v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||</v>
      </c>
      <c r="B470" s="4" t="s">
        <v>2</v>
      </c>
      <c r="C470" s="4"/>
    </row>
    <row r="471" spans="1:3" ht="24" customHeight="1">
      <c r="A471" s="4" t="str">
        <f ca="1">IFERROR(__xludf.DUMMYFUNCTION("""COMPUTED_VALUE"""),"त्रस्तेन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||")</f>
        <v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||</v>
      </c>
      <c r="B471" s="4" t="s">
        <v>1</v>
      </c>
      <c r="C471" s="4"/>
    </row>
    <row r="472" spans="1:3" ht="24" customHeight="1">
      <c r="A472" s="4" t="str">
        <f ca="1">IFERROR(__xludf.DUMMYFUNCTION("""COMPUTED_VALUE"""),"संभाव्य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||")</f>
        <v>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||</v>
      </c>
      <c r="B472" s="4" t="s">
        <v>0</v>
      </c>
      <c r="C472" s="4"/>
    </row>
    <row r="473" spans="1:3" ht="24" customHeight="1">
      <c r="A473" s="4" t="str">
        <f ca="1">IFERROR(__xludf.DUMMYFUNCTION("""COMPUTED_VALUE"""),"अध्यास्य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||")</f>
        <v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||</v>
      </c>
      <c r="B473" s="4" t="s">
        <v>18</v>
      </c>
      <c r="C473" s="4"/>
    </row>
    <row r="474" spans="1:3" ht="24" customHeight="1">
      <c r="A474" s="4" t="str">
        <f ca="1">IFERROR(__xludf.DUMMYFUNCTION("""COMPUTED_VALUE"""),"नृपं तं आवर्तमनोज्ञनाभिः सा व्यत्यगादन्यवधूर्भवित्री । महीधरं मार्गवशादुपेतं स्रोतोवहा सागरगामिनीव ||")</f>
        <v>नृपं तं आवर्तमनोज्ञनाभिः सा व्यत्यगादन्यवधूर्भवित्री । महीधरं मार्गवशादुपेतं स्रोतोवहा सागरगामिनीव ||</v>
      </c>
      <c r="B474" s="4" t="s">
        <v>4</v>
      </c>
      <c r="C474" s="4"/>
    </row>
    <row r="475" spans="1:3" ht="24" customHeight="1">
      <c r="A475" s="4" t="str">
        <f ca="1">IFERROR(__xludf.DUMMYFUNCTION("""COMPUTED_VALUE"""),"अथाङ्गदाश्लिष्टभुजं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||")</f>
        <v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||</v>
      </c>
      <c r="B475" s="4" t="s">
        <v>13</v>
      </c>
      <c r="C475" s="4"/>
    </row>
    <row r="476" spans="1:3" ht="24" customHeight="1">
      <c r="A476" s="4" t="str">
        <f ca="1">IFERROR(__xludf.DUMMYFUNCTION("""COMPUTED_VALUE"""),"असौ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||")</f>
        <v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||</v>
      </c>
      <c r="B476" s="4" t="s">
        <v>0</v>
      </c>
      <c r="C476" s="4"/>
    </row>
    <row r="477" spans="1:3" ht="24" customHeight="1">
      <c r="A477" s="4" t="str">
        <f ca="1">IFERROR(__xludf.DUMMYFUNCTION("""COMPUTED_VALUE"""),"ज्याघातरेखे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||")</f>
        <v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||</v>
      </c>
      <c r="B477" s="4" t="s">
        <v>4</v>
      </c>
      <c r="C477" s="4"/>
    </row>
    <row r="478" spans="1:3" ht="24" customHeight="1">
      <c r="A478" s="4" t="str">
        <f ca="1">IFERROR(__xludf.DUMMYFUNCTION("""COMPUTED_VALUE"""),"रणेऽमितत्रीणतया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||")</f>
        <v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||</v>
      </c>
      <c r="B478" s="4" t="s">
        <v>2</v>
      </c>
      <c r="C478" s="4"/>
    </row>
    <row r="479" spans="1:3" ht="24" customHeight="1">
      <c r="A479" s="4" t="str">
        <f ca="1">IFERROR(__xludf.DUMMYFUNCTION("""COMPUTED_VALUE"""),"यं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||")</f>
        <v>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||</v>
      </c>
      <c r="B479" s="4" t="s">
        <v>2</v>
      </c>
      <c r="C479" s="4"/>
    </row>
    <row r="480" spans="1:3" ht="24" customHeight="1">
      <c r="A480" s="4" t="str">
        <f ca="1">IFERROR(__xludf.DUMMYFUNCTION("""COMPUTED_VALUE"""),"अनेन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||")</f>
        <v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||</v>
      </c>
      <c r="B480" s="4" t="s">
        <v>6</v>
      </c>
      <c r="C480" s="4"/>
    </row>
    <row r="481" spans="1:3" ht="24" customHeight="1">
      <c r="A481" s="4" t="str">
        <f ca="1">IFERROR(__xludf.DUMMYFUNCTION("""COMPUTED_VALUE"""),"प्रलोभिताप्याकृतिलोभनीया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प्रतिकूलदैवाथ् ||")</f>
        <v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प्रतिकूलदैवाथ् ||</v>
      </c>
      <c r="B481" s="4" t="s">
        <v>4</v>
      </c>
      <c r="C481" s="4"/>
    </row>
    <row r="482" spans="1:3" ht="24" customHeight="1">
      <c r="A482" s="4" t="str">
        <f ca="1">IFERROR(__xludf.DUMMYFUNCTION("""COMPUTED_VALUE"""),"अथाधिगम्याभुवराजकल्पं पतिं पुरस्योरुगपूर्वनाम्नः । आचारपूतोभयवंशदीपं शुद्धान्तरक्ष्या जगदे कुमारी ||")</f>
        <v>अथाधिगम्याभुवराजकल्पं पतिं पुरस्योरुगपूर्वनाम्नः । आचारपूतोभयवंशदीपं शुद्धान्तरक्ष्या जगदे कुमारी ||</v>
      </c>
      <c r="B482" s="4" t="s">
        <v>0</v>
      </c>
      <c r="C482" s="4"/>
    </row>
    <row r="483" spans="1:3" ht="24" customHeight="1">
      <c r="A483" s="4" t="str">
        <f ca="1">IFERROR(__xludf.DUMMYFUNCTION("""COMPUTED_VALUE"""),"अथोराख्यस्य पुरस्य नाथं दौवारिकी देवसरूपं । इतश्चकोराक्षि विलोकयेति पूर्वानुशिष्टां निजगाद भोज्यां ||")</f>
        <v>अथोराख्यस्य पुरस्य नाथं दौवारिकी देवसरूपं । इतश्चकोराक्षि विलोकयेति पूर्वानुशिष्टां निजगाद भोज्यां ||</v>
      </c>
      <c r="B483" s="4" t="s">
        <v>5</v>
      </c>
      <c r="C483" s="4"/>
    </row>
    <row r="484" spans="1:3" ht="24" customHeight="1">
      <c r="A484" s="4" t="str">
        <f ca="1">IFERROR(__xludf.DUMMYFUNCTION("""COMPUTED_VALUE"""),"पाण्ड्योऽयं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||")</f>
        <v>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||</v>
      </c>
      <c r="B484" s="4" t="s">
        <v>3</v>
      </c>
      <c r="C484" s="4"/>
    </row>
    <row r="485" spans="1:3" ht="24" customHeight="1">
      <c r="A485" s="4" t="str">
        <f ca="1">IFERROR(__xludf.DUMMYFUNCTION("""COMPUTED_VALUE"""),"विन्ध्यस्य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||")</f>
        <v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||</v>
      </c>
      <c r="B485" s="4" t="s">
        <v>5</v>
      </c>
      <c r="C485" s="4"/>
    </row>
    <row r="486" spans="1:3" ht="24" customHeight="1">
      <c r="A486" s="4" t="str">
        <f ca="1">IFERROR(__xludf.DUMMYFUNCTION("""COMPUTED_VALUE"""),"अस्त्रं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||")</f>
        <v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||</v>
      </c>
      <c r="B486" s="4" t="s">
        <v>10</v>
      </c>
      <c r="C486" s="4"/>
    </row>
    <row r="487" spans="1:3" ht="24" customHeight="1">
      <c r="A487" s="4" t="str">
        <f ca="1">IFERROR(__xludf.DUMMYFUNCTION("""COMPUTED_VALUE"""),"अनेन पाणौ विधिवद्गृहीते महाकुलीनेन महीव गुर्वी । रत्नानुविद्धार्णवमेखलाया दिशः सपत्नी भव दक्षिणस्याः ||")</f>
        <v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||</v>
      </c>
      <c r="B487" s="4" t="s">
        <v>5</v>
      </c>
      <c r="C487" s="4"/>
    </row>
    <row r="488" spans="1:3" ht="24" customHeight="1">
      <c r="A488" s="4" t="str">
        <f ca="1">IFERROR(__xludf.DUMMYFUNCTION("""COMPUTED_VALUE"""),"ताम्बूलवल्लीपरिणद्धपूगास्वेलालतालिङ्गितचन्दनासु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||")</f>
        <v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||</v>
      </c>
      <c r="B488" s="4" t="s">
        <v>13</v>
      </c>
      <c r="C488" s="4"/>
    </row>
    <row r="489" spans="1:3" ht="24" customHeight="1">
      <c r="A489" s="4" t="str">
        <f ca="1">IFERROR(__xludf.DUMMYFUNCTION("""COMPUTED_VALUE"""),"इन्दीवरश्यामतनौर्नृपोऽसौ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||")</f>
        <v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||</v>
      </c>
      <c r="B489" s="4" t="s">
        <v>2</v>
      </c>
      <c r="C489" s="4"/>
    </row>
    <row r="490" spans="1:3" ht="24" customHeight="1">
      <c r="A490" s="4" t="str">
        <f ca="1">IFERROR(__xludf.DUMMYFUNCTION("""COMPUTED_VALUE"""),"स्वसुर्विदर्भाधिपतेस्तदीयो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||")</f>
        <v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||</v>
      </c>
      <c r="B490" s="4" t="s">
        <v>17</v>
      </c>
      <c r="C490" s="4"/>
    </row>
    <row r="491" spans="1:3" ht="24" customHeight="1">
      <c r="A491" s="4" t="str">
        <f ca="1">IFERROR(__xludf.DUMMYFUNCTION("""COMPUTED_VALUE"""),"संचारिणी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||")</f>
        <v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||</v>
      </c>
      <c r="B491" s="4" t="s">
        <v>11</v>
      </c>
      <c r="C491" s="4"/>
    </row>
    <row r="492" spans="1:3" ht="24" customHeight="1">
      <c r="A492" s="4" t="str">
        <f ca="1">IFERROR(__xludf.DUMMYFUNCTION("""COMPUTED_VALUE"""),"तस्यां रघोः सूनुरुपस्थितायां वृणीत मां नेति समाकुलोऽभूथ् । वामेतरः संशयं अस्य बाहुः केयूरबन्धोच्छवसितैर्नुनोद ||")</f>
        <v>तस्यां रघोः सूनुरुपस्थितायां वृणीत मां नेति समाकुलोऽभूथ् । वामेतरः संशयं अस्य बाहुः केयूरबन्धोच्छवसितैर्नुनोद ||</v>
      </c>
      <c r="B492" s="4" t="s">
        <v>17</v>
      </c>
      <c r="C492" s="4"/>
    </row>
    <row r="493" spans="1:3" ht="24" customHeight="1">
      <c r="A493" s="4" t="str">
        <f ca="1">IFERROR(__xludf.DUMMYFUNCTION("""COMPUTED_VALUE"""),"तं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||")</f>
        <v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||</v>
      </c>
      <c r="B493" s="4" t="s">
        <v>11</v>
      </c>
      <c r="C493" s="4"/>
    </row>
    <row r="494" spans="1:3" ht="24" customHeight="1">
      <c r="A494" s="4" t="str">
        <f ca="1">IFERROR(__xludf.DUMMYFUNCTION("""COMPUTED_VALUE"""),"तस्मिन्समावेशितचित्तवृत्तिं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||")</f>
        <v>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||</v>
      </c>
      <c r="B494" s="4" t="s">
        <v>17</v>
      </c>
      <c r="C494" s="4"/>
    </row>
    <row r="495" spans="1:3" ht="24" customHeight="1">
      <c r="A495" s="4" t="str">
        <f ca="1">IFERROR(__xludf.DUMMYFUNCTION("""COMPUTED_VALUE"""),"इक्ष्वाकुवंश्यः ककुदं नृपाणां ककुत्स्थ इत्याहितलक्षणोऽभूथ् । काकुत्स्थशब्दं यत उन्नतेच्छाः श्लाघ्यं दधत्युत्तरकोसलेन्द्राः ||")</f>
        <v>इक्ष्वाकुवंश्यः ककुदं नृपाणां ककुत्स्थ इत्याहितलक्षणोऽभूथ् । काकुत्स्थशब्दं यत उन्नतेच्छाः श्लाघ्यं दधत्युत्तरकोसलेन्द्राः ||</v>
      </c>
      <c r="B495" s="4" t="s">
        <v>0</v>
      </c>
      <c r="C495" s="4"/>
    </row>
    <row r="496" spans="1:3" ht="24" customHeight="1">
      <c r="A496" s="4" t="str">
        <f ca="1">IFERROR(__xludf.DUMMYFUNCTION("""COMPUTED_VALUE"""),"महेन्द्रं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||")</f>
        <v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||</v>
      </c>
      <c r="B496" s="4" t="s">
        <v>14</v>
      </c>
      <c r="C496" s="4"/>
    </row>
    <row r="497" spans="1:3" ht="24" customHeight="1">
      <c r="A497" s="4" t="str">
        <f ca="1">IFERROR(__xludf.DUMMYFUNCTION("""COMPUTED_VALUE"""),"ऐरावतास्फालनविश्लथं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||")</f>
        <v>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||</v>
      </c>
      <c r="B497" s="4" t="s">
        <v>22</v>
      </c>
      <c r="C497" s="4"/>
    </row>
    <row r="498" spans="1:3" ht="24" customHeight="1">
      <c r="A498" s="4" t="str">
        <f ca="1">IFERROR(__xludf.DUMMYFUNCTION("""COMPUTED_VALUE"""),"जातः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||")</f>
        <v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||</v>
      </c>
      <c r="B498" s="4" t="s">
        <v>5</v>
      </c>
      <c r="C498" s="4"/>
    </row>
    <row r="499" spans="1:3" ht="24" customHeight="1">
      <c r="A499" s="4" t="str">
        <f ca="1">IFERROR(__xludf.DUMMYFUNCTION("""COMPUTED_VALUE"""),"यस्मिन्महीं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||")</f>
        <v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||</v>
      </c>
      <c r="B499" s="4" t="s">
        <v>2</v>
      </c>
      <c r="C499" s="4"/>
    </row>
    <row r="500" spans="1:3" ht="24" customHeight="1">
      <c r="A500" s="4" t="str">
        <f ca="1">IFERROR(__xludf.DUMMYFUNCTION("""COMPUTED_VALUE"""),"पुत्रो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||")</f>
        <v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||</v>
      </c>
      <c r="B500" s="4" t="s">
        <v>2</v>
      </c>
      <c r="C500" s="4"/>
    </row>
    <row r="501" spans="1:3" ht="24" customHeight="1">
      <c r="A501" s="4" t="str">
        <f ca="1">IFERROR(__xludf.DUMMYFUNCTION("""COMPUTED_VALUE"""),"आरूढं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||")</f>
        <v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||</v>
      </c>
      <c r="B501" s="4" t="s">
        <v>11</v>
      </c>
      <c r="C501" s="4"/>
    </row>
    <row r="502" spans="1:3" ht="24" customHeight="1">
      <c r="A502" s="4" t="str">
        <f ca="1">IFERROR(__xludf.DUMMYFUNCTION("""COMPUTED_VALUE"""),"असौ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||")</f>
        <v>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||</v>
      </c>
      <c r="B502" s="4" t="s">
        <v>2</v>
      </c>
      <c r="C502" s="4"/>
    </row>
    <row r="503" spans="1:3" ht="24" customHeight="1">
      <c r="A503" s="4" t="str">
        <f ca="1">IFERROR(__xludf.DUMMYFUNCTION("""COMPUTED_VALUE"""),"कुलेन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||")</f>
        <v>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||</v>
      </c>
      <c r="B503" s="4" t="s">
        <v>1</v>
      </c>
      <c r="C503" s="4"/>
    </row>
    <row r="504" spans="1:3" ht="24" customHeight="1">
      <c r="A504" s="4" t="str">
        <f ca="1">IFERROR(__xludf.DUMMYFUNCTION("""COMPUTED_VALUE"""),"ततः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||")</f>
        <v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||</v>
      </c>
      <c r="B504" s="4" t="s">
        <v>4</v>
      </c>
      <c r="C504" s="4"/>
    </row>
    <row r="505" spans="1:3" ht="24" customHeight="1">
      <c r="A505" s="4" t="str">
        <f ca="1">IFERROR(__xludf.DUMMYFUNCTION("""COMPUTED_VALUE"""),"सा यूनि तस्मिन्नभिलाषबन्धं शशाक शालीनतया न वक्तुं । र्ॐआञ्चलक्ष्येण स गात्रयष्टिं भित्त्वा निराक्रामदरालकेश्याः ||")</f>
        <v>सा यूनि तस्मिन्नभिलाषबन्धं शशाक शालीनतया न वक्तुं । र्ॐआञ्चलक्ष्येण स गात्रयष्टिं भित्त्वा निराक्रामदरालकेश्याः ||</v>
      </c>
      <c r="B505" s="4" t="s">
        <v>5</v>
      </c>
      <c r="C505" s="4"/>
    </row>
    <row r="506" spans="1:3" ht="24" customHeight="1">
      <c r="A506" s="4" t="str">
        <f ca="1">IFERROR(__xludf.DUMMYFUNCTION("""COMPUTED_VALUE"""),"तथागतायां परिहासपूर्वं सख्यां सखी वेत्रधरा बभाषे । आर्ये व्रजामोऽन्यत इत्यथैनां वधूरसूयाकुटिलं ददर्श ||")</f>
        <v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||</v>
      </c>
      <c r="B506" s="4" t="s">
        <v>8</v>
      </c>
      <c r="C506" s="4"/>
    </row>
    <row r="507" spans="1:3" ht="24" customHeight="1">
      <c r="A507" s="4" t="str">
        <f ca="1">IFERROR(__xludf.DUMMYFUNCTION("""COMPUTED_VALUE"""),"सा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||")</f>
        <v>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||</v>
      </c>
      <c r="B507" s="4" t="s">
        <v>15</v>
      </c>
      <c r="C507" s="4"/>
    </row>
    <row r="508" spans="1:3" ht="24" customHeight="1">
      <c r="A508" s="4" t="str">
        <f ca="1">IFERROR(__xludf.DUMMYFUNCTION("""COMPUTED_VALUE"""),"तया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||")</f>
        <v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||</v>
      </c>
      <c r="B508" s="4" t="s">
        <v>5</v>
      </c>
      <c r="C508" s="4"/>
    </row>
    <row r="509" spans="1:3" ht="24" customHeight="1">
      <c r="A509" s="4" t="str">
        <f ca="1">IFERROR(__xludf.DUMMYFUNCTION("""COMPUTED_VALUE"""),"शशिनं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||")</f>
        <v>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||</v>
      </c>
      <c r="B509" s="4" t="s">
        <v>4</v>
      </c>
      <c r="C509" s="4"/>
    </row>
    <row r="510" spans="1:3" ht="24" customHeight="1">
      <c r="A510" s="4" t="str">
        <f ca="1">IFERROR(__xludf.DUMMYFUNCTION("""COMPUTED_VALUE"""),"प्रमुदितवरपक्षं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आसीथ् ||")</f>
        <v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आसीथ् ||</v>
      </c>
      <c r="B510" s="4" t="s">
        <v>18</v>
      </c>
      <c r="C510" s="4"/>
    </row>
    <row r="511" spans="1:3" ht="24" customHeight="1">
      <c r="A511" s="4" t="str">
        <f ca="1">IFERROR(__xludf.DUMMYFUNCTION("""COMPUTED_VALUE"""),"अथोपयन्त्रा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||")</f>
        <v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||</v>
      </c>
      <c r="B511" s="4" t="s">
        <v>4</v>
      </c>
      <c r="C511" s="4"/>
    </row>
    <row r="512" spans="1:3" ht="24" customHeight="1">
      <c r="A512" s="4" t="str">
        <f ca="1">IFERROR(__xludf.DUMMYFUNCTION("""COMPUTED_VALUE"""),"सेनानिवेशान्पृथिवीक्षितोऽपि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||")</f>
        <v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||</v>
      </c>
      <c r="B512" s="4" t="s">
        <v>5</v>
      </c>
      <c r="C512" s="4"/>
    </row>
    <row r="513" spans="1:3" ht="24" customHeight="1">
      <c r="A513" s="4" t="str">
        <f ca="1">IFERROR(__xludf.DUMMYFUNCTION("""COMPUTED_VALUE"""),"सांनिध्ययोगात्किल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||")</f>
        <v>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||</v>
      </c>
      <c r="B513" s="4" t="s">
        <v>19</v>
      </c>
      <c r="C513" s="4"/>
    </row>
    <row r="514" spans="1:3" ht="24" customHeight="1">
      <c r="A514" s="4" t="str">
        <f ca="1">IFERROR(__xludf.DUMMYFUNCTION("""COMPUTED_VALUE"""),"तावत्प्रकीर्णाभिनवोपचारं इन्द्रायुधद्योतिततोरणाङ्कं । वरः स वध्वा सह राजमार्गं प्राप ध्वजच्छायनिवारितोष्णं ||")</f>
        <v>तावत्प्रकीर्णाभिनवोपचारं इन्द्रायुधद्योतिततोरणाङ्कं । वरः स वध्वा सह राजमार्गं प्राप ध्वजच्छायनिवारितोष्णं ||</v>
      </c>
      <c r="B514" s="4" t="s">
        <v>7</v>
      </c>
      <c r="C514" s="4"/>
    </row>
    <row r="515" spans="1:3" ht="24" customHeight="1">
      <c r="A515" s="4" t="str">
        <f ca="1">IFERROR(__xludf.DUMMYFUNCTION("""COMPUTED_VALUE"""),"ततस्तदालोकनतत्पराणां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||")</f>
        <v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||</v>
      </c>
      <c r="B515" s="4" t="s">
        <v>1</v>
      </c>
      <c r="C515" s="4"/>
    </row>
    <row r="516" spans="1:3" ht="24" customHeight="1">
      <c r="A516" s="4" t="str">
        <f ca="1">IFERROR(__xludf.DUMMYFUNCTION("""COMPUTED_VALUE"""),"आलोकमार्गं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||")</f>
        <v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||</v>
      </c>
      <c r="B516" s="4" t="s">
        <v>8</v>
      </c>
      <c r="C516" s="4"/>
    </row>
    <row r="517" spans="1:3" ht="24" customHeight="1">
      <c r="A517" s="4" t="str">
        <f ca="1">IFERROR(__xludf.DUMMYFUNCTION("""COMPUTED_VALUE"""),"प्रसाधिकालम्बितं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||")</f>
        <v>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||</v>
      </c>
      <c r="B517" s="4" t="s">
        <v>2</v>
      </c>
      <c r="C517" s="4"/>
    </row>
    <row r="518" spans="1:3" ht="24" customHeight="1">
      <c r="A518" s="4" t="str">
        <f ca="1">IFERROR(__xludf.DUMMYFUNCTION("""COMPUTED_VALUE"""),"विलोचनं दक्षिणं अञ्जनेन संभाव्य तद्वञ्चितवामनेत्रा । तथैव वातायनसंनिकर्षं ययौ शलाकां अपरा वहन्ती ||")</f>
        <v>विलोचनं दक्षिणं अञ्जनेन संभाव्य तद्वञ्चितवामनेत्रा । तथैव वातायनसंनिकर्षं ययौ शलाकां अपरा वहन्ती ||</v>
      </c>
      <c r="B518" s="4" t="s">
        <v>2</v>
      </c>
      <c r="C518" s="4"/>
    </row>
    <row r="519" spans="1:3" ht="24" customHeight="1">
      <c r="A519" s="4" t="str">
        <f ca="1">IFERROR(__xludf.DUMMYFUNCTION("""COMPUTED_VALUE"""),"जालान्तरप्रेषितदृष्टिरन्या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||")</f>
        <v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||</v>
      </c>
      <c r="B519" s="4" t="s">
        <v>18</v>
      </c>
      <c r="C519" s="4"/>
    </row>
    <row r="520" spans="1:3" ht="24" customHeight="1">
      <c r="A520" s="4" t="str">
        <f ca="1">IFERROR(__xludf.DUMMYFUNCTION("""COMPUTED_VALUE"""),"अर्धाचिता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||")</f>
        <v>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||</v>
      </c>
      <c r="B520" s="4" t="s">
        <v>13</v>
      </c>
      <c r="C520" s="4"/>
    </row>
    <row r="521" spans="1:3" ht="24" customHeight="1">
      <c r="A521" s="4" t="str">
        <f ca="1">IFERROR(__xludf.DUMMYFUNCTION("""COMPUTED_VALUE"""),"स्तनंधयन्तं तनयं विहाय विलोकनाय त्वरया व्रजन्ती । संप्रस्नुताभ्यां पदवीं स्तनाभ्यां सिषेच काचित्पयस्ऽऽ आ गवाक्षाथ् ||")</f>
        <v>स्तनंधयन्तं तनयं विहाय विलोकनाय त्वरया व्रजन्ती । संप्रस्नुताभ्यां पदवीं स्तनाभ्यां सिषेच काचित्पयस्ऽऽ आ गवाक्षाथ् ||</v>
      </c>
      <c r="B521" s="4" t="s">
        <v>13</v>
      </c>
      <c r="C521" s="4"/>
    </row>
    <row r="522" spans="1:3" ht="24" customHeight="1">
      <c r="A522" s="4" t="str">
        <f ca="1">IFERROR(__xludf.DUMMYFUNCTION("""COMPUTED_VALUE"""),"तासां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||")</f>
        <v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||</v>
      </c>
      <c r="B522" s="4" t="s">
        <v>18</v>
      </c>
      <c r="C522" s="4"/>
    </row>
    <row r="523" spans="1:3" ht="24" customHeight="1">
      <c r="A523" s="4" t="str">
        <f ca="1">IFERROR(__xludf.DUMMYFUNCTION("""COMPUTED_VALUE"""),"ता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||")</f>
        <v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||</v>
      </c>
      <c r="B523" s="4" t="s">
        <v>23</v>
      </c>
      <c r="C523" s="4"/>
    </row>
    <row r="524" spans="1:3" ht="24" customHeight="1">
      <c r="A524" s="4" t="str">
        <f ca="1">IFERROR(__xludf.DUMMYFUNCTION("""COMPUTED_VALUE"""),"स्थाने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||")</f>
        <v>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||</v>
      </c>
      <c r="B524" s="4" t="s">
        <v>5</v>
      </c>
      <c r="C524" s="4"/>
    </row>
    <row r="525" spans="1:3" ht="24" customHeight="1">
      <c r="A525" s="4" t="str">
        <f ca="1">IFERROR(__xludf.DUMMYFUNCTION("""COMPUTED_VALUE"""),"परस्परेण स्पृहणीयशोभं न चेदिदं द्वन्द्वं अयोजयिष्यथ् । अस्मिन्द्वये रूपविधानयत्नः पत्युः प्रजानां वितथोऽभविष्यथ् ||")</f>
        <v>परस्परेण स्पृहणीयशोभं न चेदिदं द्वन्द्वं अयोजयिष्यथ् । अस्मिन्द्वये रूपविधानयत्नः पत्युः प्रजानां वितथोऽभविष्यथ् ||</v>
      </c>
      <c r="B525" s="4" t="s">
        <v>5</v>
      </c>
      <c r="C525" s="4"/>
    </row>
    <row r="526" spans="1:3" ht="24" customHeight="1">
      <c r="A526" s="4" t="str">
        <f ca="1">IFERROR(__xludf.DUMMYFUNCTION("""COMPUTED_VALUE"""),"रतिस्मरौ नूनं इमावभूतां राज्ञां सहरेषु तथा हि बाला । गतेयं आत्मप्रतिरूपं एव मनो हि जन्मान्तरसंगतिज्ञं ||")</f>
        <v>रतिस्मरौ नूनं इमावभूतां राज्ञां सहरेषु तथा हि बाला । गतेयं आत्मप्रतिरूपं एव मनो हि जन्मान्तरसंगतिज्ञं ||</v>
      </c>
      <c r="B526" s="4" t="s">
        <v>25</v>
      </c>
      <c r="C526" s="4"/>
    </row>
    <row r="527" spans="1:3" ht="24" customHeight="1">
      <c r="A527" s="4" t="str">
        <f ca="1">IFERROR(__xludf.DUMMYFUNCTION("""COMPUTED_VALUE"""),"इत्युद्गताः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||")</f>
        <v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||</v>
      </c>
      <c r="B527" s="4" t="s">
        <v>17</v>
      </c>
      <c r="C527" s="4"/>
    </row>
    <row r="528" spans="1:3" ht="24" customHeight="1">
      <c r="A528" s="4" t="str">
        <f ca="1">IFERROR(__xludf.DUMMYFUNCTION("""COMPUTED_VALUE"""),"ततोऽवतीर्याशु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||")</f>
        <v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||</v>
      </c>
      <c r="B528" s="4" t="s">
        <v>2</v>
      </c>
      <c r="C528" s="4"/>
    </row>
    <row r="529" spans="1:3" ht="24" customHeight="1">
      <c r="A529" s="4" t="str">
        <f ca="1">IFERROR(__xludf.DUMMYFUNCTION("""COMPUTED_VALUE"""),"महार्हसिंहासनसंस्थितोऽसौ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||")</f>
        <v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||</v>
      </c>
      <c r="B529" s="4" t="s">
        <v>13</v>
      </c>
      <c r="C529" s="4"/>
    </row>
    <row r="530" spans="1:3" ht="24" customHeight="1">
      <c r="A530" s="4" t="str">
        <f ca="1">IFERROR(__xludf.DUMMYFUNCTION("""COMPUTED_VALUE"""),"दुकूलवासाः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||")</f>
        <v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||</v>
      </c>
      <c r="B530" s="4" t="s">
        <v>17</v>
      </c>
      <c r="C530" s="4"/>
    </row>
    <row r="531" spans="1:3" ht="24" customHeight="1">
      <c r="A531" s="4" t="str">
        <f ca="1">IFERROR(__xludf.DUMMYFUNCTION("""COMPUTED_VALUE"""),"तत्रार्चितो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||")</f>
        <v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||</v>
      </c>
      <c r="B531" s="4" t="s">
        <v>0</v>
      </c>
      <c r="C531" s="4"/>
    </row>
    <row r="532" spans="1:3" ht="24" customHeight="1">
      <c r="A532" s="4" t="str">
        <f ca="1">IFERROR(__xludf.DUMMYFUNCTION("""COMPUTED_VALUE"""),"हस्तेन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||")</f>
        <v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||</v>
      </c>
      <c r="B532" s="4" t="s">
        <v>4</v>
      </c>
      <c r="C532" s="4"/>
    </row>
    <row r="533" spans="1:3" ht="24" customHeight="1">
      <c r="A533" s="4" t="str">
        <f ca="1">IFERROR(__xludf.DUMMYFUNCTION("""COMPUTED_VALUE"""),"आसीद्वरः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||")</f>
        <v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||</v>
      </c>
      <c r="B533" s="4" t="s">
        <v>5</v>
      </c>
      <c r="C533" s="4"/>
    </row>
    <row r="534" spans="1:3" ht="24" customHeight="1">
      <c r="A534" s="4" t="str">
        <f ca="1">IFERROR(__xludf.DUMMYFUNCTION("""COMPUTED_VALUE"""),"तयोरपाङ्ग-प्रतिसारितानि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||")</f>
        <v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||</v>
      </c>
      <c r="B534" s="4" t="s">
        <v>1</v>
      </c>
      <c r="C534" s="4"/>
    </row>
    <row r="535" spans="1:3" ht="24" customHeight="1">
      <c r="A535" s="4" t="str">
        <f ca="1">IFERROR(__xludf.DUMMYFUNCTION("""COMPUTED_VALUE"""),"प्रदक्षिणप्रक्रमणात्कृषानोरुदर्चिषस्तन्(?)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||")</f>
        <v>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||</v>
      </c>
      <c r="B535" s="4" t="s">
        <v>12</v>
      </c>
      <c r="C535" s="4"/>
    </row>
    <row r="536" spans="1:3" ht="24" customHeight="1">
      <c r="A536" s="4" t="str">
        <f ca="1">IFERROR(__xludf.DUMMYFUNCTION("""COMPUTED_VALUE"""),"नितम्बगुर्वी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||")</f>
        <v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||</v>
      </c>
      <c r="B536" s="4" t="s">
        <v>1</v>
      </c>
      <c r="C536" s="4"/>
    </row>
    <row r="537" spans="1:3" ht="24" customHeight="1">
      <c r="A537" s="4" t="str">
        <f ca="1">IFERROR(__xludf.DUMMYFUNCTION("""COMPUTED_VALUE"""),"हविःशमीपल्लवलाजगन्धिः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||")</f>
        <v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||</v>
      </c>
      <c r="B537" s="4" t="s">
        <v>17</v>
      </c>
      <c r="C537" s="4"/>
    </row>
    <row r="538" spans="1:3" ht="24" customHeight="1">
      <c r="A538" s="4" t="str">
        <f ca="1">IFERROR(__xludf.DUMMYFUNCTION("""COMPUTED_VALUE"""),"तदञ्जनक्लेदसमाकुलाक्षं प्रम्लानभीजाङ्कुरकर्णपूरं । वधूमुखं पाटलगण्डलेखं आचारधूमग्रहणाद्बभूव ||")</f>
        <v>तदञ्जनक्लेदसमाकुलाक्षं प्रम्लानभीजाङ्कुरकर्णपूरं । वधूमुखं पाटलगण्डलेखं आचारधूमग्रहणाद्बभूव ||</v>
      </c>
      <c r="B538" s="4" t="s">
        <v>4</v>
      </c>
      <c r="C538" s="4"/>
    </row>
    <row r="539" spans="1:3" ht="24" customHeight="1">
      <c r="A539" s="4" t="str">
        <f ca="1">IFERROR(__xludf.DUMMYFUNCTION("""COMPUTED_VALUE"""),"तौ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||")</f>
        <v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||</v>
      </c>
      <c r="B539" s="4" t="s">
        <v>2</v>
      </c>
      <c r="C539" s="4"/>
    </row>
    <row r="540" spans="1:3" ht="24" customHeight="1">
      <c r="A540" s="4" t="str">
        <f ca="1">IFERROR(__xludf.DUMMYFUNCTION("""COMPUTED_VALUE"""),"इति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||")</f>
        <v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||</v>
      </c>
      <c r="B540" s="4" t="s">
        <v>0</v>
      </c>
      <c r="C540" s="4"/>
    </row>
    <row r="541" spans="1:3" ht="24" customHeight="1">
      <c r="A541" s="4" t="str">
        <f ca="1">IFERROR(__xludf.DUMMYFUNCTION("""COMPUTED_VALUE"""),"लिङ्गैर्मुदः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||")</f>
        <v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||</v>
      </c>
      <c r="B541" s="4" t="s">
        <v>1</v>
      </c>
      <c r="C541" s="4"/>
    </row>
    <row r="542" spans="1:3" ht="24" customHeight="1">
      <c r="A542" s="4" t="str">
        <f ca="1">IFERROR(__xludf.DUMMYFUNCTION("""COMPUTED_VALUE"""),"स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||")</f>
        <v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||</v>
      </c>
      <c r="B542" s="4" t="s">
        <v>10</v>
      </c>
      <c r="C542" s="4"/>
    </row>
    <row r="543" spans="1:3" ht="24" customHeight="1">
      <c r="A543" s="4" t="str">
        <f ca="1">IFERROR(__xludf.DUMMYFUNCTION("""COMPUTED_VALUE"""),"भर्तापि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||")</f>
        <v>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||</v>
      </c>
      <c r="B543" s="4" t="s">
        <v>16</v>
      </c>
      <c r="C543" s="4"/>
    </row>
    <row r="544" spans="1:3" ht="24" customHeight="1">
      <c r="A544" s="4" t="str">
        <f ca="1">IFERROR(__xludf.DUMMYFUNCTION("""COMPUTED_VALUE"""),"तिस्रस्त्रिलोकी प्रथितेन सार्धं अजेन मार्गे वसतीरुषित्वा । तस्मादपावर्तत कुण्डिनेशः पर्वात्यये स्ॐअ इवोष्णरश्मेः ||")</f>
        <v>तिस्रस्त्रिलोकी प्रथितेन सार्धं अजेन मार्गे वसतीरुषित्वा । तस्मादपावर्तत कुण्डिनेशः पर्वात्यये स्ॐअ इवोष्णरश्मेः ||</v>
      </c>
      <c r="B544" s="4" t="s">
        <v>12</v>
      </c>
      <c r="C544" s="4"/>
    </row>
    <row r="545" spans="1:3" ht="24" customHeight="1">
      <c r="A545" s="4" t="str">
        <f ca="1">IFERROR(__xludf.DUMMYFUNCTION("""COMPUTED_VALUE"""),"प्रमन्यवः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||")</f>
        <v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||</v>
      </c>
      <c r="B545" s="4" t="s">
        <v>5</v>
      </c>
      <c r="C545" s="4"/>
    </row>
    <row r="546" spans="1:3" ht="24" customHeight="1">
      <c r="A546" s="4" t="str">
        <f ca="1">IFERROR(__xludf.DUMMYFUNCTION("""COMPUTED_VALUE"""),"तं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||")</f>
        <v>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||</v>
      </c>
      <c r="B546" s="4" t="s">
        <v>0</v>
      </c>
      <c r="C546" s="4"/>
    </row>
    <row r="547" spans="1:3" ht="24" customHeight="1">
      <c r="A547" s="4" t="str">
        <f ca="1">IFERROR(__xludf.DUMMYFUNCTION("""COMPUTED_VALUE"""),"तस्यः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||")</f>
        <v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||</v>
      </c>
      <c r="B547" s="4" t="s">
        <v>15</v>
      </c>
      <c r="C547" s="4"/>
    </row>
    <row r="548" spans="1:3" ht="24" customHeight="1">
      <c r="A548" s="4" t="str">
        <f ca="1">IFERROR(__xludf.DUMMYFUNCTION("""COMPUTED_VALUE"""),"पत्तिः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||")</f>
        <v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||</v>
      </c>
      <c r="B548" s="4" t="s">
        <v>20</v>
      </c>
      <c r="C548" s="4"/>
    </row>
    <row r="549" spans="1:3" ht="24" customHeight="1">
      <c r="A549" s="4" t="str">
        <f ca="1">IFERROR(__xludf.DUMMYFUNCTION("""COMPUTED_VALUE"""),"नदत्सु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||")</f>
        <v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||</v>
      </c>
      <c r="B549" s="4" t="s">
        <v>18</v>
      </c>
      <c r="C549" s="4"/>
    </row>
    <row r="550" spans="1:3" ht="24" customHeight="1">
      <c r="A550" s="4" t="str">
        <f ca="1">IFERROR(__xludf.DUMMYFUNCTION("""COMPUTED_VALUE"""),"उत्थापितः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||")</f>
        <v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||</v>
      </c>
      <c r="B550" s="4" t="s">
        <v>5</v>
      </c>
      <c r="C550" s="4"/>
    </row>
    <row r="551" spans="1:3" ht="24" customHeight="1">
      <c r="A551" s="4" t="str">
        <f ca="1">IFERROR(__xludf.DUMMYFUNCTION("""COMPUTED_VALUE"""),"मत्स्यध्वजा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||")</f>
        <v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||</v>
      </c>
      <c r="B551" s="4" t="s">
        <v>1</v>
      </c>
      <c r="C551" s="4"/>
    </row>
    <row r="552" spans="1:3" ht="24" customHeight="1">
      <c r="A552" s="4" t="str">
        <f ca="1">IFERROR(__xludf.DUMMYFUNCTION("""COMPUTED_VALUE"""),"रथो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||")</f>
        <v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||</v>
      </c>
      <c r="B552" s="4" t="s">
        <v>20</v>
      </c>
      <c r="C552" s="4"/>
    </row>
    <row r="553" spans="1:3" ht="24" customHeight="1">
      <c r="A553" s="4" t="str">
        <f ca="1">IFERROR(__xludf.DUMMYFUNCTION("""COMPUTED_VALUE"""),"आवृण्वतो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||")</f>
        <v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||</v>
      </c>
      <c r="B553" s="4" t="s">
        <v>24</v>
      </c>
      <c r="C553" s="4"/>
    </row>
    <row r="554" spans="1:3" ht="24" customHeight="1">
      <c r="A554" s="4" t="str">
        <f ca="1">IFERROR(__xludf.DUMMYFUNCTION("""COMPUTED_VALUE"""),"स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||")</f>
        <v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||</v>
      </c>
      <c r="B554" s="4" t="s">
        <v>18</v>
      </c>
      <c r="C554" s="4"/>
    </row>
    <row r="555" spans="1:3" ht="24" customHeight="1">
      <c r="A555" s="4" t="str">
        <f ca="1">IFERROR(__xludf.DUMMYFUNCTION("""COMPUTED_VALUE"""),"प्रहारमूर्छापगमे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||")</f>
        <v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||</v>
      </c>
      <c r="B555" s="4" t="s">
        <v>1</v>
      </c>
      <c r="C555" s="4"/>
    </row>
    <row r="556" spans="1:3" ht="24" customHeight="1">
      <c r="A556" s="4" t="str">
        <f ca="1">IFERROR(__xludf.DUMMYFUNCTION("""COMPUTED_VALUE"""),"अप्यर्धमार्गे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||")</f>
        <v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||</v>
      </c>
      <c r="B556" s="4" t="s">
        <v>5</v>
      </c>
      <c r="C556" s="4"/>
    </row>
    <row r="557" spans="1:3" ht="24" customHeight="1">
      <c r="A557" s="4" t="str">
        <f ca="1">IFERROR(__xludf.DUMMYFUNCTION("""COMPUTED_VALUE"""),"आधोरणानां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||")</f>
        <v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||</v>
      </c>
      <c r="B557" s="4" t="s">
        <v>2</v>
      </c>
      <c r="C557" s="4"/>
    </row>
    <row r="558" spans="1:3" ht="24" customHeight="1">
      <c r="A558" s="4" t="str">
        <f ca="1">IFERROR(__xludf.DUMMYFUNCTION("""COMPUTED_VALUE"""),"पूर्वं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||")</f>
        <v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||</v>
      </c>
      <c r="B558" s="4" t="s">
        <v>13</v>
      </c>
      <c r="C558" s="4"/>
    </row>
    <row r="559" spans="1:3" ht="24" customHeight="1">
      <c r="A559" s="4" t="str">
        <f ca="1">IFERROR(__xludf.DUMMYFUNCTION("""COMPUTED_VALUE"""),"तनुत्यजां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||")</f>
        <v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||</v>
      </c>
      <c r="B559" s="4" t="s">
        <v>7</v>
      </c>
      <c r="C559" s="4"/>
    </row>
    <row r="560" spans="1:3" ht="24" customHeight="1">
      <c r="A560" s="4" t="str">
        <f ca="1">IFERROR(__xludf.DUMMYFUNCTION("""COMPUTED_VALUE"""),"शिलीमुखोत्कृत्तशिरःफलाढ्या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||")</f>
        <v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||</v>
      </c>
      <c r="B560" s="4" t="s">
        <v>12</v>
      </c>
      <c r="C560" s="4"/>
    </row>
    <row r="561" spans="1:3" ht="24" customHeight="1">
      <c r="A561" s="4" t="str">
        <f ca="1">IFERROR(__xludf.DUMMYFUNCTION("""COMPUTED_VALUE"""),"उपान्तयोर्निष्कुषितं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||")</f>
        <v>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||</v>
      </c>
      <c r="B561" s="4" t="s">
        <v>0</v>
      </c>
      <c r="C561" s="4"/>
    </row>
    <row r="562" spans="1:3" ht="24" customHeight="1">
      <c r="A562" s="4" t="str">
        <f ca="1">IFERROR(__xludf.DUMMYFUNCTION("""COMPUTED_VALUE"""),"कश्चिद्द्विषत्खड्गहृतोत्तमाङ्गः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||")</f>
        <v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||</v>
      </c>
      <c r="B562" s="4" t="s">
        <v>8</v>
      </c>
      <c r="C562" s="4"/>
    </row>
    <row r="563" spans="1:3" ht="24" customHeight="1">
      <c r="A563" s="4" t="str">
        <f ca="1">IFERROR(__xludf.DUMMYFUNCTION("""COMPUTED_VALUE"""),"अन्योन्यसूतोन्मथनादभूतां तावेव सूतौ रथिनौ च कौचिथ् । व्यश्वौ गदाव्यायतसंप्रहारौ बग्नायुधौ बाहुविमर्दनिष्ठौ ||")</f>
        <v>अन्योन्यसूतोन्मथनादभूतां तावेव सूतौ रथिनौ च कौचिथ् । व्यश्वौ गदाव्यायतसंप्रहारौ बग्नायुधौ बाहुविमर्दनिष्ठौ ||</v>
      </c>
      <c r="B563" s="4" t="s">
        <v>22</v>
      </c>
      <c r="C563" s="4"/>
    </row>
    <row r="564" spans="1:3" ht="24" customHeight="1">
      <c r="A564" s="4" t="str">
        <f ca="1">IFERROR(__xludf.DUMMYFUNCTION("""COMPUTED_VALUE"""),"परस्परेण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||")</f>
        <v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||</v>
      </c>
      <c r="B564" s="4" t="s">
        <v>17</v>
      </c>
      <c r="C564" s="4"/>
    </row>
    <row r="565" spans="1:3" ht="24" customHeight="1">
      <c r="A565" s="4" t="str">
        <f ca="1">IFERROR(__xludf.DUMMYFUNCTION("""COMPUTED_VALUE"""),"व्यूहावुभौ तावितरेतरस्माद्भङ्गं जयं चापतुरव्यवस्थं । पश्चात्पुर्ॐआरुतयोः प्रवृद्धौ पर्यायवृत्त्येव महार्णवोर्मी ||")</f>
        <v>व्यूहावुभौ तावितरेतरस्माद्भङ्गं जयं चापतुरव्यवस्थं । पश्चात्पुर्ॐआरुतयोः प्रवृद्धौ पर्यायवृत्त्येव महार्णवोर्मी ||</v>
      </c>
      <c r="B565" s="4" t="s">
        <v>12</v>
      </c>
      <c r="C565" s="4"/>
    </row>
    <row r="566" spans="1:3" ht="24" customHeight="1">
      <c r="A566" s="4" t="str">
        <f ca="1">IFERROR(__xludf.DUMMYFUNCTION("""COMPUTED_VALUE"""),"परेण भग्नेऽपि बले महौजा ययावजः प्रत्यरिसैन्यं एव । धूमो निवर्तेत समीरणेन यतो हि कक्षस्तत एव वह्निः ||")</f>
        <v>परेण भग्नेऽपि बले महौजा ययावजः प्रत्यरिसैन्यं एव । धूमो निवर्तेत समीरणेन यतो हि कक्षस्तत एव वह्निः ||</v>
      </c>
      <c r="B566" s="4" t="s">
        <v>1</v>
      </c>
      <c r="C566" s="4"/>
    </row>
    <row r="567" spans="1:3" ht="24" customHeight="1">
      <c r="A567" s="4" t="str">
        <f ca="1">IFERROR(__xludf.DUMMYFUNCTION("""COMPUTED_VALUE"""),"रथी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||")</f>
        <v>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||</v>
      </c>
      <c r="B567" s="4" t="s">
        <v>6</v>
      </c>
      <c r="C567" s="4"/>
    </row>
    <row r="568" spans="1:3" ht="24" customHeight="1">
      <c r="A568" s="4" t="str">
        <f ca="1">IFERROR(__xludf.DUMMYFUNCTION("""COMPUTED_VALUE"""),"स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||")</f>
        <v>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||</v>
      </c>
      <c r="B568" s="4" t="s">
        <v>1</v>
      </c>
      <c r="C568" s="4"/>
    </row>
    <row r="569" spans="1:3" ht="24" customHeight="1">
      <c r="A569" s="4" t="str">
        <f ca="1">IFERROR(__xludf.DUMMYFUNCTION("""COMPUTED_VALUE"""),"स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||")</f>
        <v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||</v>
      </c>
      <c r="B569" s="4" t="s">
        <v>6</v>
      </c>
      <c r="C569" s="4"/>
    </row>
    <row r="570" spans="1:3" ht="24" customHeight="1">
      <c r="A570" s="4" t="str">
        <f ca="1">IFERROR(__xludf.DUMMYFUNCTION("""COMPUTED_VALUE"""),"सर्वैर्बलाङ्गैर्द्विरदप्रधानैः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||")</f>
        <v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||</v>
      </c>
      <c r="B570" s="4" t="s">
        <v>4</v>
      </c>
      <c r="C570" s="4"/>
    </row>
    <row r="571" spans="1:3" ht="24" customHeight="1">
      <c r="A571" s="4" t="str">
        <f ca="1">IFERROR(__xludf.DUMMYFUNCTION("""COMPUTED_VALUE"""),"सोऽस्त्रव्रजैश्छन्नरथः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||")</f>
        <v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||</v>
      </c>
      <c r="B571" s="4" t="s">
        <v>4</v>
      </c>
      <c r="C571" s="4"/>
    </row>
    <row r="572" spans="1:3" ht="24" customHeight="1">
      <c r="A572" s="4" t="str">
        <f ca="1">IFERROR(__xludf.DUMMYFUNCTION("""COMPUTED_VALUE"""),"प्रियंवदात्प्रापं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||")</f>
        <v>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||</v>
      </c>
      <c r="B572" s="4" t="s">
        <v>5</v>
      </c>
      <c r="C572" s="4"/>
    </row>
    <row r="573" spans="1:3" ht="24" customHeight="1">
      <c r="A573" s="4" t="str">
        <f ca="1">IFERROR(__xludf.DUMMYFUNCTION("""COMPUTED_VALUE"""),"ततो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||")</f>
        <v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||</v>
      </c>
      <c r="B573" s="4" t="s">
        <v>5</v>
      </c>
      <c r="C573" s="4"/>
    </row>
    <row r="574" spans="1:3" ht="24" customHeight="1">
      <c r="A574" s="4" t="str">
        <f ca="1">IFERROR(__xludf.DUMMYFUNCTION("""COMPUTED_VALUE"""),"ततः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||")</f>
        <v>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||</v>
      </c>
      <c r="B574" s="4" t="s">
        <v>18</v>
      </c>
      <c r="C574" s="4"/>
    </row>
    <row r="575" spans="1:3" ht="24" customHeight="1">
      <c r="A575" s="4" t="str">
        <f ca="1">IFERROR(__xludf.DUMMYFUNCTION("""COMPUTED_VALUE"""),"शङ्खस्वनाभिज्ञतया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||")</f>
        <v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||</v>
      </c>
      <c r="B575" s="4" t="s">
        <v>19</v>
      </c>
      <c r="C575" s="4"/>
    </row>
    <row r="576" spans="1:3" ht="24" customHeight="1">
      <c r="A576" s="4" t="str">
        <f ca="1">IFERROR(__xludf.DUMMYFUNCTION("""COMPUTED_VALUE"""),"सशोणितैस्तेन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||")</f>
        <v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||</v>
      </c>
      <c r="B576" s="4" t="s">
        <v>7</v>
      </c>
      <c r="C576" s="4"/>
    </row>
    <row r="577" spans="1:3" ht="24" customHeight="1">
      <c r="A577" s="4" t="str">
        <f ca="1">IFERROR(__xludf.DUMMYFUNCTION("""COMPUTED_VALUE"""),"स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||")</f>
        <v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||</v>
      </c>
      <c r="B577" s="4" t="s">
        <v>13</v>
      </c>
      <c r="C577" s="4"/>
    </row>
    <row r="578" spans="1:3" ht="24" customHeight="1">
      <c r="A578" s="4" t="str">
        <f ca="1">IFERROR(__xludf.DUMMYFUNCTION("""COMPUTED_VALUE"""),"इतः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||")</f>
        <v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||</v>
      </c>
      <c r="B578" s="4" t="s">
        <v>6</v>
      </c>
      <c r="C578" s="4"/>
    </row>
    <row r="579" spans="1:3" ht="24" customHeight="1">
      <c r="A579" s="4" t="str">
        <f ca="1">IFERROR(__xludf.DUMMYFUNCTION("""COMPUTED_VALUE"""),"तस्याः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||")</f>
        <v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||</v>
      </c>
      <c r="B579" s="4" t="s">
        <v>13</v>
      </c>
      <c r="C579" s="4"/>
    </row>
    <row r="580" spans="1:3" ht="24" customHeight="1">
      <c r="A580" s="4" t="str">
        <f ca="1">IFERROR(__xludf.DUMMYFUNCTION("""COMPUTED_VALUE"""),"हृष्टापि सा ह्रीविजिता न साक्षाद्वाग्भिः सखीनां प्रियं अभ्यनन्दथ् । स्थली नवाम्भःपृषताभिवृष्टा मयूरकेकाभिरिवाभ्रवृन्दं ||")</f>
        <v>हृष्टापि सा ह्रीविजिता न साक्षाद्वाग्भिः सखीनां प्रियं अभ्यनन्दथ् । स्थली नवाम्भःपृषताभिवृष्टा मयूरकेकाभिरिवाभ्रवृन्दं ||</v>
      </c>
      <c r="B580" s="4" t="s">
        <v>17</v>
      </c>
      <c r="C580" s="4"/>
    </row>
    <row r="581" spans="1:3" ht="24" customHeight="1">
      <c r="A581" s="4" t="str">
        <f ca="1">IFERROR(__xludf.DUMMYFUNCTION("""COMPUTED_VALUE"""),"इति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||")</f>
        <v>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||</v>
      </c>
      <c r="B581" s="4" t="s">
        <v>4</v>
      </c>
      <c r="C581" s="4"/>
    </row>
    <row r="582" spans="1:3" ht="24" customHeight="1">
      <c r="A582" s="4" t="str">
        <f ca="1">IFERROR(__xludf.DUMMYFUNCTION("""COMPUTED_VALUE"""),"प्रथमपरिगतार्थस्तं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||")</f>
        <v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||</v>
      </c>
      <c r="B582" s="4" t="s">
        <v>5</v>
      </c>
      <c r="C582" s="4"/>
    </row>
    <row r="583" spans="1:3" ht="24" customHeight="1">
      <c r="A583" s="4" t="str">
        <f ca="1">IFERROR(__xludf.DUMMYFUNCTION("""COMPUTED_VALUE"""),"अथ तस्य विवाहकौतुकं ललितं बिभ्रत एव पार्थिवः । वसुधां अपि हस्तगामिनीं अकरोदिन्दुमतीं इवापरां ||")</f>
        <v>अथ तस्य विवाहकौतुकं ललितं बिभ्रत एव पार्थिवः । वसुधां अपि हस्तगामिनीं अकरोदिन्दुमतीं इवापरां ||</v>
      </c>
      <c r="B583" s="4" t="s">
        <v>0</v>
      </c>
      <c r="C583" s="4"/>
    </row>
    <row r="584" spans="1:3" ht="24" customHeight="1">
      <c r="A584" s="4" t="str">
        <f ca="1">IFERROR(__xludf.DUMMYFUNCTION("""COMPUTED_VALUE"""),"दुरितैरपि कर्तुं आत्मसात्प्रयतन्ते नृपसूनवो हि यथ् । तदुपस्थितं अग्रहीदजः पितुराज्ञेति न भोगतृष्णया ||")</f>
        <v>दुरितैरपि कर्तुं आत्मसात्प्रयतन्ते नृपसूनवो हि यथ् । तदुपस्थितं अग्रहीदजः पितुराज्ञेति न भोगतृष्णया ||</v>
      </c>
      <c r="B584" s="4" t="s">
        <v>5</v>
      </c>
      <c r="C584" s="4"/>
    </row>
    <row r="585" spans="1:3" ht="24" customHeight="1">
      <c r="A585" s="4" t="str">
        <f ca="1">IFERROR(__xludf.DUMMYFUNCTION("""COMPUTED_VALUE"""),"अनुभूय वसिष्ठसंभृतैः सलिलैस्तेन सहाभिषेचनं । विशदोच्छवसितेन मेदिनी कथयां आस कृतार्थतां इव ||")</f>
        <v>अनुभूय वसिष्ठसंभृतैः सलिलैस्तेन सहाभिषेचनं । विशदोच्छवसितेन मेदिनी कथयां आस कृतार्थतां इव ||</v>
      </c>
      <c r="B585" s="4" t="s">
        <v>4</v>
      </c>
      <c r="C585" s="4"/>
    </row>
    <row r="586" spans="1:3" ht="24" customHeight="1">
      <c r="A586" s="4" t="str">
        <f ca="1">IFERROR(__xludf.DUMMYFUNCTION("""COMPUTED_VALUE"""),"स बभूव दुरासदः परैर्गुरुणाथर्वविदा कृतक्रियः । पवनाग्निसमागमो ह्ययं सहितं ब्रह्म यदस्त्रतेजसा ||")</f>
        <v>स बभूव दुरासदः परैर्गुरुणाथर्वविदा कृतक्रियः । पवनाग्निसमागमो ह्ययं सहितं ब्रह्म यदस्त्रतेजसा ||</v>
      </c>
      <c r="B586" s="4" t="s">
        <v>18</v>
      </c>
      <c r="C586" s="4"/>
    </row>
    <row r="587" spans="1:3" ht="24" customHeight="1">
      <c r="A587" s="4" t="str">
        <f ca="1">IFERROR(__xludf.DUMMYFUNCTION("""COMPUTED_VALUE"""),"रघुं एव निवृत्तयौवनं तं अमन्यन्त नवेश्वरं प्रजाः । स हि तस्य न केवलां श्रियं प्रतिपेदे सकलान्गुणानपि ||")</f>
        <v>रघुं एव निवृत्तयौवनं तं अमन्यन्त नवेश्वरं प्रजाः । स हि तस्य न केवलां श्रियं प्रतिपेदे सकलान्गुणानपि ||</v>
      </c>
      <c r="B587" s="4" t="s">
        <v>9</v>
      </c>
      <c r="C587" s="4"/>
    </row>
    <row r="588" spans="1:3" ht="24" customHeight="1">
      <c r="A588" s="4" t="str">
        <f ca="1">IFERROR(__xludf.DUMMYFUNCTION("""COMPUTED_VALUE"""),"अधिकं शुशुभे शुभंयुना द्वितयेन द्वयं एव संगतं । पदं ऋद्धं अजेन पैतृकं विनयेनास्य नवं च यौवनं ||")</f>
        <v>अधिकं शुशुभे शुभंयुना द्वितयेन द्वयं एव संगतं । पदं ऋद्धं अजेन पैतृकं विनयेनास्य नवं च यौवनं ||</v>
      </c>
      <c r="B588" s="4" t="s">
        <v>1</v>
      </c>
      <c r="C588" s="4"/>
    </row>
    <row r="589" spans="1:3" ht="24" customHeight="1">
      <c r="A589" s="4" t="str">
        <f ca="1">IFERROR(__xludf.DUMMYFUNCTION("""COMPUTED_VALUE"""),"सदयं बुभुजे महाभुजः सहसोद्वेगं इयं व्रजेदिति । अचिरोपनतां स मेदिनीं नवपाणिग्रहणां वधूं इव ||")</f>
        <v>सदयं बुभुजे महाभुजः सहसोद्वेगं इयं व्रजेदिति । अचिरोपनतां स मेदिनीं नवपाणिग्रहणां वधूं इव ||</v>
      </c>
      <c r="B589" s="4" t="s">
        <v>4</v>
      </c>
      <c r="C589" s="4"/>
    </row>
    <row r="590" spans="1:3" ht="24" customHeight="1">
      <c r="A590" s="4" t="str">
        <f ca="1">IFERROR(__xludf.DUMMYFUNCTION("""COMPUTED_VALUE"""),"अहं एव मतो महीपतेरिति सर्वः प्रकृतिष्वचिन्तयथ् । उदधेरिव निमगाशतेष्वभवन्नास्य विमानना क्वचिथ् ||")</f>
        <v>अहं एव मतो महीपतेरिति सर्वः प्रकृतिष्वचिन्तयथ् । उदधेरिव निमगाशतेष्वभवन्नास्य विमानना क्वचिथ् ||</v>
      </c>
      <c r="B590" s="4" t="s">
        <v>16</v>
      </c>
      <c r="C590" s="4"/>
    </row>
    <row r="591" spans="1:3" ht="24" customHeight="1">
      <c r="A591" s="4" t="str">
        <f ca="1">IFERROR(__xludf.DUMMYFUNCTION("""COMPUTED_VALUE"""),"न खरो न च भूयसा मृदुः पवमानः पृथिवीरुहानिव । स पुरस्कृतमध्यमक्रमो नमयां आस नृपाननुद्धरन् ||")</f>
        <v>न खरो न च भूयसा मृदुः पवमानः पृथिवीरुहानिव । स पुरस्कृतमध्यमक्रमो नमयां आस नृपाननुद्धरन् ||</v>
      </c>
      <c r="B591" s="4" t="s">
        <v>0</v>
      </c>
      <c r="C591" s="4"/>
    </row>
    <row r="592" spans="1:3" ht="24" customHeight="1">
      <c r="A592" s="4" t="str">
        <f ca="1">IFERROR(__xludf.DUMMYFUNCTION("""COMPUTED_VALUE"""),"अथ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निःस्पृहोऽभवथ् ||")</f>
        <v>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निःस्पृहोऽभवथ् ||</v>
      </c>
      <c r="B592" s="4" t="s">
        <v>4</v>
      </c>
      <c r="C592" s="4"/>
    </row>
    <row r="593" spans="1:3" ht="24" customHeight="1">
      <c r="A593" s="4" t="str">
        <f ca="1">IFERROR(__xludf.DUMMYFUNCTION("""COMPUTED_VALUE"""),"गुणवत्सुतरोपितश्रियः परिणामे हि दिलीपवंशजाः । पदवीं तरुवल्कवाससां प्रयताः संयमिनां प्रपेदिरे ||")</f>
        <v>गुणवत्सुतरोपितश्रियः परिणामे हि दिलीपवंशजाः । पदवीं तरुवल्कवाससां प्रयताः संयमिनां प्रपेदिरे ||</v>
      </c>
      <c r="B593" s="4" t="s">
        <v>0</v>
      </c>
      <c r="C593" s="4"/>
    </row>
    <row r="594" spans="1:3" ht="24" customHeight="1">
      <c r="A594" s="4" t="str">
        <f ca="1">IFERROR(__xludf.DUMMYFUNCTION("""COMPUTED_VALUE"""),"तं अरण्यसमाश्रयोन्मुखं शिरसा वेष्टनशोभिना सुतः । पितरं प्रणिपत्य पादयोरपरित्यागं अयाचतात्मनः ||")</f>
        <v>तं अरण्यसमाश्रयोन्मुखं शिरसा वेष्टनशोभिना सुतः । पितरं प्रणिपत्य पादयोरपरित्यागं अयाचतात्मनः ||</v>
      </c>
      <c r="B594" s="4" t="s">
        <v>1</v>
      </c>
      <c r="C594" s="4"/>
    </row>
    <row r="595" spans="1:3" ht="24" customHeight="1">
      <c r="A595" s="4" t="str">
        <f ca="1">IFERROR(__xludf.DUMMYFUNCTION("""COMPUTED_VALUE"""),"रघुरश्रुमुखस्य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||")</f>
        <v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||</v>
      </c>
      <c r="B595" s="4" t="s">
        <v>5</v>
      </c>
      <c r="C595" s="4"/>
    </row>
    <row r="596" spans="1:3" ht="24" customHeight="1">
      <c r="A596" s="4" t="str">
        <f ca="1">IFERROR(__xludf.DUMMYFUNCTION("""COMPUTED_VALUE"""),"स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||")</f>
        <v>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||</v>
      </c>
      <c r="B596" s="4" t="s">
        <v>5</v>
      </c>
      <c r="C596" s="4"/>
    </row>
    <row r="597" spans="1:3" ht="24" customHeight="1">
      <c r="A597" s="4" t="str">
        <f ca="1">IFERROR(__xludf.DUMMYFUNCTION("""COMPUTED_VALUE"""),"प्रशमस्थितपूर्वपार्थिवं कुलं अभ्युद्यत नूतनेश्वरं । नभसा निभृतेन्दुना तुलां उदितार्केण समारुरोह तथ् ||")</f>
        <v>प्रशमस्थितपूर्वपार्थिवं कुलं अभ्युद्यत नूतनेश्वरं । नभसा निभृतेन्दुना तुलां उदितार्केण समारुरोह तथ् ||</v>
      </c>
      <c r="B597" s="4" t="s">
        <v>2</v>
      </c>
      <c r="C597" s="4"/>
    </row>
    <row r="598" spans="1:3" ht="24" customHeight="1">
      <c r="A598" s="4" t="str">
        <f ca="1">IFERROR(__xludf.DUMMYFUNCTION("""COMPUTED_VALUE"""),"यतिपार्थिवलिङ्गधारिणौ ददृशते रघुराघवौ जनैः । अपवर्गमहोदयार्थयोर्भुवं अंशाविव धर्मयोर्गतौ ||")</f>
        <v>यतिपार्थिवलिङ्गधारिणौ ददृशते रघुराघवौ जनैः । अपवर्गमहोदयार्थयोर्भुवं अंशाविव धर्मयोर्गतौ ||</v>
      </c>
      <c r="B598" s="4" t="s">
        <v>2</v>
      </c>
      <c r="C598" s="4"/>
    </row>
    <row r="599" spans="1:3" ht="24" customHeight="1">
      <c r="A599" s="4" t="str">
        <f ca="1">IFERROR(__xludf.DUMMYFUNCTION("""COMPUTED_VALUE"""),"अजिताधिगमाय मन्त्रिभिर्युयुजे नीतिविशरदैरजः । अनपायिपदोपलब्धये रघुराप्तैः समियाय योगिभिः ||")</f>
        <v>अजिताधिगमाय मन्त्रिभिर्युयुजे नीतिविशरदैरजः । अनपायिपदोपलब्धये रघुराप्तैः समियाय योगिभिः ||</v>
      </c>
      <c r="B599" s="4" t="s">
        <v>6</v>
      </c>
      <c r="C599" s="4"/>
    </row>
    <row r="600" spans="1:3" ht="24" customHeight="1">
      <c r="A600" s="4" t="str">
        <f ca="1">IFERROR(__xludf.DUMMYFUNCTION("""COMPUTED_VALUE"""),"समयुजय्त भूपतिर्युवा सचिवैः प्रत्यहं अर्थसिद्धये । अपुनर्जननोपत्तये प्रययाः संयमिभिर्मनीषिभिः ||")</f>
        <v>समयुजय्त भूपतिर्युवा सचिवैः प्रत्यहं अर्थसिद्धये । अपुनर्जननोपत्तये प्रययाः संयमिभिर्मनीषिभिः ||</v>
      </c>
      <c r="B600" s="4" t="s">
        <v>6</v>
      </c>
      <c r="C600" s="4"/>
    </row>
    <row r="601" spans="1:3" ht="24" customHeight="1">
      <c r="A601" s="4" t="str">
        <f ca="1">IFERROR(__xludf.DUMMYFUNCTION("""COMPUTED_VALUE"""),"नृपतिः प्रकृतीरवेक्षितुं व्यवहारासनं आददे युवा । परिचेतुं उपांशु धारणां कुशपूतं प्रवयास्तु विष्टरं ||")</f>
        <v>नृपतिः प्रकृतीरवेक्षितुं व्यवहारासनं आददे युवा । परिचेतुं उपांशु धारणां कुशपूतं प्रवयास्तु विष्टरं ||</v>
      </c>
      <c r="B601" s="4" t="s">
        <v>0</v>
      </c>
      <c r="C601" s="4"/>
    </row>
    <row r="602" spans="1:3" ht="24" customHeight="1">
      <c r="A602" s="4" t="str">
        <f ca="1">IFERROR(__xludf.DUMMYFUNCTION("""COMPUTED_VALUE"""),"अनुरण्जयितुं प्रजाः प्रभुर्व्यहारासनं आददे नवः । अपरः शुचिविष्टरस्थितः परिचेतुं यतते स्म धारणाः ||")</f>
        <v>अनुरण्जयितुं प्रजाः प्रभुर्व्यहारासनं आददे नवः । अपरः शुचिविष्टरस्थितः परिचेतुं यतते स्म धारणाः ||</v>
      </c>
      <c r="B602" s="4" t="s">
        <v>7</v>
      </c>
      <c r="C602" s="4"/>
    </row>
    <row r="603" spans="1:3" ht="24" customHeight="1">
      <c r="A603" s="4" t="str">
        <f ca="1">IFERROR(__xludf.DUMMYFUNCTION("""COMPUTED_VALUE"""),"अनयत्प्रभुशक्तिसंपदा वशं एको नृपतीननन्तरान् । अपरः प्रणिधानयोग्यया मरुतः पञ्च शरीरगोचरान् ||")</f>
        <v>अनयत्प्रभुशक्तिसंपदा वशं एको नृपतीननन्तरान् । अपरः प्रणिधानयोग्यया मरुतः पञ्च शरीरगोचरान् ||</v>
      </c>
      <c r="B603" s="4" t="s">
        <v>0</v>
      </c>
      <c r="C603" s="4"/>
    </row>
    <row r="604" spans="1:3" ht="24" customHeight="1">
      <c r="A604" s="4" t="str">
        <f ca="1">IFERROR(__xludf.DUMMYFUNCTION("""COMPUTED_VALUE"""),"नयचक्षुरजो दिदृक्षया पररन्ध्रस्य ततान मण्डले । हृदये समरोपयन्मनः परमं ज्योतिरवेक्षितुं रघुः ||")</f>
        <v>नयचक्षुरजो दिदृक्षया पररन्ध्रस्य ततान मण्डले । हृदये समरोपयन्मनः परमं ज्योतिरवेक्षितुं रघुः ||</v>
      </c>
      <c r="B604" s="4" t="s">
        <v>28</v>
      </c>
      <c r="C604" s="4"/>
    </row>
    <row r="605" spans="1:3" ht="24" customHeight="1">
      <c r="A605" s="4" t="str">
        <f ca="1">IFERROR(__xludf.DUMMYFUNCTION("""COMPUTED_VALUE"""),"अकरोदचिरेश्वरः क्षितौ द्विषदारम्भफलानि भस्मसाथ् । अपरो दहने स्वकर्मणां ववृते ज्ञानमयेन वह्निना ||")</f>
        <v>अकरोदचिरेश्वरः क्षितौ द्विषदारम्भफलानि भस्मसाथ् । अपरो दहने स्वकर्मणां ववृते ज्ञानमयेन वह्निना ||</v>
      </c>
      <c r="B605" s="4" t="s">
        <v>1</v>
      </c>
      <c r="C605" s="4"/>
    </row>
    <row r="606" spans="1:3" ht="24" customHeight="1">
      <c r="A606" s="4" t="str">
        <f ca="1">IFERROR(__xludf.DUMMYFUNCTION("""COMPUTED_VALUE"""),"पणबन्धमुखान्गुणानजः षडुपायुङ्क्त समीक्ष्य तत्फलं । रघुरप्यजयद्गुणत्रयं प्रकृतिस्थं समलोष्टकाञ्चनः ||")</f>
        <v>पणबन्धमुखान्गुणानजः षडुपायुङ्क्त समीक्ष्य तत्फलं । रघुरप्यजयद्गुणत्रयं प्रकृतिस्थं समलोष्टकाञ्चनः ||</v>
      </c>
      <c r="B606" s="4" t="s">
        <v>1</v>
      </c>
      <c r="C606" s="4"/>
    </row>
    <row r="607" spans="1:3" ht="24" customHeight="1">
      <c r="A607" s="4" t="str">
        <f ca="1">IFERROR(__xludf.DUMMYFUNCTION("""COMPUTED_VALUE"""),"न नवः प्रभुरा फलोदयात्स्थिरकर्मा विरराम कर्मणः । न च योगविधेर्नवेतरः स्थिरधीरा परमात्मदर्शनाथ् ||")</f>
        <v>न नवः प्रभुरा फलोदयात्स्थिरकर्मा विरराम कर्मणः । न च योगविधेर्नवेतरः स्थिरधीरा परमात्मदर्शनाथ् ||</v>
      </c>
      <c r="B607" s="4" t="s">
        <v>1</v>
      </c>
      <c r="C607" s="4"/>
    </row>
    <row r="608" spans="1:3" ht="24" customHeight="1">
      <c r="A608" s="4" t="str">
        <f ca="1">IFERROR(__xludf.DUMMYFUNCTION("""COMPUTED_VALUE"""),"इति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||")</f>
        <v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||</v>
      </c>
      <c r="B608" s="4" t="s">
        <v>2</v>
      </c>
      <c r="C608" s="4"/>
    </row>
    <row r="609" spans="1:3" ht="24" customHeight="1">
      <c r="A609" s="4" t="str">
        <f ca="1">IFERROR(__xludf.DUMMYFUNCTION("""COMPUTED_VALUE"""),"अथ काश्चिदजव्यपेक्षया गमयित्वा सम्दर्शनः समाः । तमसः परं आपदव्ययं पुरुषं योगसमाधिना रघुः ||")</f>
        <v>अथ काश्चिदजव्यपेक्षया गमयित्वा सम्दर्शनः समाः । तमसः परं आपदव्ययं पुरुषं योगसमाधिना रघुः ||</v>
      </c>
      <c r="B609" s="4" t="s">
        <v>28</v>
      </c>
      <c r="C609" s="4"/>
    </row>
    <row r="610" spans="1:3" ht="24" customHeight="1">
      <c r="A610" s="4" t="str">
        <f ca="1">IFERROR(__xludf.DUMMYFUNCTION("""COMPUTED_VALUE"""),"शुतदेहविसर्जनः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अग्निचिथ् ||")</f>
        <v>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अग्निचिथ् ||</v>
      </c>
      <c r="B610" s="4" t="s">
        <v>16</v>
      </c>
      <c r="C610" s="4"/>
    </row>
    <row r="611" spans="1:3" ht="24" customHeight="1">
      <c r="A611" s="4" t="str">
        <f ca="1">IFERROR(__xludf.DUMMYFUNCTION("""COMPUTED_VALUE"""),"अकरोत्स तदौर्ध्वदैहिकं पितृभक्त्या पितृकार्यकल्पविथ् । न हि तेन पथा तनुत्यजस्तनयावर्जितपिण्डकाङ्क्षिणः ||")</f>
        <v>अकरोत्स तदौर्ध्वदैहिकं पितृभक्त्या पितृकार्यकल्पविथ् । न हि तेन पथा तनुत्यजस्तनयावर्जितपिण्डकाङ्क्षिणः ||</v>
      </c>
      <c r="B611" s="4" t="s">
        <v>7</v>
      </c>
      <c r="C611" s="4"/>
    </row>
    <row r="612" spans="1:3" ht="24" customHeight="1">
      <c r="A612" s="4" t="str">
        <f ca="1">IFERROR(__xludf.DUMMYFUNCTION("""COMPUTED_VALUE"""),"स परार्ध्यगतेरशोच्यतां पितुरुद्दिश्य सदर्थवेदिभिः । शमिताधिरधिज्यकार्मुकः कृतवानप्रतिशासनं जगथ् ||")</f>
        <v>स परार्ध्यगतेरशोच्यतां पितुरुद्दिश्य सदर्थवेदिभिः । शमिताधिरधिज्यकार्मुकः कृतवानप्रतिशासनं जगथ् ||</v>
      </c>
      <c r="B612" s="4" t="s">
        <v>15</v>
      </c>
      <c r="C612" s="4"/>
    </row>
    <row r="613" spans="1:3" ht="24" customHeight="1">
      <c r="A613" s="4" t="str">
        <f ca="1">IFERROR(__xludf.DUMMYFUNCTION("""COMPUTED_VALUE"""),"क्षितिरिन्दुमती च भामिनी पतिं आसाद्य तं अग्र्यपौरुषं । प्रथमा बहुरत्नसूरभूदपरा वीरं अजीजनत्सुतं ||")</f>
        <v>क्षितिरिन्दुमती च भामिनी पतिं आसाद्य तं अग्र्यपौरुषं । प्रथमा बहुरत्नसूरभूदपरा वीरं अजीजनत्सुतं ||</v>
      </c>
      <c r="B613" s="4" t="s">
        <v>2</v>
      </c>
      <c r="C613" s="4"/>
    </row>
    <row r="614" spans="1:3" ht="24" customHeight="1">
      <c r="A614" s="4" t="str">
        <f ca="1">IFERROR(__xludf.DUMMYFUNCTION("""COMPUTED_VALUE"""),"दशरास्मिशतोपमद्युतिं यशसा दिक्षु दशवपि श्रुतं । दशपूर्वरथं यं आख्यया दशकण्ठारिगुरुं विदुर्बुधाः ||")</f>
        <v>दशरास्मिशतोपमद्युतिं यशसा दिक्षु दशवपि श्रुतं । दशपूर्वरथं यं आख्यया दशकण्ठारिगुरुं विदुर्बुधाः ||</v>
      </c>
      <c r="B614" s="4" t="s">
        <v>20</v>
      </c>
      <c r="C614" s="4"/>
    </row>
    <row r="615" spans="1:3" ht="24" customHeight="1">
      <c r="A615" s="4" t="str">
        <f ca="1">IFERROR(__xludf.DUMMYFUNCTION("""COMPUTED_VALUE"""),"ऋषिदेवगणस्वधाभुजां श्रुतयागप्रस्वैः स पार्थिवः । अनृणत्वं उपेयिवान्बभौ परिधेर्मुक्त इवोष्णदीधितिः ||")</f>
        <v>ऋषिदेवगणस्वधाभुजां श्रुतयागप्रस्वैः स पार्थिवः । अनृणत्वं उपेयिवान्बभौ परिधेर्मुक्त इवोष्णदीधितिः ||</v>
      </c>
      <c r="B615" s="4" t="s">
        <v>2</v>
      </c>
      <c r="C615" s="4"/>
    </row>
    <row r="616" spans="1:3" ht="24" customHeight="1">
      <c r="A616" s="4" t="str">
        <f ca="1">IFERROR(__xludf.DUMMYFUNCTION("""COMPUTED_VALUE"""),"बलं आर्तभयोपशान्तये विदुषां संनतये बहु श्रुतं । वसु तस्य न केवलं गुणवत्तापि परप्रयोजना ||")</f>
        <v>बलं आर्तभयोपशान्तये विदुषां संनतये बहु श्रुतं । वसु तस्य न केवलं गुणवत्तापि परप्रयोजना ||</v>
      </c>
      <c r="B616" s="4" t="s">
        <v>1</v>
      </c>
      <c r="C616" s="4"/>
    </row>
    <row r="617" spans="1:3" ht="24" customHeight="1">
      <c r="A617" s="4" t="str">
        <f ca="1">IFERROR(__xludf.DUMMYFUNCTION("""COMPUTED_VALUE"""),"स कदाचिदवेषितप्रजः सह देव्या विजहार सुप्रजाः । नगरोपवने शचीसखो मरुतां पालयितेव नन्दने ||")</f>
        <v>स कदाचिदवेषितप्रजः सह देव्या विजहार सुप्रजाः । नगरोपवने शचीसखो मरुतां पालयितेव नन्दने ||</v>
      </c>
      <c r="B617" s="4" t="s">
        <v>1</v>
      </c>
      <c r="C617" s="4"/>
    </row>
    <row r="618" spans="1:3" ht="24" customHeight="1">
      <c r="A618" s="4" t="str">
        <f ca="1">IFERROR(__xludf.DUMMYFUNCTION("""COMPUTED_VALUE"""),"अथ रोधसि दक्षिणोदधेः श्रित गोकर्णनिकेतं ईश्वरं । उपवीणयितुं ययौ रवेरुदगावृत्तिपथेन नारदः ||")</f>
        <v>अथ रोधसि दक्षिणोदधेः श्रित गोकर्णनिकेतं ईश्वरं । उपवीणयितुं ययौ रवेरुदगावृत्तिपथेन नारदः ||</v>
      </c>
      <c r="B618" s="4" t="s">
        <v>17</v>
      </c>
      <c r="C618" s="4"/>
    </row>
    <row r="619" spans="1:3" ht="24" customHeight="1">
      <c r="A619" s="4" t="str">
        <f ca="1">IFERROR(__xludf.DUMMYFUNCTION("""COMPUTED_VALUE"""),"कुसुमैर्ग्रथितां अपार्थिवैः स्रजं आतोद्यशिरोनिवेशितां । अहरत्किल तस्य वेगवानधिवासस्पृहयेव मारुतः ||")</f>
        <v>कुसुमैर्ग्रथितां अपार्थिवैः स्रजं आतोद्यशिरोनिवेशितां । अहरत्किल तस्य वेगवानधिवासस्पृहयेव मारुतः ||</v>
      </c>
      <c r="B619" s="4" t="s">
        <v>2</v>
      </c>
      <c r="C619" s="4"/>
    </row>
    <row r="620" spans="1:3" ht="24" customHeight="1">
      <c r="A620" s="4" t="str">
        <f ca="1">IFERROR(__xludf.DUMMYFUNCTION("""COMPUTED_VALUE"""),"भ्रमरैः कुसुमानुसारिभिः परिकीर्णा परिवादिनी मुनेः । ददृशे पवनावलेपजं सृजती बाष्पं इवाञ्जनाविलं ||")</f>
        <v>भ्रमरैः कुसुमानुसारिभिः परिकीर्णा परिवादिनी मुनेः । ददृशे पवनावलेपजं सृजती बाष्पं इवाञ्जनाविलं ||</v>
      </c>
      <c r="B620" s="4" t="s">
        <v>11</v>
      </c>
      <c r="C620" s="4"/>
    </row>
    <row r="621" spans="1:3" ht="24" customHeight="1">
      <c r="A621" s="4" t="str">
        <f ca="1">IFERROR(__xludf.DUMMYFUNCTION("""COMPUTED_VALUE"""),"अभिभूय विभूतिं आर्तवीं मधुगन्धातिशयेन वीरुधां । नृपतेरमरस्रगाप सा दयितोरुस्तनकोटिसुस्थितिं ||")</f>
        <v>अभिभूय विभूतिं आर्तवीं मधुगन्धातिशयेन वीरुधां । नृपतेरमरस्रगाप सा दयितोरुस्तनकोटिसुस्थितिं ||</v>
      </c>
      <c r="B621" s="4" t="s">
        <v>2</v>
      </c>
      <c r="C621" s="4"/>
    </row>
    <row r="622" spans="1:3" ht="24" customHeight="1">
      <c r="A622" s="4" t="str">
        <f ca="1">IFERROR(__xludf.DUMMYFUNCTION("""COMPUTED_VALUE"""),"क्षणमात्रसखीं सुजातयोः स्तनयोस्तां अवलोक्य विहला । निमिमील नरोत्तमप्रिया हृतचन्द्रा तमसेव क्ॐउदी ||")</f>
        <v>क्षणमात्रसखीं सुजातयोः स्तनयोस्तां अवलोक्य विहला । निमिमील नरोत्तमप्रिया हृतचन्द्रा तमसेव क्ॐउदी ||</v>
      </c>
      <c r="B622" s="4" t="s">
        <v>17</v>
      </c>
      <c r="C622" s="4"/>
    </row>
    <row r="623" spans="1:3" ht="24" customHeight="1">
      <c r="A623" s="4" t="str">
        <f ca="1">IFERROR(__xludf.DUMMYFUNCTION("""COMPUTED_VALUE"""),"वपुषा करणोज्झितेन सा निपतन्ती पतिं अप्यपातयथ् । ननु तैलनिषेकबिन्दुना सह दीपार्चिरुपैति मेदिनीं ||")</f>
        <v>वपुषा करणोज्झितेन सा निपतन्ती पतिं अप्यपातयथ् । ननु तैलनिषेकबिन्दुना सह दीपार्चिरुपैति मेदिनीं ||</v>
      </c>
      <c r="B623" s="4" t="s">
        <v>1</v>
      </c>
      <c r="C623" s="4"/>
    </row>
    <row r="624" spans="1:3" ht="24" customHeight="1">
      <c r="A624" s="4" t="str">
        <f ca="1">IFERROR(__xludf.DUMMYFUNCTION("""COMPUTED_VALUE"""),"समं एव नराधिपेन सा गुरुसंमोहविलुप्तचेतना । गुरुसंमोहविलुप्तचेतना नवदीपार्चिरिव क्षितेस्तलं ||")</f>
        <v>समं एव नराधिपेन सा गुरुसंमोहविलुप्तचेतना । गुरुसंमोहविलुप्तचेतना नवदीपार्चिरिव क्षितेस्तलं ||</v>
      </c>
      <c r="B624" s="4" t="s">
        <v>11</v>
      </c>
      <c r="C624" s="4"/>
    </row>
    <row r="625" spans="1:3" ht="24" customHeight="1">
      <c r="A625" s="4" t="str">
        <f ca="1">IFERROR(__xludf.DUMMYFUNCTION("""COMPUTED_VALUE"""),"उभयोरपि पार्श्ववर्तिनां तुमु लेनार्तरवेण वेजिताः । विहगाः कमलाकरालयाः समदुःखा इव तत्र चुक्रुशुः ||")</f>
        <v>उभयोरपि पार्श्ववर्तिनां तुमु लेनार्तरवेण वेजिताः । विहगाः कमलाकरालयाः समदुःखा इव तत्र चुक्रुशुः ||</v>
      </c>
      <c r="B625" s="4" t="s">
        <v>8</v>
      </c>
      <c r="C625" s="4"/>
    </row>
    <row r="626" spans="1:3" ht="24" customHeight="1">
      <c r="A626" s="4" t="str">
        <f ca="1">IFERROR(__xludf.DUMMYFUNCTION("""COMPUTED_VALUE"""),"नृपतेर्व्यजनादिभिस्तमो नुनुदे सा तु तथैव संस्थिता । प्रतिकारविधानं आयुषः सति शेषे हि फलाय कल्पते ||")</f>
        <v>नृपतेर्व्यजनादिभिस्तमो नुनुदे सा तु तथैव संस्थिता । प्रतिकारविधानं आयुषः सति शेषे हि फलाय कल्पते ||</v>
      </c>
      <c r="B626" s="4" t="s">
        <v>2</v>
      </c>
      <c r="C626" s="4"/>
    </row>
    <row r="627" spans="1:3" ht="24" customHeight="1">
      <c r="A627" s="4" t="str">
        <f ca="1">IFERROR(__xludf.DUMMYFUNCTION("""COMPUTED_VALUE"""),"प्रतियोजयितव्यवल्लकीसमवस्थां अथ सत्त्वविप्लवाथ् । स निनाय नितान्तवत्सलः परिगृह्योचितं अङ्कं अङ्गनां ||")</f>
        <v>प्रतियोजयितव्यवल्लकीसमवस्थां अथ सत्त्वविप्लवाथ् । स निनाय नितान्तवत्सलः परिगृह्योचितं अङ्कं अङ्गनां ||</v>
      </c>
      <c r="B627" s="4" t="s">
        <v>1</v>
      </c>
      <c r="C627" s="4"/>
    </row>
    <row r="628" spans="1:3" ht="24" customHeight="1">
      <c r="A628" s="4" t="str">
        <f ca="1">IFERROR(__xludf.DUMMYFUNCTION("""COMPUTED_VALUE"""),"स निनाय नितान्तवत्सलः परिवृत्तप्रथमच्छविं क्षणाथ् । सलिलोद्धृतपद्मिनीनिभां दयितां अङ्कं उदशुलोचनः ||")</f>
        <v>स निनाय नितान्तवत्सलः परिवृत्तप्रथमच्छविं क्षणाथ् । सलिलोद्धृतपद्मिनीनिभां दयितां अङ्कं उदशुलोचनः ||</v>
      </c>
      <c r="B628" s="4" t="s">
        <v>1</v>
      </c>
      <c r="C628" s="4"/>
    </row>
    <row r="629" spans="1:3" ht="24" customHeight="1">
      <c r="A629" s="4" t="str">
        <f ca="1">IFERROR(__xludf.DUMMYFUNCTION("""COMPUTED_VALUE"""),"स निनाय नितान्तवत्सलः करणापायविभिन्नवर्णया । समलक्ष्यत बिभ्रदाविलां मृगलेखां उषसीव चन्द्रमाः ||")</f>
        <v>स निनाय नितान्तवत्सलः करणापायविभिन्नवर्णया । समलक्ष्यत बिभ्रदाविलां मृगलेखां उषसीव चन्द्रमाः ||</v>
      </c>
      <c r="B629" s="4" t="s">
        <v>12</v>
      </c>
      <c r="C629" s="4"/>
    </row>
    <row r="630" spans="1:3" ht="24" customHeight="1">
      <c r="A630" s="4" t="str">
        <f ca="1">IFERROR(__xludf.DUMMYFUNCTION("""COMPUTED_VALUE"""),"विललाप स बाष्पगद्गदं सहजां अप्यपहाय धीरतां । अभितप्तं अयोऽपि मार्दवं भजते कैव कथा शरीरिषु ||")</f>
        <v>विललाप स बाष्पगद्गदं सहजां अप्यपहाय धीरतां । अभितप्तं अयोऽपि मार्दवं भजते कैव कथा शरीरिषु ||</v>
      </c>
      <c r="B630" s="4" t="s">
        <v>13</v>
      </c>
      <c r="C630" s="4"/>
    </row>
    <row r="631" spans="1:3" ht="24" customHeight="1">
      <c r="A631" s="4" t="str">
        <f ca="1">IFERROR(__xludf.DUMMYFUNCTION("""COMPUTED_VALUE"""),"कुसुमान्यपि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||")</f>
        <v>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||</v>
      </c>
      <c r="B631" s="4" t="s">
        <v>20</v>
      </c>
      <c r="C631" s="4"/>
    </row>
    <row r="632" spans="1:3" ht="24" customHeight="1">
      <c r="A632" s="4" t="str">
        <f ca="1">IFERROR(__xludf.DUMMYFUNCTION("""COMPUTED_VALUE"""),"अथ वा मृदु वस्तु हिंसितुं मृदुनैवारभते प्रजान्तकः । हिमसेकविपत्तिरत्र मे नलिनी पूर्वनिदर्शनं मता ||")</f>
        <v>अथ वा मृदु वस्तु हिंसितुं मृदुनैवारभते प्रजान्तकः । हिमसेकविपत्तिरत्र मे नलिनी पूर्वनिदर्शनं मता ||</v>
      </c>
      <c r="B632" s="4" t="s">
        <v>2</v>
      </c>
      <c r="C632" s="4"/>
    </row>
    <row r="633" spans="1:3" ht="24" customHeight="1">
      <c r="A633" s="4" t="str">
        <f ca="1">IFERROR(__xludf.DUMMYFUNCTION("""COMPUTED_VALUE"""),"स्रगियं यदि जीवितापहा हृदये किं निहिता न हन्ति मां । विषं अप्यमृतं क्वचिद्भवेदमृतं वा विषं ईश्वरेच्छया ||")</f>
        <v>स्रगियं यदि जीवितापहा हृदये किं निहिता न हन्ति मां । विषं अप्यमृतं क्वचिद्भवेदमृतं वा विषं ईश्वरेच्छया ||</v>
      </c>
      <c r="B633" s="4" t="s">
        <v>5</v>
      </c>
      <c r="C633" s="4"/>
    </row>
    <row r="634" spans="1:3" ht="24" customHeight="1">
      <c r="A634" s="4" t="str">
        <f ca="1">IFERROR(__xludf.DUMMYFUNCTION("""COMPUTED_VALUE"""),"अथ वा मम भाग्यविप्लवादशनिः कल्पित एष वेधसा । यदनेन तरुर्न पातितस्क्षपिता तद्विटपाश्रितलता ||")</f>
        <v>अथ वा मम भाग्यविप्लवादशनिः कल्पित एष वेधसा । यदनेन तरुर्न पातितस्क्षपिता तद्विटपाश्रितलता ||</v>
      </c>
      <c r="B634" s="4" t="s">
        <v>2</v>
      </c>
      <c r="C634" s="4"/>
    </row>
    <row r="635" spans="1:3" ht="24" customHeight="1">
      <c r="A635" s="4" t="str">
        <f ca="1">IFERROR(__xludf.DUMMYFUNCTION("""COMPUTED_VALUE"""),"कृतवत्यसि नावधीरणां अपराध्हेऽपि यदा चिरं मयि । कथं एकपदे निरागसं जनं आभाष्यं इमं न मन्यसे ||")</f>
        <v>कृतवत्यसि नावधीरणां अपराध्हेऽपि यदा चिरं मयि । कथं एकपदे निरागसं जनं आभाष्यं इमं न मन्यसे ||</v>
      </c>
      <c r="B635" s="4" t="s">
        <v>18</v>
      </c>
      <c r="C635" s="4"/>
    </row>
    <row r="636" spans="1:3" ht="24" customHeight="1">
      <c r="A636" s="4" t="str">
        <f ca="1">IFERROR(__xludf.DUMMYFUNCTION("""COMPUTED_VALUE"""),"ध्रुवं अस्मि शठः शुचिस्मिते विधितः कैतववत्सलस्तव । परलोकं असंनिवृत्तये यदनापृच्छ्य गतासि मां इतः ||")</f>
        <v>ध्रुवं अस्मि शठः शुचिस्मिते विधितः कैतववत्सलस्तव । परलोकं असंनिवृत्तये यदनापृच्छ्य गतासि मां इतः ||</v>
      </c>
      <c r="B636" s="4" t="s">
        <v>2</v>
      </c>
      <c r="C636" s="4"/>
    </row>
    <row r="637" spans="1:3" ht="24" customHeight="1">
      <c r="A637" s="4" t="str">
        <f ca="1">IFERROR(__xludf.DUMMYFUNCTION("""COMPUTED_VALUE"""),"दयितां यदि तावदन्वगाद्विनिवृत्तं किं इदं तया विना । सहतां हतजीवितं मम प्रबलां आत्मकृतेन वेदनां ||")</f>
        <v>दयितां यदि तावदन्वगाद्विनिवृत्तं किं इदं तया विना । सहतां हतजीवितं मम प्रबलां आत्मकृतेन वेदनां ||</v>
      </c>
      <c r="B637" s="4" t="s">
        <v>1</v>
      </c>
      <c r="C637" s="4"/>
    </row>
    <row r="638" spans="1:3" ht="24" customHeight="1">
      <c r="A638" s="4" t="str">
        <f ca="1">IFERROR(__xludf.DUMMYFUNCTION("""COMPUTED_VALUE"""),"सुरतश्रमसंभृतो मुखे ध्रियते स्वेदलवोद्गमोऽपि ते । अथ चास्तमिताऽस्यहो बत धिगिमां देहभृतां असारतां ||")</f>
        <v>सुरतश्रमसंभृतो मुखे ध्रियते स्वेदलवोद्गमोऽपि ते । अथ चास्तमिताऽस्यहो बत धिगिमां देहभृतां असारतां ||</v>
      </c>
      <c r="B638" s="4" t="s">
        <v>2</v>
      </c>
      <c r="C638" s="4"/>
    </row>
    <row r="639" spans="1:3" ht="24" customHeight="1">
      <c r="A639" s="4" t="str">
        <f ca="1">IFERROR(__xludf.DUMMYFUNCTION("""COMPUTED_VALUE"""),"सुरतश्रमवारिबिन्दवो न हि तावद्विरमन्ति ते मुखे । कथं अस्तमिताऽस्यहो बत धिगिमां देहवतां असारतां ||")</f>
        <v>सुरतश्रमवारिबिन्दवो न हि तावद्विरमन्ति ते मुखे । कथं अस्तमिताऽस्यहो बत धिगिमां देहवतां असारतां ||</v>
      </c>
      <c r="B639" s="4" t="s">
        <v>2</v>
      </c>
      <c r="C639" s="4"/>
    </row>
    <row r="640" spans="1:3" ht="24" customHeight="1">
      <c r="A640" s="4" t="str">
        <f ca="1">IFERROR(__xludf.DUMMYFUNCTION("""COMPUTED_VALUE"""),"मनसापि न विप्रियं मया कृतपूर्वं तव किं जहासि मां । ननु शब्दपतिः क्षितेरहं त्वयि मे भावनिबन्धना रतिः ||")</f>
        <v>मनसापि न विप्रियं मया कृतपूर्वं तव किं जहासि मां । ननु शब्दपतिः क्षितेरहं त्वयि मे भावनिबन्धना रतिः ||</v>
      </c>
      <c r="B640" s="4" t="s">
        <v>2</v>
      </c>
      <c r="C640" s="4"/>
    </row>
    <row r="641" spans="1:3" ht="24" customHeight="1">
      <c r="A641" s="4" t="str">
        <f ca="1">IFERROR(__xludf.DUMMYFUNCTION("""COMPUTED_VALUE"""),"कुसुमोत्कचितान्वलीमतश्चलयन्भृङ्गरुचस्तवालकान् । करभोरु करोति मारुतस्त्वदुपावर्तन्शङ्कि मे मनः ||")</f>
        <v>कुसुमोत्कचितान्वलीमतश्चलयन्भृङ्गरुचस्तवालकान् । करभोरु करोति मारुतस्त्वदुपावर्तन्शङ्कि मे मनः ||</v>
      </c>
      <c r="B641" s="4" t="s">
        <v>1</v>
      </c>
      <c r="C641" s="4"/>
    </row>
    <row r="642" spans="1:3" ht="24" customHeight="1">
      <c r="A642" s="4" t="str">
        <f ca="1">IFERROR(__xludf.DUMMYFUNCTION("""COMPUTED_VALUE"""),"तदपोहितुं अर्हसि प्रिये प्रतिबोधेन विषादं आषु मे । ज्वलितेन गुहागतं तमस्तुहिनाद्रेरिव नतं ओषधिः ||")</f>
        <v>तदपोहितुं अर्हसि प्रिये प्रतिबोधेन विषादं आषु मे । ज्वलितेन गुहागतं तमस्तुहिनाद्रेरिव नतं ओषधिः ||</v>
      </c>
      <c r="B642" s="4" t="s">
        <v>20</v>
      </c>
      <c r="C642" s="4"/>
    </row>
    <row r="643" spans="1:3" ht="24" customHeight="1">
      <c r="A643" s="4" t="str">
        <f ca="1">IFERROR(__xludf.DUMMYFUNCTION("""COMPUTED_VALUE"""),"इदं उच्छ्वसितालकं मुखं विश्रान्तकथं दुनोति मां । निशि सुप्तं इवैकपङ्कजं विरताभ्यन्तरषट्पदस्वनं ||")</f>
        <v>इदं उच्छ्वसितालकं मुखं विश्रान्तकथं दुनोति मां । निशि सुप्तं इवैकपङ्कजं विरताभ्यन्तरषट्पदस्वनं ||</v>
      </c>
      <c r="B643" s="4" t="s">
        <v>1</v>
      </c>
      <c r="C643" s="4"/>
    </row>
    <row r="644" spans="1:3" ht="24" customHeight="1">
      <c r="A644" s="4" t="str">
        <f ca="1">IFERROR(__xludf.DUMMYFUNCTION("""COMPUTED_VALUE"""),"शशिनं पुनरेति शार्वरी दयिता द्वन्द्वचरं पतत्रिणं । इति तौ विर्हान्तरक्षमौ कथं अत्यन्तगता न मां दहेः ||")</f>
        <v>शशिनं पुनरेति शार्वरी दयिता द्वन्द्वचरं पतत्रिणं । इति तौ विर्हान्तरक्षमौ कथं अत्यन्तगता न मां दहेः ||</v>
      </c>
      <c r="B644" s="4" t="s">
        <v>24</v>
      </c>
      <c r="C644" s="4"/>
    </row>
    <row r="645" spans="1:3" ht="24" customHeight="1">
      <c r="A645" s="4" t="str">
        <f ca="1">IFERROR(__xludf.DUMMYFUNCTION("""COMPUTED_VALUE"""),"नवपल्लवसंस्तरेऽपि ते मृदु दूयेत यदङ्गं अर्पितं । तदिदं विषहिष्यते कथं वद वामोरु चिताधिरोहणं ||")</f>
        <v>नवपल्लवसंस्तरेऽपि ते मृदु दूयेत यदङ्गं अर्पितं । तदिदं विषहिष्यते कथं वद वामोरु चिताधिरोहणं ||</v>
      </c>
      <c r="B645" s="4" t="s">
        <v>7</v>
      </c>
      <c r="C645" s="4"/>
    </row>
    <row r="646" spans="1:3" ht="24" customHeight="1">
      <c r="A646" s="4" t="str">
        <f ca="1">IFERROR(__xludf.DUMMYFUNCTION("""COMPUTED_VALUE"""),"इयं अप्रतिबोधशायिनीं रशना त्वां प्रथमा रहःसखी । गतिविभ्रमसाद नीरवा न शुचा नानुमृतेव लक्ष्य्ते ||")</f>
        <v>इयं अप्रतिबोधशायिनीं रशना त्वां प्रथमा रहःसखी । गतिविभ्रमसाद नीरवा न शुचा नानुमृतेव लक्ष्य्ते ||</v>
      </c>
      <c r="B646" s="4" t="s">
        <v>2</v>
      </c>
      <c r="C646" s="4"/>
    </row>
    <row r="647" spans="1:3" ht="24" customHeight="1">
      <c r="A647" s="4" t="str">
        <f ca="1">IFERROR(__xludf.DUMMYFUNCTION("""COMPUTED_VALUE"""),"कलं अन्यभृतासु भाषितं कलहंसीषु गतं मदालसं । पृटतीषु विलोलं ईक्षितं पवनाधूतलतासु विभ्रमः ||")</f>
        <v>कलं अन्यभृतासु भाषितं कलहंसीषु गतं मदालसं । पृटतीषु विलोलं ईक्षितं पवनाधूतलतासु विभ्रमः ||</v>
      </c>
      <c r="B647" s="4" t="s">
        <v>12</v>
      </c>
      <c r="C647" s="4"/>
    </row>
    <row r="648" spans="1:3" ht="24" customHeight="1">
      <c r="A648" s="4" t="str">
        <f ca="1">IFERROR(__xludf.DUMMYFUNCTION("""COMPUTED_VALUE"""),"त्रिदिवोत्सुकयाप्यवेक्ष्य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||")</f>
        <v>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||</v>
      </c>
      <c r="B648" s="4" t="s">
        <v>12</v>
      </c>
      <c r="C648" s="4"/>
    </row>
    <row r="649" spans="1:3" ht="24" customHeight="1">
      <c r="A649" s="4" t="str">
        <f ca="1">IFERROR(__xludf.DUMMYFUNCTION("""COMPUTED_VALUE"""),"मिथुनं परिकल्पितं त्वया सहकारः फलिनी च नन्विमौ । अविधाय विवाहसत्क्रियां अनयोर्गम्यत इव्यसांप्रतं ||")</f>
        <v>मिथुनं परिकल्पितं त्वया सहकारः फलिनी च नन्विमौ । अविधाय विवाहसत्क्रियां अनयोर्गम्यत इव्यसांप्रतं ||</v>
      </c>
      <c r="B649" s="4" t="s">
        <v>16</v>
      </c>
      <c r="C649" s="4"/>
    </row>
    <row r="650" spans="1:3" ht="24" customHeight="1">
      <c r="A650" s="4" t="str">
        <f ca="1">IFERROR(__xludf.DUMMYFUNCTION("""COMPUTED_VALUE"""),"कुसुमं कृतदोहदस्त्वया यदशोकोऽयं उदीरयिष्यति । अलकाभरणं कथं नु तत्तव नेष्यामि निवापलाल्यतां ||")</f>
        <v>कुसुमं कृतदोहदस्त्वया यदशोकोऽयं उदीरयिष्यति । अलकाभरणं कथं नु तत्तव नेष्यामि निवापलाल्यतां ||</v>
      </c>
      <c r="B650" s="4" t="s">
        <v>16</v>
      </c>
      <c r="C650" s="4"/>
    </row>
    <row r="651" spans="1:3" ht="24" customHeight="1">
      <c r="A651" s="4" t="str">
        <f ca="1">IFERROR(__xludf.DUMMYFUNCTION("""COMPUTED_VALUE"""),"स्मरतेव सशब्दनूपुरं चरणानुग्रहं अन्यदुर्लभं । अमुना कुसुमाश्रुवर्षिणा त्वं अशोकेन सुगात्रि शोच्यसे ||")</f>
        <v>स्मरतेव सशब्दनूपुरं चरणानुग्रहं अन्यदुर्लभं । अमुना कुसुमाश्रुवर्षिणा त्वं अशोकेन सुगात्रि शोच्यसे ||</v>
      </c>
      <c r="B651" s="4" t="s">
        <v>18</v>
      </c>
      <c r="C651" s="4"/>
    </row>
    <row r="652" spans="1:3" ht="24" customHeight="1">
      <c r="A652" s="4" t="str">
        <f ca="1">IFERROR(__xludf.DUMMYFUNCTION("""COMPUTED_VALUE"""),"तव निःश्वसितानुकारिभिर्बकुलैरर्धचितां समं मया । असमाप्य विलासमेखलां किं इदं किंनरकण्ठि सुप्यते ||")</f>
        <v>तव निःश्वसितानुकारिभिर्बकुलैरर्धचितां समं मया । असमाप्य विलासमेखलां किं इदं किंनरकण्ठि सुप्यते ||</v>
      </c>
      <c r="B652" s="4" t="s">
        <v>2</v>
      </c>
      <c r="C652" s="4"/>
    </row>
    <row r="653" spans="1:3" ht="24" customHeight="1">
      <c r="A653" s="4" t="str">
        <f ca="1">IFERROR(__xludf.DUMMYFUNCTION("""COMPUTED_VALUE"""),"समदुःखसुखः सखीजनः प्रतिपच्चन्द्रनिभोऽयं आत्मजः । अहं एकरसस्तथापि ते व्यवसायः प्रतिपत्तिनिष्ठुरः ||")</f>
        <v>समदुःखसुखः सखीजनः प्रतिपच्चन्द्रनिभोऽयं आत्मजः । अहं एकरसस्तथापि ते व्यवसायः प्रतिपत्तिनिष्ठुरः ||</v>
      </c>
      <c r="B653" s="4" t="s">
        <v>0</v>
      </c>
      <c r="C653" s="4"/>
    </row>
    <row r="654" spans="1:3" ht="24" customHeight="1">
      <c r="A654" s="4" t="str">
        <f ca="1">IFERROR(__xludf.DUMMYFUNCTION("""COMPUTED_VALUE"""),"धृतिरस्तमिता रतिश्च्युता विरतं गेयं ऋतुर्निरुत्सवः । गतं आभरणप्रयोजनं परिशून्यं शयनीयं अद्य मे ||")</f>
        <v>धृतिरस्तमिता रतिश्च्युता विरतं गेयं ऋतुर्निरुत्सवः । गतं आभरणप्रयोजनं परिशून्यं शयनीयं अद्य मे ||</v>
      </c>
      <c r="B654" s="4" t="s">
        <v>12</v>
      </c>
      <c r="C654" s="4"/>
    </row>
    <row r="655" spans="1:3" ht="24" customHeight="1">
      <c r="A655" s="4" t="str">
        <f ca="1">IFERROR(__xludf.DUMMYFUNCTION("""COMPUTED_VALUE"""),"गृहिणी सचिवः सखी मिथः प्रियशिष्या ललिते कलाविधौ । करुणाविमुखेन मृत्युना हरता त्वां वद किं न मे हृतं ||")</f>
        <v>गृहिणी सचिवः सखी मिथः प्रियशिष्या ललिते कलाविधौ । करुणाविमुखेन मृत्युना हरता त्वां वद किं न मे हृतं ||</v>
      </c>
      <c r="B655" s="4" t="s">
        <v>2</v>
      </c>
      <c r="C655" s="4"/>
    </row>
    <row r="656" spans="1:3" ht="24" customHeight="1">
      <c r="A656" s="4" t="str">
        <f ca="1">IFERROR(__xludf.DUMMYFUNCTION("""COMPUTED_VALUE"""),"मदिराक्षि मदाननार्पितं मधु पीत्वा रसवत्कथं नु मे । अनुपास्यसि बाष्पदूषितं परलोकोपनतं जलाञ्जलिं ||")</f>
        <v>मदिराक्षि मदाननार्पितं मधु पीत्वा रसवत्कथं नु मे । अनुपास्यसि बाष्पदूषितं परलोकोपनतं जलाञ्जलिं ||</v>
      </c>
      <c r="B656" s="4" t="s">
        <v>11</v>
      </c>
      <c r="C656" s="4"/>
    </row>
    <row r="657" spans="1:3" ht="24" customHeight="1">
      <c r="A657" s="4" t="str">
        <f ca="1">IFERROR(__xludf.DUMMYFUNCTION("""COMPUTED_VALUE"""),"विभवेऽपि सति त्वया विना सुखं एतावदजस्य गण्यतां । अहृतस्य विलोभनान्तरैर्मम सर्वे विषयास्तदाश्रयाः ||")</f>
        <v>विभवेऽपि सति त्वया विना सुखं एतावदजस्य गण्यतां । अहृतस्य विलोभनान्तरैर्मम सर्वे विषयास्तदाश्रयाः ||</v>
      </c>
      <c r="B657" s="4" t="s">
        <v>5</v>
      </c>
      <c r="C657" s="4"/>
    </row>
    <row r="658" spans="1:3" ht="24" customHeight="1">
      <c r="A658" s="4" t="str">
        <f ca="1">IFERROR(__xludf.DUMMYFUNCTION("""COMPUTED_VALUE"""),"विलपन्निति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||")</f>
        <v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||</v>
      </c>
      <c r="B658" s="4" t="s">
        <v>1</v>
      </c>
      <c r="C658" s="4"/>
    </row>
    <row r="659" spans="1:3" ht="24" customHeight="1">
      <c r="A659" s="4" t="str">
        <f ca="1">IFERROR(__xludf.DUMMYFUNCTION("""COMPUTED_VALUE"""),"अथ तस्य कथंचिदङ्कतः स्वजनस्तां अपनीय सुन्दरीं । विससर्ज कृतान्त्यमण्डनां अनलाय्ऽ आगुरुचन्दनदिहसे ||")</f>
        <v>अथ तस्य कथंचिदङ्कतः स्वजनस्तां अपनीय सुन्दरीं । विससर्ज कृतान्त्यमण्डनां अनलाय्ऽ आगुरुचन्दनदिहसे ||</v>
      </c>
      <c r="B659" s="4" t="s">
        <v>18</v>
      </c>
      <c r="C659" s="4"/>
    </row>
    <row r="660" spans="1:3" ht="24" customHeight="1">
      <c r="A660" s="4" t="str">
        <f ca="1">IFERROR(__xludf.DUMMYFUNCTION("""COMPUTED_VALUE"""),"प्रमदां अनु संस्थितः शुचा नृपतिः सन्निति वाच्यदर्शनाथ् । न चकार शरीरं अग्निसात्सह देव्या न तु जीविताशया ||")</f>
        <v>प्रमदां अनु संस्थितः शुचा नृपतिः सन्निति वाच्यदर्शनाथ् । न चकार शरीरं अग्निसात्सह देव्या न तु जीविताशया ||</v>
      </c>
      <c r="B660" s="4" t="s">
        <v>5</v>
      </c>
      <c r="C660" s="4"/>
    </row>
    <row r="661" spans="1:3" ht="24" customHeight="1">
      <c r="A661" s="4" t="str">
        <f ca="1">IFERROR(__xludf.DUMMYFUNCTION("""COMPUTED_VALUE"""),"अथ तेन दशाहतः परे गुणशेषां उपदिष्य गेहिनीं । विदुषा विधयो महर्द्धयः पुर एवोपवने समापिताः ||")</f>
        <v>अथ तेन दशाहतः परे गुणशेषां उपदिष्य गेहिनीं । विदुषा विधयो महर्द्धयः पुर एवोपवने समापिताः ||</v>
      </c>
      <c r="B661" s="4" t="s">
        <v>2</v>
      </c>
      <c r="C661" s="4"/>
    </row>
    <row r="662" spans="1:3" ht="24" customHeight="1">
      <c r="A662" s="4" t="str">
        <f ca="1">IFERROR(__xludf.DUMMYFUNCTION("""COMPUTED_VALUE"""),"स विवेश पुरीं तया विना क्षणदापायशशाङ्कदर्शनः । परिवाहं इवावलोकयन्स्वशुचः पौरवधूमुखाश्रुषु ||")</f>
        <v>स विवेश पुरीं तया विना क्षणदापायशशाङ्कदर्शनः । परिवाहं इवावलोकयन्स्वशुचः पौरवधूमुखाश्रुषु ||</v>
      </c>
      <c r="B662" s="4" t="s">
        <v>13</v>
      </c>
      <c r="C662" s="4"/>
    </row>
    <row r="663" spans="1:3" ht="24" customHeight="1">
      <c r="A663" s="4" t="str">
        <f ca="1">IFERROR(__xludf.DUMMYFUNCTION("""COMPUTED_VALUE"""),"अथ तं सवनाय दिषितः प्रणिधानाद्गुरुराश्रमस्थितः । अभिषङ्गजडं विजज्ञिवानिति शिष्येण किलान्वबोधयथ् ||")</f>
        <v>अथ तं सवनाय दिषितः प्रणिधानाद्गुरुराश्रमस्थितः । अभिषङ्गजडं विजज्ञिवानिति शिष्येण किलान्वबोधयथ् ||</v>
      </c>
      <c r="B663" s="4" t="s">
        <v>5</v>
      </c>
      <c r="C663" s="4"/>
    </row>
    <row r="664" spans="1:3" ht="24" customHeight="1">
      <c r="A664" s="4" t="str">
        <f ca="1">IFERROR(__xludf.DUMMYFUNCTION("""COMPUTED_VALUE"""),"असमाप्तविधिर्यतो मुनिस्तव विद्वानपि तापकारणं । न भवन्तं उपस्थितः स्वयं प्रकृतौ स्थापयितुं कृतस्थितिः ||")</f>
        <v>असमाप्तविधिर्यतो मुनिस्तव विद्वानपि तापकारणं । न भवन्तं उपस्थितः स्वयं प्रकृतौ स्थापयितुं कृतस्थितिः ||</v>
      </c>
      <c r="B664" s="4" t="s">
        <v>2</v>
      </c>
      <c r="C664" s="4"/>
    </row>
    <row r="665" spans="1:3" ht="24" customHeight="1">
      <c r="A665" s="4" t="str">
        <f ca="1">IFERROR(__xludf.DUMMYFUNCTION("""COMPUTED_VALUE"""),"मयि तस्य सुवृत्त वर्तते लघुसंदेशपदा सरस्वती । शृणु विश्रुतसत्त्वसार तां हृदि चैनां उपधातुं अर्हसि ||")</f>
        <v>मयि तस्य सुवृत्त वर्तते लघुसंदेशपदा सरस्वती । शृणु विश्रुतसत्त्वसार तां हृदि चैनां उपधातुं अर्हसि ||</v>
      </c>
      <c r="B665" s="4" t="s">
        <v>18</v>
      </c>
      <c r="C665" s="4"/>
    </row>
    <row r="666" spans="1:3" ht="24" customHeight="1">
      <c r="A666" s="4" t="str">
        <f ca="1">IFERROR(__xludf.DUMMYFUNCTION("""COMPUTED_VALUE"""),"पुरुषस्य पदेष्वजन्मनः समतीतं च भवच्च भावि च । स हि निष्प्रतिघेन चक्षुषा त्रितयं ज्ञानमयेन पश्यति ||")</f>
        <v>पुरुषस्य पदेष्वजन्मनः समतीतं च भवच्च भावि च । स हि निष्प्रतिघेन चक्षुषा त्रितयं ज्ञानमयेन पश्यति ||</v>
      </c>
      <c r="B666" s="4" t="s">
        <v>2</v>
      </c>
      <c r="C666" s="4"/>
    </row>
    <row r="667" spans="1:3" ht="24" customHeight="1">
      <c r="A667" s="4" t="str">
        <f ca="1">IFERROR(__xludf.DUMMYFUNCTION("""COMPUTED_VALUE"""),"चरतः किल दुश्चरं तपस्तृणबिन्दोः परिशङ्कितः पुरा । प्रजिघाय समाधिबेदिनीं हरिरस्मै हरिणीं सुराङ्गनां ||")</f>
        <v>चरतः किल दुश्चरं तपस्तृणबिन्दोः परिशङ्कितः पुरा । प्रजिघाय समाधिबेदिनीं हरिरस्मै हरिणीं सुराङ्गनां ||</v>
      </c>
      <c r="B667" s="4" t="s">
        <v>1</v>
      </c>
      <c r="C667" s="4"/>
    </row>
    <row r="668" spans="1:3" ht="24" customHeight="1">
      <c r="A668" s="4" t="str">
        <f ca="1">IFERROR(__xludf.DUMMYFUNCTION("""COMPUTED_VALUE"""),"स तपःप्रतिबन्धमन्युना प्रमुखाविष्कृतचारुविभ्रमां । अशपद्भव मानुषीति तां शमवेलाप्रलयोर्मिणा मुनिः ||")</f>
        <v>स तपःप्रतिबन्धमन्युना प्रमुखाविष्कृतचारुविभ्रमां । अशपद्भव मानुषीति तां शमवेलाप्रलयोर्मिणा मुनिः ||</v>
      </c>
      <c r="B668" s="4" t="s">
        <v>1</v>
      </c>
      <c r="C668" s="4"/>
    </row>
    <row r="669" spans="1:3" ht="24" customHeight="1">
      <c r="A669" s="4" t="str">
        <f ca="1">IFERROR(__xludf.DUMMYFUNCTION("""COMPUTED_VALUE"""),"भगवन्परवानयं जनः प्रतिकूलाचरितं क्षमस्व मे । इति चोपनतां क्षितिपृशं विवशा शापनिवृत्तिकारणं ||")</f>
        <v>भगवन्परवानयं जनः प्रतिकूलाचरितं क्षमस्व मे । इति चोपनतां क्षितिपृशं विवशा शापनिवृत्तिकारणं ||</v>
      </c>
      <c r="B669" s="4" t="s">
        <v>7</v>
      </c>
      <c r="C669" s="4"/>
    </row>
    <row r="670" spans="1:3" ht="24" customHeight="1">
      <c r="A670" s="4" t="str">
        <f ca="1">IFERROR(__xludf.DUMMYFUNCTION("""COMPUTED_VALUE"""),"क्रथकैशिकवंशसंभवा तव भूत्वा महिषी चिराय सा । उपलब्धवती दिवश्च्युतं विवशा शापनिवृत्तिकारणं ||")</f>
        <v>क्रथकैशिकवंशसंभवा तव भूत्वा महिषी चिराय सा । उपलब्धवती दिवश्च्युतं विवशा शापनिवृत्तिकारणं ||</v>
      </c>
      <c r="B670" s="4" t="s">
        <v>7</v>
      </c>
      <c r="C670" s="4"/>
    </row>
    <row r="671" spans="1:3" ht="24" customHeight="1">
      <c r="A671" s="4" t="str">
        <f ca="1">IFERROR(__xludf.DUMMYFUNCTION("""COMPUTED_VALUE"""),"तदलं तदपायचिन्तया विपदुत्पत्तिमतां उपस्थिता । वसुधेयं अवेक्ष्यतां त्वया वसुमत्या हि नृपाः कलत्रिणः ||")</f>
        <v>तदलं तदपायचिन्तया विपदुत्पत्तिमतां उपस्थिता । वसुधेयं अवेक्ष्यतां त्वया वसुमत्या हि नृपाः कलत्रिणः ||</v>
      </c>
      <c r="B671" s="4" t="s">
        <v>7</v>
      </c>
      <c r="C671" s="4"/>
    </row>
    <row r="672" spans="1:3" ht="24" customHeight="1">
      <c r="A672" s="4" t="str">
        <f ca="1">IFERROR(__xludf.DUMMYFUNCTION("""COMPUTED_VALUE"""),"उदये मदवाच्यं उज्झता श्रुतं आविष्कृतं आत्मवत्तया । मनसस्तदुपस्थिते ज्वरे पुनरक्लीबतया प्रकाश्यतां ||")</f>
        <v>उदये मदवाच्यं उज्झता श्रुतं आविष्कृतं आत्मवत्तया । मनसस्तदुपस्थिते ज्वरे पुनरक्लीबतया प्रकाश्यतां ||</v>
      </c>
      <c r="B672" s="4" t="s">
        <v>2</v>
      </c>
      <c r="C672" s="4"/>
    </row>
    <row r="673" spans="1:3" ht="24" customHeight="1">
      <c r="A673" s="4" t="str">
        <f ca="1">IFERROR(__xludf.DUMMYFUNCTION("""COMPUTED_VALUE"""),"रुदता कुत एव सा पुनर्भवता नानुमृतापि लभ्यते । परलोकजुषां स्वकर्मभिर्गतयो भिन्नपथा हि देहिनां ||")</f>
        <v>रुदता कुत एव सा पुनर्भवता नानुमृतापि लभ्यते । परलोकजुषां स्वकर्मभिर्गतयो भिन्नपथा हि देहिनां ||</v>
      </c>
      <c r="B673" s="4" t="s">
        <v>1</v>
      </c>
      <c r="C673" s="4"/>
    </row>
    <row r="674" spans="1:3" ht="24" customHeight="1">
      <c r="A674" s="4" t="str">
        <f ca="1">IFERROR(__xludf.DUMMYFUNCTION("""COMPUTED_VALUE"""),"रुदितेन न सा निवर्तते नृप तत्तावदन्र्थकं तव । न भवाननुसंस्थितोऽपि तां लभते कर्मवशा हि देहिनः ||")</f>
        <v>रुदितेन न सा निवर्तते नृप तत्तावदन्र्थकं तव । न भवाननुसंस्थितोऽपि तां लभते कर्मवशा हि देहिनः ||</v>
      </c>
      <c r="B674" s="4" t="s">
        <v>1</v>
      </c>
      <c r="C674" s="4"/>
    </row>
    <row r="675" spans="1:3" ht="24" customHeight="1">
      <c r="A675" s="4" t="str">
        <f ca="1">IFERROR(__xludf.DUMMYFUNCTION("""COMPUTED_VALUE"""),"अपशोकमनाः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||")</f>
        <v>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||</v>
      </c>
      <c r="B675" s="4" t="s">
        <v>2</v>
      </c>
      <c r="C675" s="4"/>
    </row>
    <row r="676" spans="1:3" ht="24" customHeight="1">
      <c r="A676" s="4" t="str">
        <f ca="1">IFERROR(__xludf.DUMMYFUNCTION("""COMPUTED_VALUE"""),"मरणं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||")</f>
        <v>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||</v>
      </c>
      <c r="B676" s="4" t="s">
        <v>18</v>
      </c>
      <c r="C676" s="4"/>
    </row>
    <row r="677" spans="1:3" ht="24" customHeight="1">
      <c r="A677" s="4" t="str">
        <f ca="1">IFERROR(__xludf.DUMMYFUNCTION("""COMPUTED_VALUE"""),"अवगच्छति मूढचेतनः प्रियनाशं हृदि शल्यं अर्पितं । स्थिरधीस्तु तदेव मन्यते कुशलद्वारतया समुद्धृतं ||")</f>
        <v>अवगच्छति मूढचेतनः प्रियनाशं हृदि शल्यं अर्पितं । स्थिरधीस्तु तदेव मन्यते कुशलद्वारतया समुद्धृतं ||</v>
      </c>
      <c r="B677" s="4" t="s">
        <v>2</v>
      </c>
      <c r="C677" s="4"/>
    </row>
    <row r="678" spans="1:3" ht="24" customHeight="1">
      <c r="A678" s="4" t="str">
        <f ca="1">IFERROR(__xludf.DUMMYFUNCTION("""COMPUTED_VALUE"""),"स्वशरीरशरीरिणावपि श्रुतसंयोगविपर्ययौ यदा । विरहः किं इवानुतापयेद्वद बाह्यैर्विषयैर्विपश्चितम् ||")</f>
        <v>स्वशरीरशरीरिणावपि श्रुतसंयोगविपर्ययौ यदा । विरहः किं इवानुतापयेद्वद बाह्यैर्विषयैर्विपश्चितम् ||</v>
      </c>
      <c r="B678" s="4" t="s">
        <v>2</v>
      </c>
      <c r="C678" s="4"/>
    </row>
    <row r="679" spans="1:3" ht="24" customHeight="1">
      <c r="A679" s="4" t="str">
        <f ca="1">IFERROR(__xludf.DUMMYFUNCTION("""COMPUTED_VALUE"""),"न पृथग्जनवच्छुचो वशं वशिनां उत्तम गन्तुं अर्हसि । द्रुमसानुमतां किं अन्तरं यदि वायौ द्वितयेऽपि ते चलाः ||")</f>
        <v>न पृथग्जनवच्छुचो वशं वशिनां उत्तम गन्तुं अर्हसि । द्रुमसानुमतां किं अन्तरं यदि वायौ द्वितयेऽपि ते चलाः ||</v>
      </c>
      <c r="B679" s="4" t="s">
        <v>11</v>
      </c>
      <c r="C679" s="4"/>
    </row>
    <row r="680" spans="1:3" ht="24" customHeight="1">
      <c r="A680" s="4" t="str">
        <f ca="1">IFERROR(__xludf.DUMMYFUNCTION("""COMPUTED_VALUE"""),"स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||")</f>
        <v>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||</v>
      </c>
      <c r="B680" s="4" t="s">
        <v>0</v>
      </c>
      <c r="C680" s="4"/>
    </row>
    <row r="681" spans="1:3" ht="24" customHeight="1">
      <c r="A681" s="4" t="str">
        <f ca="1">IFERROR(__xludf.DUMMYFUNCTION("""COMPUTED_VALUE"""),"तेनाष्टौ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||")</f>
        <v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||</v>
      </c>
      <c r="B681" s="4" t="s">
        <v>16</v>
      </c>
      <c r="C681" s="4"/>
    </row>
    <row r="682" spans="1:3" ht="24" customHeight="1">
      <c r="A682" s="4" t="str">
        <f ca="1">IFERROR(__xludf.DUMMYFUNCTION("""COMPUTED_VALUE"""),"तस्य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||")</f>
        <v>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||</v>
      </c>
      <c r="B682" s="4" t="s">
        <v>1</v>
      </c>
      <c r="C682" s="4"/>
    </row>
    <row r="683" spans="1:3" ht="24" customHeight="1">
      <c r="A683" s="4" t="str">
        <f ca="1">IFERROR(__xludf.DUMMYFUNCTION("""COMPUTED_VALUE"""),"सम्यग्विनीतं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||")</f>
        <v>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||</v>
      </c>
      <c r="B683" s="4" t="s">
        <v>4</v>
      </c>
      <c r="C683" s="4"/>
    </row>
    <row r="684" spans="1:3" ht="24" customHeight="1">
      <c r="A684" s="4" t="str">
        <f ca="1">IFERROR(__xludf.DUMMYFUNCTION("""COMPUTED_VALUE"""),"तीर्थे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||")</f>
        <v>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||</v>
      </c>
      <c r="B684" s="4" t="s">
        <v>13</v>
      </c>
      <c r="C684" s="4"/>
    </row>
    <row r="685" spans="1:3" ht="24" customHeight="1">
      <c r="A685" s="4" t="str">
        <f ca="1">IFERROR(__xludf.DUMMYFUNCTION("""COMPUTED_VALUE"""),"पितुरनन्तरं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||")</f>
        <v>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||</v>
      </c>
      <c r="B685" s="4" t="s">
        <v>2</v>
      </c>
      <c r="C685" s="4"/>
    </row>
    <row r="686" spans="1:3" ht="24" customHeight="1">
      <c r="A686" s="4" t="str">
        <f ca="1">IFERROR(__xludf.DUMMYFUNCTION("""COMPUTED_VALUE"""),"अधिगतं विधिवद्यदपालयत्प्रकृतिमण्डलं आत्मकुलोचितं । अभवदस्य ततो गुणवत्तरं सनगरं नगरन्ध्रकरौजसः ||")</f>
        <v>अधिगतं विधिवद्यदपालयत्प्रकृतिमण्डलं आत्मकुलोचितं । अभवदस्य ततो गुणवत्तरं सनगरं नगरन्ध्रकरौजसः ||</v>
      </c>
      <c r="B686" s="4" t="s">
        <v>18</v>
      </c>
      <c r="C686" s="4"/>
    </row>
    <row r="687" spans="1:3" ht="24" customHeight="1">
      <c r="A687" s="4" t="str">
        <f ca="1">IFERROR(__xludf.DUMMYFUNCTION("""COMPUTED_VALUE"""),"उभयं एव वदन्ति मनीषिणः समयवर्षितया कृतकर्मणां । वलनिषूदनं अर्थ्पतिं च तं श्रमनुदं मनुदण्डहरान्वयं ||")</f>
        <v>उभयं एव वदन्ति मनीषिणः समयवर्षितया कृतकर्मणां । वलनिषूदनं अर्थ्पतिं च तं श्रमनुदं मनुदण्डहरान्वयं ||</v>
      </c>
      <c r="B687" s="4" t="s">
        <v>5</v>
      </c>
      <c r="C687" s="4"/>
    </row>
    <row r="688" spans="1:3" ht="24" customHeight="1">
      <c r="A688" s="4" t="str">
        <f ca="1">IFERROR(__xludf.DUMMYFUNCTION("""COMPUTED_VALUE"""),"जनपदे न गदः पदं आदधावभिभवः कुत एव सपत्नजः । क्षितिरभूत्फलवत्यजनन्दने शमरतेऽमरतेजसि पार्थिवे ||")</f>
        <v>जनपदे न गदः पदं आदधावभिभवः कुत एव सपत्नजः । क्षितिरभूत्फलवत्यजनन्दने शमरतेऽमरतेजसि पार्थिवे ||</v>
      </c>
      <c r="B688" s="4" t="s">
        <v>4</v>
      </c>
      <c r="C688" s="4"/>
    </row>
    <row r="689" spans="1:3" ht="24" customHeight="1">
      <c r="A689" s="4" t="str">
        <f ca="1">IFERROR(__xludf.DUMMYFUNCTION("""COMPUTED_VALUE"""),"दशदिगन्तजिता रघुणा यथा श्रियं अपुष्यदजेन ततः परं । तं अधिगम्य तथैव पुनर्बभौ न न महीऽनं अहीनपराक्रमं ||")</f>
        <v>दशदिगन्तजिता रघुणा यथा श्रियं अपुष्यदजेन ततः परं । तं अधिगम्य तथैव पुनर्बभौ न न महीऽनं अहीनपराक्रमं ||</v>
      </c>
      <c r="B689" s="4" t="s">
        <v>12</v>
      </c>
      <c r="C689" s="4"/>
    </row>
    <row r="690" spans="1:3" ht="24" customHeight="1">
      <c r="A690" s="4" t="str">
        <f ca="1">IFERROR(__xludf.DUMMYFUNCTION("""COMPUTED_VALUE"""),"समतया वसुवृटिविसर्जनैर्नियमनादसतां च नराधिपः । अनुययौ यमपुण्यजनेश्वरौ सवरुणावरुणाग्रसरं रुचा ||")</f>
        <v>समतया वसुवृटिविसर्जनैर्नियमनादसतां च नराधिपः । अनुययौ यमपुण्यजनेश्वरौ सवरुणावरुणाग्रसरं रुचा ||</v>
      </c>
      <c r="B690" s="4" t="s">
        <v>16</v>
      </c>
      <c r="C690" s="4"/>
    </row>
    <row r="691" spans="1:3" ht="24" customHeight="1">
      <c r="A691" s="4" t="str">
        <f ca="1">IFERROR(__xludf.DUMMYFUNCTION("""COMPUTED_VALUE"""),"न मृगयाभिरतिर्न दुरोदरं न च शशिप्रतिमाभरणं मधु । तं उदयाय न वा नवयौवना प्रियतमा यतमानं अपाहरा ||")</f>
        <v>न मृगयाभिरतिर्न दुरोदरं न च शशिप्रतिमाभरणं मधु । तं उदयाय न वा नवयौवना प्रियतमा यतमानं अपाहरा ||</v>
      </c>
      <c r="B691" s="4" t="s">
        <v>0</v>
      </c>
      <c r="C691" s="4"/>
    </row>
    <row r="692" spans="1:3" ht="24" customHeight="1">
      <c r="A692" s="4" t="str">
        <f ca="1">IFERROR(__xludf.DUMMYFUNCTION("""COMPUTED_VALUE"""),"न कृपणा प्रभवत्यपि वासवे न वितथा परिहासकथास्वपि । न च सपत्नजनेष्वपि तेन वागपरुषा परुषाक्षरं ईरिता ||")</f>
        <v>न कृपणा प्रभवत्यपि वासवे न वितथा परिहासकथास्वपि । न च सपत्नजनेष्वपि तेन वागपरुषा परुषाक्षरं ईरिता ||</v>
      </c>
      <c r="B692" s="4" t="s">
        <v>2</v>
      </c>
      <c r="C692" s="4"/>
    </row>
    <row r="693" spans="1:3" ht="24" customHeight="1">
      <c r="A693" s="4" t="str">
        <f ca="1">IFERROR(__xludf.DUMMYFUNCTION("""COMPUTED_VALUE"""),"उदयं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||")</f>
        <v>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||</v>
      </c>
      <c r="B693" s="4" t="s">
        <v>2</v>
      </c>
      <c r="C693" s="4"/>
    </row>
    <row r="694" spans="1:3" ht="24" customHeight="1">
      <c r="A694" s="4" t="str">
        <f ca="1">IFERROR(__xludf.DUMMYFUNCTION("""COMPUTED_VALUE"""),"अजयदेकरथेन स मेदिनीं उदधिनेमिं अधिज्यशरासनः । जयं अघोषयदस्य तु केवलं गजवती जवतीरहया चमूः ||")</f>
        <v>अजयदेकरथेन स मेदिनीं उदधिनेमिं अधिज्यशरासनः । जयं अघोषयदस्य तु केवलं गजवती जवतीरहया चमूः ||</v>
      </c>
      <c r="B694" s="4" t="s">
        <v>12</v>
      </c>
      <c r="C694" s="4"/>
    </row>
    <row r="695" spans="1:3" ht="24" customHeight="1">
      <c r="A695" s="4" t="str">
        <f ca="1">IFERROR(__xludf.DUMMYFUNCTION("""COMPUTED_VALUE"""),"जघननिर्विषयीकृतमेखलाननुचिताश्रुविलुप्तविशेषकान् । स रिपुदारगणानकरोद्बलादनलकानलकाधिपविक्रमः ||")</f>
        <v>जघननिर्विषयीकृतमेखलाननुचिताश्रुविलुप्तविशेषकान् । स रिपुदारगणानकरोद्बलादनलकानलकाधिपविक्रमः ||</v>
      </c>
      <c r="B695" s="4" t="s">
        <v>12</v>
      </c>
      <c r="C695" s="4"/>
    </row>
    <row r="696" spans="1:3" ht="24" customHeight="1">
      <c r="A696" s="4" t="str">
        <f ca="1">IFERROR(__xludf.DUMMYFUNCTION("""COMPUTED_VALUE"""),"अवनिं एकरथेन वरूथिना जितवतः किल तस्य धनुर्भृतः । विजयदुन्दुभितां ययुरर्णवा घनरवा नरवाहनसंपदः ||")</f>
        <v>अवनिं एकरथेन वरूथिना जितवतः किल तस्य धनुर्भृतः । विजयदुन्दुभितां ययुरर्णवा घनरवा नरवाहनसंपदः ||</v>
      </c>
      <c r="B696" s="4" t="s">
        <v>17</v>
      </c>
      <c r="C696" s="4"/>
    </row>
    <row r="697" spans="1:3" ht="24" customHeight="1">
      <c r="A697" s="4" t="str">
        <f ca="1">IFERROR(__xludf.DUMMYFUNCTION("""COMPUTED_VALUE"""),"शमितपक्षबलः शितकोटिना शिखरिणां कुलिशेन पुरंदरः । स सारवृष्टिमुचा धनुषा द्विषां स्वनवता नवतामरसाननः ||")</f>
        <v>शमितपक्षबलः शितकोटिना शिखरिणां कुलिशेन पुरंदरः । स सारवृष्टिमुचा धनुषा द्विषां स्वनवता नवतामरसाननः ||</v>
      </c>
      <c r="B697" s="4" t="s">
        <v>1</v>
      </c>
      <c r="C697" s="4"/>
    </row>
    <row r="698" spans="1:3" ht="24" customHeight="1">
      <c r="A698" s="4" t="str">
        <f ca="1">IFERROR(__xludf.DUMMYFUNCTION("""COMPUTED_VALUE"""),"स्फुरितकोटिसहस्रमरीचिना समचिनोत्कुलिशेन हरिर्यशः । स धनुषा युधि सायकवर्षिणा स्वनवता नवतामरसाननः ||")</f>
        <v>स्फुरितकोटिसहस्रमरीचिना समचिनोत्कुलिशेन हरिर्यशः । स धनुषा युधि सायकवर्षिणा स्वनवता नवतामरसाननः ||</v>
      </c>
      <c r="B698" s="4" t="s">
        <v>1</v>
      </c>
      <c r="C698" s="4"/>
    </row>
    <row r="699" spans="1:3" ht="24" customHeight="1">
      <c r="A699" s="4" t="str">
        <f ca="1">IFERROR(__xludf.DUMMYFUNCTION("""COMPUTED_VALUE"""),"चरणयोर्नखरागसमृद्धिभिर्मुकुटरत्नमरीचिभिरस्पृशन् । स धनुषा युधि सायकवर्षिणा शतमखं तं अखण्डितपौरुषं ||")</f>
        <v>चरणयोर्नखरागसमृद्धिभिर्मुकुटरत्नमरीचिभिरस्पृशन् । स धनुषा युधि सायकवर्षिणा शतमखं तं अखण्डितपौरुषं ||</v>
      </c>
      <c r="B699" s="4" t="s">
        <v>13</v>
      </c>
      <c r="C699" s="4"/>
    </row>
    <row r="700" spans="1:3" ht="24" customHeight="1">
      <c r="A700" s="4" t="str">
        <f ca="1">IFERROR(__xludf.DUMMYFUNCTION("""COMPUTED_VALUE"""),"निववृते स महार्णवरोधसः सचिवकारितबालसुताञ्जलीन् । समनुकम्प्य सपत्नपरिग्रहाननलकानलकानवमां पुरीं ||")</f>
        <v>निववृते स महार्णवरोधसः सचिवकारितबालसुताञ्जलीन् । समनुकम्प्य सपत्नपरिग्रहाननलकानलकानवमां पुरीं ||</v>
      </c>
      <c r="B700" s="4" t="s">
        <v>0</v>
      </c>
      <c r="C700" s="4"/>
    </row>
    <row r="701" spans="1:3" ht="24" customHeight="1">
      <c r="A701" s="4" t="str">
        <f ca="1">IFERROR(__xludf.DUMMYFUNCTION("""COMPUTED_VALUE"""),"उपगतोऽपि च मण्डलनाभितां अनुदितान्यसितातपवारणः । अजितं अस्ति नृपास्पदं इत्यभूदनलसोऽनलस्ॐअसमद्युतिः ||")</f>
        <v>उपगतोऽपि च मण्डलनाभितां अनुदितान्यसितातपवारणः । अजितं अस्ति नृपास्पदं इत्यभूदनलसोऽनलस्ॐअसमद्युतिः ||</v>
      </c>
      <c r="B701" s="4" t="s">
        <v>2</v>
      </c>
      <c r="C701" s="4"/>
    </row>
    <row r="702" spans="1:3" ht="24" customHeight="1">
      <c r="A702" s="4" t="str">
        <f ca="1">IFERROR(__xludf.DUMMYFUNCTION("""COMPUTED_VALUE"""),"क्रतुषु तेन विसर्जितमौलिना भुजसमाहृतदिग्वसुना कृताः । कनकयूपसमुच्छ्रयशोभिनो वितमसा तमसारस्यूतटाः ||")</f>
        <v>क्रतुषु तेन विसर्जितमौलिना भुजसमाहृतदिग्वसुना कृताः । कनकयूपसमुच्छ्रयशोभिनो वितमसा तमसारस्यूतटाः ||</v>
      </c>
      <c r="B702" s="4" t="s">
        <v>23</v>
      </c>
      <c r="C702" s="4"/>
    </row>
    <row r="703" spans="1:3" ht="24" customHeight="1">
      <c r="A703" s="4" t="str">
        <f ca="1">IFERROR(__xludf.DUMMYFUNCTION("""COMPUTED_VALUE"""),"अजिनदण्डभृतं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||")</f>
        <v>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||</v>
      </c>
      <c r="B703" s="4" t="s">
        <v>0</v>
      </c>
      <c r="C703" s="4"/>
    </row>
    <row r="704" spans="1:3" ht="24" customHeight="1">
      <c r="A704" s="4" t="str">
        <f ca="1">IFERROR(__xludf.DUMMYFUNCTION("""COMPUTED_VALUE"""),"अवभृतप्रयतो नियतेन्द्रियः सुरसमाजसमाक्रमणोचितः । नमयति स्म स केवलं उन्नतं वनमुचे नमुचेररये शिरः ||")</f>
        <v>अवभृतप्रयतो नियतेन्द्रियः सुरसमाजसमाक्रमणोचितः । नमयति स्म स केवलं उन्नतं वनमुचे नमुचेररये शिरः ||</v>
      </c>
      <c r="B704" s="4" t="s">
        <v>0</v>
      </c>
      <c r="C704" s="4"/>
    </row>
    <row r="705" spans="1:3" ht="24" customHeight="1">
      <c r="A705" s="4" t="str">
        <f ca="1">IFERROR(__xludf.DUMMYFUNCTION("""COMPUTED_VALUE"""),"तं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||")</f>
        <v>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||</v>
      </c>
      <c r="B705" s="4" t="s">
        <v>13</v>
      </c>
      <c r="C705" s="4"/>
    </row>
    <row r="706" spans="1:3" ht="24" customHeight="1">
      <c r="A706" s="4" t="str">
        <f ca="1">IFERROR(__xludf.DUMMYFUNCTION("""COMPUTED_VALUE"""),"स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||")</f>
        <v>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||</v>
      </c>
      <c r="B706" s="4" t="s">
        <v>0</v>
      </c>
      <c r="C706" s="4"/>
    </row>
    <row r="707" spans="1:3" ht="24" customHeight="1">
      <c r="A707" s="4" t="str">
        <f ca="1">IFERROR(__xludf.DUMMYFUNCTION("""COMPUTED_VALUE"""),"असकृदेकरथेन तरस्विना हरिहयाग्रसरेण धनुर्भृता । दिनकराभिमुखा रणरेणवो रुरुधिरे रुधिरेण सुरद्विषां ||")</f>
        <v>असकृदेकरथेन तरस्विना हरिहयाग्रसरेण धनुर्भृता । दिनकराभिमुखा रणरेणवो रुरुधिरे रुधिरेण सुरद्विषां ||</v>
      </c>
      <c r="B707" s="4" t="s">
        <v>13</v>
      </c>
      <c r="C707" s="4"/>
    </row>
    <row r="708" spans="1:3" ht="24" customHeight="1">
      <c r="A708" s="4" t="str">
        <f ca="1">IFERROR(__xludf.DUMMYFUNCTION("""COMPUTED_VALUE"""),"तं अलभन्त पतिं पतिदेवताः शिखरिणां इव सागरं आपगाः । मगधकोसलकेकयशसिनां दुहितरोऽहितरोपितमार्गणं ||")</f>
        <v>तं अलभन्त पतिं पतिदेवताः शिखरिणां इव सागरं आपगाः । मगधकोसलकेकयशसिनां दुहितरोऽहितरोपितमार्गणं ||</v>
      </c>
      <c r="B708" s="4" t="s">
        <v>7</v>
      </c>
      <c r="C708" s="4"/>
    </row>
    <row r="709" spans="1:3" ht="24" customHeight="1">
      <c r="A709" s="4" t="str">
        <f ca="1">IFERROR(__xludf.DUMMYFUNCTION("""COMPUTED_VALUE"""),"प्रियतमाभिरसौ तिऋभिर्बभौ तिसृभिरेव भुवं सह शक्तिभिः । उपगतो विनिनीषुरिव प्रजा हरिहयोऽरिहयोगविचक्षणः ||")</f>
        <v>प्रियतमाभिरसौ तिऋभिर्बभौ तिसृभिरेव भुवं सह शक्तिभिः । उपगतो विनिनीषुरिव प्रजा हरिहयोऽरिहयोगविचक्षणः ||</v>
      </c>
      <c r="B709" s="4" t="s">
        <v>7</v>
      </c>
      <c r="C709" s="4"/>
    </row>
    <row r="710" spans="1:3" ht="24" customHeight="1">
      <c r="A710" s="4" t="str">
        <f ca="1">IFERROR(__xludf.DUMMYFUNCTION("""COMPUTED_VALUE"""),"अथ समाववृते कुसुमैर्नवैस्तं इव सेवितुं एकनराधिपं । यमकुबेर्जलेश्वरवज्रिणां समधुरं मधुरञ्चितविक्रमं ||")</f>
        <v>अथ समाववृते कुसुमैर्नवैस्तं इव सेवितुं एकनराधिपं । यमकुबेर्जलेश्वरवज्रिणां समधुरं मधुरञ्चितविक्रमं ||</v>
      </c>
      <c r="B710" s="4" t="s">
        <v>12</v>
      </c>
      <c r="C710" s="4"/>
    </row>
    <row r="711" spans="1:3" ht="24" customHeight="1">
      <c r="A711" s="4" t="str">
        <f ca="1">IFERROR(__xludf.DUMMYFUNCTION("""COMPUTED_VALUE"""),"जिगमिषुर्धनदाध्युषितां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अत्यजथ् ||")</f>
        <v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अत्यजथ् ||</v>
      </c>
      <c r="B711" s="4" t="s">
        <v>3</v>
      </c>
      <c r="C711" s="4"/>
    </row>
    <row r="712" spans="1:3" ht="24" customHeight="1">
      <c r="A712" s="4" t="str">
        <f ca="1">IFERROR(__xludf.DUMMYFUNCTION("""COMPUTED_VALUE"""),"हिमविवर्णितचन्दनपल्लवं विरहयन्मलयाद्रिं उदङ्मुखः । विहगयोः कृपयेव शनैर्ययौ रविरहर्विरहध्रुवभेदयोः ||")</f>
        <v>हिमविवर्णितचन्दनपल्लवं विरहयन्मलयाद्रिं उदङ्मुखः । विहगयोः कृपयेव शनैर्ययौ रविरहर्विरहध्रुवभेदयोः ||</v>
      </c>
      <c r="B712" s="4" t="s">
        <v>5</v>
      </c>
      <c r="C712" s="4"/>
    </row>
    <row r="713" spans="1:3" ht="24" customHeight="1">
      <c r="A713" s="4" t="str">
        <f ca="1">IFERROR(__xludf.DUMMYFUNCTION("""COMPUTED_VALUE"""),"कुसुमजन्म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||")</f>
        <v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||</v>
      </c>
      <c r="B713" s="4" t="s">
        <v>11</v>
      </c>
      <c r="C713" s="4"/>
    </row>
    <row r="714" spans="1:3" ht="24" customHeight="1">
      <c r="A714" s="4" t="str">
        <f ca="1">IFERROR(__xludf.DUMMYFUNCTION("""COMPUTED_VALUE"""),"सुरभिसंगमजं वनमालया नवपलाशं अधार्यत भङ्गुरं । रमणदत्तं इवार्द्रनखक्षतं प्रमदया मदयापितलज्जया ||")</f>
        <v>सुरभिसंगमजं वनमालया नवपलाशं अधार्यत भङ्गुरं । रमणदत्तं इवार्द्रनखक्षतं प्रमदया मदयापितलज्जया ||</v>
      </c>
      <c r="B714" s="4" t="s">
        <v>5</v>
      </c>
      <c r="C714" s="4"/>
    </row>
    <row r="715" spans="1:3" ht="24" customHeight="1">
      <c r="A715" s="4" t="str">
        <f ca="1">IFERROR(__xludf.DUMMYFUNCTION("""COMPUTED_VALUE"""),"उपहितं शिशिरापगमश्रिया मुकुलजालं अशोभत किंशुके । प्रणयिनीव नखक्षतमण्डनं प्रमदया मदयापितलज्जया ||")</f>
        <v>उपहितं शिशिरापगमश्रिया मुकुलजालं अशोभत किंशुके । प्रणयिनीव नखक्षतमण्डनं प्रमदया मदयापितलज्जया ||</v>
      </c>
      <c r="B715" s="4" t="s">
        <v>5</v>
      </c>
      <c r="C715" s="4"/>
    </row>
    <row r="716" spans="1:3" ht="24" customHeight="1">
      <c r="A716" s="4" t="str">
        <f ca="1">IFERROR(__xludf.DUMMYFUNCTION("""COMPUTED_VALUE"""),"परभृता मदनक्षतचेतसां प्रियसखी लघुवागिव योषितां । प्रियतमानकरोत्कलहान्तरे मृदुरवा दुरवापसमागमान् ||")</f>
        <v>परभृता मदनक्षतचेतसां प्रियसखी लघुवागिव योषितां । प्रियतमानकरोत्कलहान्तरे मृदुरवा दुरवापसमागमान् ||</v>
      </c>
      <c r="B716" s="4" t="s">
        <v>12</v>
      </c>
      <c r="C716" s="4"/>
    </row>
    <row r="717" spans="1:3" ht="24" customHeight="1">
      <c r="A717" s="4" t="str">
        <f ca="1">IFERROR(__xludf.DUMMYFUNCTION("""COMPUTED_VALUE"""),"व्रणगुरुप्रमदाधरदुःसहं जघननिर्विषयीकृतमेखलं । न खलु तावदशेषं अपोहितुं रविरलं विरलं कृतवान्हिमं ||")</f>
        <v>व्रणगुरुप्रमदाधरदुःसहं जघननिर्विषयीकृतमेखलं । न खलु तावदशेषं अपोहितुं रविरलं विरलं कृतवान्हिमं ||</v>
      </c>
      <c r="B717" s="4" t="s">
        <v>12</v>
      </c>
      <c r="C717" s="4"/>
    </row>
    <row r="718" spans="1:3" ht="24" customHeight="1">
      <c r="A718" s="4" t="str">
        <f ca="1">IFERROR(__xludf.DUMMYFUNCTION("""COMPUTED_VALUE"""),"विशदचन्द्रकरं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||")</f>
        <v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||</v>
      </c>
      <c r="B718" s="4" t="s">
        <v>12</v>
      </c>
      <c r="C718" s="4"/>
    </row>
    <row r="719" spans="1:3" ht="24" customHeight="1">
      <c r="A719" s="4" t="str">
        <f ca="1">IFERROR(__xludf.DUMMYFUNCTION("""COMPUTED_VALUE"""),"अभिनयान्परिचेतुं इवोद्यता मलयमारुतकम्पितपल्लवा । अमदयत्सहकारलता मनः सकलिका कलिकामजितां अपि ||")</f>
        <v>अभिनयान्परिचेतुं इवोद्यता मलयमारुतकम्पितपल्लवा । अमदयत्सहकारलता मनः सकलिका कलिकामजितां अपि ||</v>
      </c>
      <c r="B719" s="4" t="s">
        <v>9</v>
      </c>
      <c r="C719" s="4"/>
    </row>
    <row r="720" spans="1:3" ht="24" customHeight="1">
      <c r="A720" s="4" t="str">
        <f ca="1">IFERROR(__xludf.DUMMYFUNCTION("""COMPUTED_VALUE"""),"नयगुणोपचितां इव भूपतेः सदुपकारफलां श्रियं अर्थिनः । अभिययुः सरसो मधुसंभृतां कमलिनीं अलिनीरपत्रिणः ||")</f>
        <v>नयगुणोपचितां इव भूपतेः सदुपकारफलां श्रियं अर्थिनः । अभिययुः सरसो मधुसंभृतां कमलिनीं अलिनीरपत्रिणः ||</v>
      </c>
      <c r="B720" s="4" t="s">
        <v>7</v>
      </c>
      <c r="C720" s="4"/>
    </row>
    <row r="721" spans="1:3" ht="24" customHeight="1">
      <c r="A721" s="4" t="str">
        <f ca="1">IFERROR(__xludf.DUMMYFUNCTION("""COMPUTED_VALUE"""),"दशनचन्द्रिकया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||")</f>
        <v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||</v>
      </c>
      <c r="B721" s="4" t="s">
        <v>6</v>
      </c>
      <c r="C721" s="4"/>
    </row>
    <row r="722" spans="1:3" ht="24" customHeight="1">
      <c r="A722" s="4" t="str">
        <f ca="1">IFERROR(__xludf.DUMMYFUNCTION("""COMPUTED_VALUE"""),"कुसुमं एव न केवलं आर्तवं नवं अशोकतरोः स्मरदीपनं । किसलयप्रसवोऽपि विलासिनां मदयिता दयिताश्रवणार्पितः ||")</f>
        <v>कुसुमं एव न केवलं आर्तवं नवं अशोकतरोः स्मरदीपनं । किसलयप्रसवोऽपि विलासिनां मदयिता दयिताश्रवणार्पितः ||</v>
      </c>
      <c r="B722" s="4" t="s">
        <v>2</v>
      </c>
      <c r="C722" s="4"/>
    </row>
    <row r="723" spans="1:3" ht="24" customHeight="1">
      <c r="A723" s="4" t="str">
        <f ca="1">IFERROR(__xludf.DUMMYFUNCTION("""COMPUTED_VALUE"""),"विरचिता मधुनोपवन्श्रियां अभिनवा इव पत्त्रविशेषकाः । मधुलिहां मधुदानविशारदाः कुरबका रवकारणतां ययुः ||")</f>
        <v>विरचिता मधुनोपवन्श्रियां अभिनवा इव पत्त्रविशेषकाः । मधुलिहां मधुदानविशारदाः कुरबका रवकारणतां ययुः ||</v>
      </c>
      <c r="B723" s="4" t="s">
        <v>5</v>
      </c>
      <c r="C723" s="4"/>
    </row>
    <row r="724" spans="1:3" ht="24" customHeight="1">
      <c r="A724" s="4" t="str">
        <f ca="1">IFERROR(__xludf.DUMMYFUNCTION("""COMPUTED_VALUE"""),"सुवदनावदनासवसंभृतस्तदनुवादिगुणः कुसुमोद्गमः । मधुकरैरकरोन्मधुलोलुपैर्बकुलं आकुलं आयतपङ्क्तिभिः ||")</f>
        <v>सुवदनावदनासवसंभृतस्तदनुवादिगुणः कुसुमोद्गमः । मधुकरैरकरोन्मधुलोलुपैर्बकुलं आकुलं आयतपङ्क्तिभिः ||</v>
      </c>
      <c r="B724" s="4" t="s">
        <v>6</v>
      </c>
      <c r="C724" s="4"/>
    </row>
    <row r="725" spans="1:3" ht="24" customHeight="1">
      <c r="A725" s="4" t="str">
        <f ca="1">IFERROR(__xludf.DUMMYFUNCTION("""COMPUTED_VALUE"""),"सुवदनावदनासवसंभृतस्तदनुवादिगुणः कुसुमोद्गमः । ति दयात इवाभवदायता न रजनी रजनीशवती मधौ ||")</f>
        <v>सुवदनावदनासवसंभृतस्तदनुवादिगुणः कुसुमोद्गमः । ति दयात इवाभवदायता न रजनी रजनीशवती मधौ ||</v>
      </c>
      <c r="B725" s="4" t="s">
        <v>20</v>
      </c>
      <c r="C725" s="4"/>
    </row>
    <row r="726" spans="1:3" ht="24" customHeight="1">
      <c r="A726" s="4" t="str">
        <f ca="1">IFERROR(__xludf.DUMMYFUNCTION("""COMPUTED_VALUE"""),"प्रथमं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||")</f>
        <v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||</v>
      </c>
      <c r="B726" s="4" t="s">
        <v>13</v>
      </c>
      <c r="C726" s="4"/>
    </row>
    <row r="727" spans="1:3" ht="24" customHeight="1">
      <c r="A727" s="4" t="str">
        <f ca="1">IFERROR(__xludf.DUMMYFUNCTION("""COMPUTED_VALUE"""),"श्रुतिसुखभ्रमरस्वनगीतयः कुसुमक्ॐअलदन्तरुचो बभुः । उपवनान्तलताः पवनाहतैः किसलयैः सलयैरिव पाणिभिः ||")</f>
        <v>श्रुतिसुखभ्रमरस्वनगीतयः कुसुमक्ॐअलदन्तरुचो बभुः । उपवनान्तलताः पवनाहतैः किसलयैः सलयैरिव पाणिभिः ||</v>
      </c>
      <c r="B727" s="4" t="s">
        <v>6</v>
      </c>
      <c r="C727" s="4"/>
    </row>
    <row r="728" spans="1:3" ht="24" customHeight="1">
      <c r="A728" s="4" t="str">
        <f ca="1">IFERROR(__xludf.DUMMYFUNCTION("""COMPUTED_VALUE"""),"ललितविभ्रमबन्धविचक्षणं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||")</f>
        <v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||</v>
      </c>
      <c r="B728" s="4" t="s">
        <v>2</v>
      </c>
      <c r="C728" s="4"/>
    </row>
    <row r="729" spans="1:3" ht="24" customHeight="1">
      <c r="A729" s="4" t="str">
        <f ca="1">IFERROR(__xludf.DUMMYFUNCTION("""COMPUTED_VALUE"""),"तिलकमस्तकहर्म्यकृतास्पदैः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||")</f>
        <v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||</v>
      </c>
      <c r="B729" s="4" t="s">
        <v>14</v>
      </c>
      <c r="C729" s="4"/>
    </row>
    <row r="730" spans="1:3" ht="24" customHeight="1">
      <c r="A730" s="4" t="str">
        <f ca="1">IFERROR(__xludf.DUMMYFUNCTION("""COMPUTED_VALUE"""),"शुशुभिरे स्मितचारुतराननाः स्त्रिय इव श्लथशिञ्जितमेखलाः । विकचतामरसा गृहदीर्घिका मदकलोदकलोलविहंगमाः ||")</f>
        <v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||</v>
      </c>
      <c r="B730" s="4" t="s">
        <v>12</v>
      </c>
      <c r="C730" s="4"/>
    </row>
    <row r="731" spans="1:3" ht="24" customHeight="1">
      <c r="A731" s="4" t="str">
        <f ca="1">IFERROR(__xludf.DUMMYFUNCTION("""COMPUTED_VALUE"""),"लघयति स्म न पत्यपराधजं न सहकारतरुस्तरुणीधृतं । कुसुमितो नमितोऽलिभिरुन्मदैः स्मरसमाधिसमाधिकरोषितं ||")</f>
        <v>लघयति स्म न पत्यपराधजं न सहकारतरुस्तरुणीधृतं । कुसुमितो नमितोऽलिभिरुन्मदैः स्मरसमाधिसमाधिकरोषितं ||</v>
      </c>
      <c r="B731" s="4" t="s">
        <v>2</v>
      </c>
      <c r="C731" s="4"/>
    </row>
    <row r="732" spans="1:3" ht="24" customHeight="1">
      <c r="A732" s="4" t="str">
        <f ca="1">IFERROR(__xludf.DUMMYFUNCTION("""COMPUTED_VALUE"""),"उपययौ तनुतां मधुखण्डिता हिमकरोदयपाण्डुमुखच्छविः । सदृशं इष्टसमागमनिर्वृतिं वनितयाऽनितया रजनीवधूः ||")</f>
        <v>उपययौ तनुतां मधुखण्डिता हिमकरोदयपाण्डुमुखच्छविः । सदृशं इष्टसमागमनिर्वृतिं वनितयाऽनितया रजनीवधूः ||</v>
      </c>
      <c r="B732" s="4" t="s">
        <v>20</v>
      </c>
      <c r="C732" s="4"/>
    </row>
    <row r="733" spans="1:3" ht="24" customHeight="1">
      <c r="A733" s="4" t="str">
        <f ca="1">IFERROR(__xludf.DUMMYFUNCTION("""COMPUTED_VALUE"""),"अपतुषारतया विशदप्रभैः सुरतराग परिश्रमनोदिभिः । कुसुमचापं अतेजयदंशुभिर्हिमकरो मकरोजितकेतनं ||")</f>
        <v>अपतुषारतया विशदप्रभैः सुरतराग परिश्रमनोदिभिः । कुसुमचापं अतेजयदंशुभिर्हिमकरो मकरोजितकेतनं ||</v>
      </c>
      <c r="B733" s="4" t="s">
        <v>1</v>
      </c>
      <c r="C733" s="4"/>
    </row>
    <row r="734" spans="1:3" ht="24" customHeight="1">
      <c r="A734" s="4" t="str">
        <f ca="1">IFERROR(__xludf.DUMMYFUNCTION("""COMPUTED_VALUE"""),"हुतहुताशनदीप्ति वन्श्रियः प्रतिनिधिः कनकाभरणस्य यथ् । युवतयः कुसुमं दधुराहितं तद्(?) अलके दलकेसरपेशलं ||")</f>
        <v>हुतहुताशनदीप्ति वन्श्रियः प्रतिनिधिः कनकाभरणस्य यथ् । युवतयः कुसुमं दधुराहितं तद्(?) अलके दलकेसरपेशलं ||</v>
      </c>
      <c r="B734" s="4" t="s">
        <v>11</v>
      </c>
      <c r="C734" s="4"/>
    </row>
    <row r="735" spans="1:3" ht="24" customHeight="1">
      <c r="A735" s="4" t="str">
        <f ca="1">IFERROR(__xludf.DUMMYFUNCTION("""COMPUTED_VALUE"""),"अलिभिरञ्जनबिन्दुमओहरैः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||")</f>
        <v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||</v>
      </c>
      <c r="B735" s="4" t="s">
        <v>4</v>
      </c>
      <c r="C735" s="4"/>
    </row>
    <row r="736" spans="1:3" ht="24" customHeight="1">
      <c r="A736" s="4" t="str">
        <f ca="1">IFERROR(__xludf.DUMMYFUNCTION("""COMPUTED_VALUE"""),"अमदयन्मद्घुगन्धसनाथया किसलयाधरसंगतया मनः । कुसुमसंभ्ट्तया नवमल्लिका स्मितरुचा तरुचारुविलासिनी ||")</f>
        <v>अमदयन्मद्घुगन्धसनाथया किसलयाधरसंगतया मनः । कुसुमसंभ्ट्तया नवमल्लिका स्मितरुचा तरुचारुविलासिनी ||</v>
      </c>
      <c r="B736" s="4" t="s">
        <v>1</v>
      </c>
      <c r="C736" s="4"/>
    </row>
    <row r="737" spans="1:3" ht="24" customHeight="1">
      <c r="A737" s="4" t="str">
        <f ca="1">IFERROR(__xludf.DUMMYFUNCTION("""COMPUTED_VALUE"""),"अनलसान्यभृताऽनलसान्मनः कमलधूलिभृता मरुतेरिता । कुसुमभारनताध्वगयोषितां असमशोकं अशोकलताऽकरोथ् ||")</f>
        <v>अनलसान्यभृताऽनलसान्मनः कमलधूलिभृता मरुतेरिता । कुसुमभारनताध्वगयोषितां असमशोकं अशोकलताऽकरोथ् ||</v>
      </c>
      <c r="B737" s="4" t="s">
        <v>0</v>
      </c>
      <c r="C737" s="4"/>
    </row>
    <row r="738" spans="1:3" ht="24" customHeight="1">
      <c r="A738" s="4" t="str">
        <f ca="1">IFERROR(__xludf.DUMMYFUNCTION("""COMPUTED_VALUE"""),"अरुणरागनिषेधिभिरंशुकैः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||")</f>
        <v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||</v>
      </c>
      <c r="B738" s="4" t="s">
        <v>2</v>
      </c>
      <c r="C738" s="4"/>
    </row>
    <row r="739" spans="1:3" ht="24" customHeight="1">
      <c r="A739" s="4" t="str">
        <f ca="1">IFERROR(__xludf.DUMMYFUNCTION("""COMPUTED_VALUE"""),"उपचितावयवा शुचिभिः कणैरलिकदम्बकयोगं उपेयुषी । सदृशकान्तिरलक्ष्यत मञ्जरी तिलकजाऽलकजालकमौक्तिकैः ||")</f>
        <v>उपचितावयवा शुचिभिः कणैरलिकदम्बकयोगं उपेयुषी । सदृशकान्तिरलक्ष्यत मञ्जरी तिलकजाऽलकजालकमौक्तिकैः ||</v>
      </c>
      <c r="B739" s="4" t="s">
        <v>19</v>
      </c>
      <c r="C739" s="4"/>
    </row>
    <row r="740" spans="1:3" ht="24" customHeight="1">
      <c r="A740" s="4" t="str">
        <f ca="1">IFERROR(__xludf.DUMMYFUNCTION("""COMPUTED_VALUE"""),"ध्वजपटं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||")</f>
        <v>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||</v>
      </c>
      <c r="B740" s="4" t="s">
        <v>5</v>
      </c>
      <c r="C740" s="4"/>
    </row>
    <row r="741" spans="1:3" ht="24" customHeight="1">
      <c r="A741" s="4" t="str">
        <f ca="1">IFERROR(__xludf.DUMMYFUNCTION("""COMPUTED_VALUE"""),"अनुभवन्नवदोलं ऋतूत्सवं पटुर्पै प्रियकण्ठजिगृक्षया । अनयदासनरज्जुपरिग्रहे भुजलतां जडतां अबलाजनः ||")</f>
        <v>अनुभवन्नवदोलं ऋतूत्सवं पटुर्पै प्रियकण्ठजिगृक्षया । अनयदासनरज्जुपरिग्रहे भुजलतां जडतां अबलाजनः ||</v>
      </c>
      <c r="B741" s="4" t="s">
        <v>1</v>
      </c>
      <c r="C741" s="4"/>
    </row>
    <row r="742" spans="1:3" ht="24" customHeight="1">
      <c r="A742" s="4" t="str">
        <f ca="1">IFERROR(__xludf.DUMMYFUNCTION("""COMPUTED_VALUE"""),"त्यजत मानं अलं बत बिग्रहैर्न पुनरेति गतं चतुरं वयः । परभृताभिरितीव निवेदिते स्मरमते रमते स्म वधूजनः ||")</f>
        <v>त्यजत मानं अलं बत बिग्रहैर्न पुनरेति गतं चतुरं वयः । परभृताभिरितीव निवेदिते स्मरमते रमते स्म वधूजनः ||</v>
      </c>
      <c r="B742" s="4" t="s">
        <v>1</v>
      </c>
      <c r="C742" s="4"/>
    </row>
    <row r="743" spans="1:3" ht="24" customHeight="1">
      <c r="A743" s="4" t="str">
        <f ca="1">IFERROR(__xludf.DUMMYFUNCTION("""COMPUTED_VALUE"""),"अथ यथासुखं आर्तवं उत्सवं समनुभूय विलासवतीसखः । नरपतिश्चकमे मृगयारतिं स मधुमन्मधुमन्मथसंनिभः ||")</f>
        <v>अथ यथासुखं आर्तवं उत्सवं समनुभूय विलासवतीसखः । नरपतिश्चकमे मृगयारतिं स मधुमन्मधुमन्मथसंनिभः ||</v>
      </c>
      <c r="B743" s="4" t="s">
        <v>6</v>
      </c>
      <c r="C743" s="4"/>
    </row>
    <row r="744" spans="1:3" ht="24" customHeight="1">
      <c r="A744" s="4" t="str">
        <f ca="1">IFERROR(__xludf.DUMMYFUNCTION("""COMPUTED_VALUE"""),"परिचयं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||")</f>
        <v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||</v>
      </c>
      <c r="B744" s="4" t="s">
        <v>5</v>
      </c>
      <c r="C744" s="4"/>
    </row>
    <row r="745" spans="1:3" ht="24" customHeight="1">
      <c r="A745" s="4" t="str">
        <f ca="1">IFERROR(__xludf.DUMMYFUNCTION("""COMPUTED_VALUE"""),"मृगवनोपगमक्षमवेषभृद्विपुलकण्ठनिषक्तशरासनः । गगनं अश्वखुरोद्धुत रेणुभिर्नृसविता सवितानं इवाकरोथ् ||")</f>
        <v>मृगवनोपगमक्षमवेषभृद्विपुलकण्ठनिषक्तशरासनः । गगनं अश्वखुरोद्धुत रेणुभिर्नृसविता सवितानं इवाकरोथ् ||</v>
      </c>
      <c r="B745" s="4" t="s">
        <v>0</v>
      </c>
      <c r="C745" s="4"/>
    </row>
    <row r="746" spans="1:3" ht="24" customHeight="1">
      <c r="A746" s="4" t="str">
        <f ca="1">IFERROR(__xludf.DUMMYFUNCTION("""COMPUTED_VALUE"""),"ग्रथितमौलिरसौ वनमालया तरु पलाशसवर्णतनुच्छदः । तुरगवल्गनचण्चलकुण्डलो विरुरुचे रुरुचेष्टितभूमिषु ||")</f>
        <v>ग्रथितमौलिरसौ वनमालया तरु पलाशसवर्णतनुच्छदः । तुरगवल्गनचण्चलकुण्डलो विरुरुचे रुरुचेष्टितभूमिषु ||</v>
      </c>
      <c r="B746" s="4" t="s">
        <v>13</v>
      </c>
      <c r="C746" s="4"/>
    </row>
    <row r="747" spans="1:3" ht="24" customHeight="1">
      <c r="A747" s="4" t="str">
        <f ca="1">IFERROR(__xludf.DUMMYFUNCTION("""COMPUTED_VALUE"""),"तनुलताविनिवेशितविग्रहा भ्रमरसंक्रमितेक्षणवृत्तयः । ददृषुरध्वनि तं वनदेवताः सुनयनं नयनन्दितकोसलं ||")</f>
        <v>तनुलताविनिवेशितविग्रहा भ्रमरसंक्रमितेक्षणवृत्तयः । ददृषुरध्वनि तं वनदेवताः सुनयनं नयनन्दितकोसलं ||</v>
      </c>
      <c r="B747" s="4" t="s">
        <v>11</v>
      </c>
      <c r="C747" s="4"/>
    </row>
    <row r="748" spans="1:3" ht="24" customHeight="1">
      <c r="A748" s="4" t="str">
        <f ca="1">IFERROR(__xludf.DUMMYFUNCTION("""COMPUTED_VALUE"""),"श्वगण्वागुरिकैः प्रथमास्थितं व्यपगतानलदस्यु विवेश सः । स्थिरतुरंगमभूमि निपानवन्मृगवयोगवयोपचितं वनं ||")</f>
        <v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||</v>
      </c>
      <c r="B748" s="4" t="s">
        <v>1</v>
      </c>
      <c r="C748" s="4"/>
    </row>
    <row r="749" spans="1:3" ht="24" customHeight="1">
      <c r="A749" s="4" t="str">
        <f ca="1">IFERROR(__xludf.DUMMYFUNCTION("""COMPUTED_VALUE"""),"अथ नभस्य इव त्रिदशायुधं कनकपिङ्गतडिद्गुणसंयुतं । धनुर्रधिज्यं अनाधिरुपाददे नरवरो रवरोषितकेसरी ||")</f>
        <v>अथ नभस्य इव त्रिदशायुधं कनकपिङ्गतडिद्गुणसंयुतं । धनुर्रधिज्यं अनाधिरुपाददे नरवरो रवरोषितकेसरी ||</v>
      </c>
      <c r="B749" s="4" t="s">
        <v>0</v>
      </c>
      <c r="C749" s="4"/>
    </row>
    <row r="750" spans="1:3" ht="24" customHeight="1">
      <c r="A750" s="4" t="str">
        <f ca="1">IFERROR(__xludf.DUMMYFUNCTION("""COMPUTED_VALUE"""),"तस्य स्तनप्रणयिभिर्मुहुरेणशावैर्व्याहन्यमानहरिणीगमनं पुरस्ताथ् । आविर्बभूव कुशगर्भमुखं मृगाणां यूथं तदग्रसरगर्वितकृष्नसारं ||")</f>
        <v>तस्य स्तनप्रणयिभिर्मुहुरेणशावैर्व्याहन्यमानहरिणीगमनं पुरस्ताथ् । आविर्बभूव कुशगर्भमुखं मृगाणां यूथं तदग्रसरगर्वितकृष्नसारं ||</v>
      </c>
      <c r="B750" s="4" t="s">
        <v>0</v>
      </c>
      <c r="C750" s="4"/>
    </row>
    <row r="751" spans="1:3" ht="24" customHeight="1">
      <c r="A751" s="4" t="str">
        <f ca="1">IFERROR(__xludf.DUMMYFUNCTION("""COMPUTED_VALUE"""),"तत्प्रार्थितं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||")</f>
        <v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||</v>
      </c>
      <c r="B751" s="4" t="s">
        <v>6</v>
      </c>
      <c r="C751" s="4"/>
    </row>
    <row r="752" spans="1:3" ht="24" customHeight="1">
      <c r="A752" s="4" t="str">
        <f ca="1">IFERROR(__xludf.DUMMYFUNCTION("""COMPUTED_VALUE"""),"लक्ष्यीकृतस्य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||")</f>
        <v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||</v>
      </c>
      <c r="B752" s="4" t="s">
        <v>0</v>
      </c>
      <c r="C752" s="4"/>
    </row>
    <row r="753" spans="1:3" ht="24" customHeight="1">
      <c r="A753" s="4" t="str">
        <f ca="1">IFERROR(__xludf.DUMMYFUNCTION("""COMPUTED_VALUE"""),"तस्यापरेष्वपि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||")</f>
        <v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||</v>
      </c>
      <c r="B753" s="4" t="s">
        <v>1</v>
      </c>
      <c r="C753" s="4"/>
    </row>
    <row r="754" spans="1:3" ht="24" customHeight="1">
      <c r="A754" s="4" t="str">
        <f ca="1">IFERROR(__xludf.DUMMYFUNCTION("""COMPUTED_VALUE"""),"उत्तस्थुषः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||")</f>
        <v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||</v>
      </c>
      <c r="B754" s="4" t="s">
        <v>6</v>
      </c>
      <c r="C754" s="4"/>
    </row>
    <row r="755" spans="1:3" ht="24" customHeight="1">
      <c r="A755" s="4" t="str">
        <f ca="1">IFERROR(__xludf.DUMMYFUNCTION("""COMPUTED_VALUE"""),"तं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||")</f>
        <v>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||</v>
      </c>
      <c r="B755" s="4" t="s">
        <v>13</v>
      </c>
      <c r="C755" s="4"/>
    </row>
    <row r="756" spans="1:3" ht="24" customHeight="1">
      <c r="A756" s="4" t="str">
        <f ca="1">IFERROR(__xludf.DUMMYFUNCTION("""COMPUTED_VALUE"""),"तेनाभिघातरभसस्य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प्रथमं आस पपात पश्चाथ् ||")</f>
        <v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प्रथमं आस पपात पश्चाथ् ||</v>
      </c>
      <c r="B756" s="4" t="s">
        <v>16</v>
      </c>
      <c r="C756" s="4"/>
    </row>
    <row r="757" spans="1:3" ht="24" customHeight="1">
      <c r="A757" s="4" t="str">
        <f ca="1">IFERROR(__xludf.DUMMYFUNCTION("""COMPUTED_VALUE"""),"प्रायो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||")</f>
        <v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||</v>
      </c>
      <c r="B757" s="4" t="s">
        <v>5</v>
      </c>
      <c r="C757" s="4"/>
    </row>
    <row r="758" spans="1:3" ht="24" customHeight="1">
      <c r="A758" s="4" t="str">
        <f ca="1">IFERROR(__xludf.DUMMYFUNCTION("""COMPUTED_VALUE"""),"व्याघ्रानभीरभिमुखोपतितान्गुहाभ्यः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||")</f>
        <v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||</v>
      </c>
      <c r="B758" s="4" t="s">
        <v>0</v>
      </c>
      <c r="C758" s="4"/>
    </row>
    <row r="759" spans="1:3" ht="24" customHeight="1">
      <c r="A759" s="4" t="str">
        <f ca="1">IFERROR(__xludf.DUMMYFUNCTION("""COMPUTED_VALUE"""),"निर्घातोग्रैः कुञ्जलीनाञ्जिघांसुर्ज्यानिर्घोषैः क्षोभयां आस सिंहान् । नूनं तेषां अभ्यसूयापरोऽभूद्वीर्योदग्रे राजशब्दे मृगेषु ||")</f>
        <v>निर्घातोग्रैः कुञ्जलीनाञ्जिघांसुर्ज्यानिर्घोषैः क्षोभयां आस सिंहान् । नूनं तेषां अभ्यसूयापरोऽभूद्वीर्योदग्रे राजशब्दे मृगेषु ||</v>
      </c>
      <c r="B759" s="4" t="s">
        <v>13</v>
      </c>
      <c r="C759" s="4"/>
    </row>
    <row r="760" spans="1:3" ht="24" customHeight="1">
      <c r="A760" s="4" t="str">
        <f ca="1">IFERROR(__xludf.DUMMYFUNCTION("""COMPUTED_VALUE"""),"तान्हत्वा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||")</f>
        <v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||</v>
      </c>
      <c r="B760" s="4" t="s">
        <v>2</v>
      </c>
      <c r="C760" s="4"/>
    </row>
    <row r="761" spans="1:3" ht="24" customHeight="1">
      <c r="A761" s="4" t="str">
        <f ca="1">IFERROR(__xludf.DUMMYFUNCTION("""COMPUTED_VALUE"""),"चमरान्परितः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||")</f>
        <v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||</v>
      </c>
      <c r="B761" s="4" t="s">
        <v>2</v>
      </c>
      <c r="C761" s="4"/>
    </row>
    <row r="762" spans="1:3" ht="24" customHeight="1">
      <c r="A762" s="4" t="str">
        <f ca="1">IFERROR(__xludf.DUMMYFUNCTION("""COMPUTED_VALUE"""),"अपि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||")</f>
        <v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||</v>
      </c>
      <c r="B762" s="4" t="s">
        <v>5</v>
      </c>
      <c r="C762" s="4"/>
    </row>
    <row r="763" spans="1:3" ht="24" customHeight="1">
      <c r="A763" s="4" t="str">
        <f ca="1">IFERROR(__xludf.DUMMYFUNCTION("""COMPUTED_VALUE"""),"तस्य कर्कशविहार्संभवं स्वेदं आननविलग्नजालकं । आचचाम सतुषारशीकरो भिन्नपल्लवपुटो वनानिलः ||")</f>
        <v>तस्य कर्कशविहार्संभवं स्वेदं आननविलग्नजालकं । आचचाम सतुषारशीकरो भिन्नपल्लवपुटो वनानिलः ||</v>
      </c>
      <c r="B763" s="4" t="s">
        <v>11</v>
      </c>
      <c r="C763" s="4"/>
    </row>
    <row r="764" spans="1:3" ht="24" customHeight="1">
      <c r="A764" s="4" t="str">
        <f ca="1">IFERROR(__xludf.DUMMYFUNCTION("""COMPUTED_VALUE"""),"इति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||")</f>
        <v>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||</v>
      </c>
      <c r="B764" s="4" t="s">
        <v>1</v>
      </c>
      <c r="C764" s="4"/>
    </row>
    <row r="765" spans="1:3" ht="24" customHeight="1">
      <c r="A765" s="4" t="str">
        <f ca="1">IFERROR(__xludf.DUMMYFUNCTION("""COMPUTED_VALUE"""),"स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||")</f>
        <v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||</v>
      </c>
      <c r="B765" s="4" t="s">
        <v>12</v>
      </c>
      <c r="C765" s="4"/>
    </row>
    <row r="766" spans="1:3" ht="24" customHeight="1">
      <c r="A766" s="4" t="str">
        <f ca="1">IFERROR(__xludf.DUMMYFUNCTION("""COMPUTED_VALUE"""),"उषसि स गजयूथकर्णतालैः पटुपटधवनिभिर्विनीतनिद्रः । अरमत मधुराणि तत्र शृण्वन्विहगविकूजितबन्दिमङ्गलानि ||")</f>
        <v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||</v>
      </c>
      <c r="B766" s="4" t="s">
        <v>1</v>
      </c>
      <c r="C766" s="4"/>
    </row>
    <row r="767" spans="1:3" ht="24" customHeight="1">
      <c r="A767" s="4" t="str">
        <f ca="1">IFERROR(__xludf.DUMMYFUNCTION("""COMPUTED_VALUE"""),"अथ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||")</f>
        <v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||</v>
      </c>
      <c r="B767" s="4" t="s">
        <v>7</v>
      </c>
      <c r="C767" s="4"/>
    </row>
    <row r="768" spans="1:3" ht="24" customHeight="1">
      <c r="A768" s="4" t="str">
        <f ca="1">IFERROR(__xludf.DUMMYFUNCTION("""COMPUTED_VALUE"""),"कुम्भपूरणभवः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||")</f>
        <v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||</v>
      </c>
      <c r="B768" s="4" t="s">
        <v>3</v>
      </c>
      <c r="C768" s="4"/>
    </row>
    <row r="769" spans="1:3" ht="24" customHeight="1">
      <c r="A769" s="4" t="str">
        <f ca="1">IFERROR(__xludf.DUMMYFUNCTION("""COMPUTED_VALUE"""),"नृपतेः प्रतिषिद्धं एव तत्कृतवान्पङ्क्तिरथो विलङ्घ्य यथ् । अपथे पदं अर्पयन्ति हि श्रुतवन्तोऽपि रजोनिमीलिताः ||")</f>
        <v>नृपतेः प्रतिषिद्धं एव तत्कृतवान्पङ्क्तिरथो विलङ्घ्य यथ् । अपथे पदं अर्पयन्ति हि श्रुतवन्तोऽपि रजोनिमीलिताः ||</v>
      </c>
      <c r="B769" s="4" t="s">
        <v>2</v>
      </c>
      <c r="C769" s="4"/>
    </row>
    <row r="770" spans="1:3" ht="24" customHeight="1">
      <c r="A770" s="4" t="str">
        <f ca="1">IFERROR(__xludf.DUMMYFUNCTION("""COMPUTED_VALUE"""),"हा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||")</f>
        <v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||</v>
      </c>
      <c r="B770" s="4" t="s">
        <v>9</v>
      </c>
      <c r="C770" s="4"/>
    </row>
    <row r="771" spans="1:3" ht="24" customHeight="1">
      <c r="A771" s="4" t="str">
        <f ca="1">IFERROR(__xludf.DUMMYFUNCTION("""COMPUTED_VALUE"""),"तेनावतीर्य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||")</f>
        <v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||</v>
      </c>
      <c r="B771" s="4" t="s">
        <v>4</v>
      </c>
      <c r="C771" s="4"/>
    </row>
    <row r="772" spans="1:3" ht="24" customHeight="1">
      <c r="A772" s="4" t="str">
        <f ca="1">IFERROR(__xludf.DUMMYFUNCTION("""COMPUTED_VALUE"""),"तच्चोदितः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||")</f>
        <v>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||</v>
      </c>
      <c r="B772" s="4" t="s">
        <v>18</v>
      </c>
      <c r="C772" s="4"/>
    </row>
    <row r="773" spans="1:3" ht="24" customHeight="1">
      <c r="A773" s="4" t="str">
        <f ca="1">IFERROR(__xludf.DUMMYFUNCTION("""COMPUTED_VALUE"""),"तौ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||")</f>
        <v>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||</v>
      </c>
      <c r="B773" s="4" t="s">
        <v>20</v>
      </c>
      <c r="C773" s="4"/>
    </row>
    <row r="774" spans="1:3" ht="24" customHeight="1">
      <c r="A774" s="4" t="str">
        <f ca="1">IFERROR(__xludf.DUMMYFUNCTION("""COMPUTED_VALUE"""),"दिष्टान्तं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||")</f>
        <v>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||</v>
      </c>
      <c r="B774" s="4" t="s">
        <v>17</v>
      </c>
      <c r="C774" s="4"/>
    </row>
    <row r="775" spans="1:3" ht="24" customHeight="1">
      <c r="A775" s="4" t="str">
        <f ca="1">IFERROR(__xludf.DUMMYFUNCTION("""COMPUTED_VALUE"""),"शापोऽप्यदृष्टतनयाननपद्मशोभे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||")</f>
        <v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||</v>
      </c>
      <c r="B775" s="4" t="s">
        <v>2</v>
      </c>
      <c r="C775" s="4"/>
    </row>
    <row r="776" spans="1:3" ht="24" customHeight="1">
      <c r="A776" s="4" t="str">
        <f ca="1">IFERROR(__xludf.DUMMYFUNCTION("""COMPUTED_VALUE"""),"इत्थं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||")</f>
        <v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||</v>
      </c>
      <c r="B776" s="4" t="s">
        <v>0</v>
      </c>
      <c r="C776" s="4"/>
    </row>
    <row r="777" spans="1:3" ht="24" customHeight="1">
      <c r="A777" s="4" t="str">
        <f ca="1">IFERROR(__xludf.DUMMYFUNCTION("""COMPUTED_VALUE"""),"प्रातानुगः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||")</f>
        <v>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||</v>
      </c>
      <c r="B777" s="4" t="s">
        <v>8</v>
      </c>
      <c r="C777" s="4"/>
    </row>
    <row r="778" spans="1:3" ht="24" customHeight="1">
      <c r="A778" s="4" t="str">
        <f ca="1">IFERROR(__xludf.DUMMYFUNCTION("""COMPUTED_VALUE"""),"पृथिवीं शासतस्तस्य पाकशासनतेजसः । किंचिदूनं अनूनर्द्धेः शरदां अयुतं ययौ ||")</f>
        <v>पृथिवीं शासतस्तस्य पाकशासनतेजसः । किंचिदूनं अनूनर्द्धेः शरदां अयुतं ययौ ||</v>
      </c>
      <c r="B778" s="4" t="s">
        <v>5</v>
      </c>
      <c r="C778" s="4"/>
    </row>
    <row r="779" spans="1:3" ht="24" customHeight="1">
      <c r="A779" s="4" t="str">
        <f ca="1">IFERROR(__xludf.DUMMYFUNCTION("""COMPUTED_VALUE"""),"न चोपलेभे पूर्वेषां ऋणनिर्मोक्षसाधनं । सुताभिधानं स ज्योतिः सद्यः शोकतमोपहम् ||")</f>
        <v>न चोपलेभे पूर्वेषां ऋणनिर्मोक्षसाधनं । सुताभिधानं स ज्योतिः सद्यः शोकतमोपहम् ||</v>
      </c>
      <c r="B779" s="4" t="s">
        <v>24</v>
      </c>
      <c r="C779" s="4"/>
    </row>
    <row r="780" spans="1:3" ht="24" customHeight="1">
      <c r="A780" s="4" t="str">
        <f ca="1">IFERROR(__xludf.DUMMYFUNCTION("""COMPUTED_VALUE"""),"अतिष्ठत्प्रत्ययापेक्षसंततिः स चिरं नृपः । प्राङ्मन्थादनभिव्यक्तरत्नोत्पत्तिरिवार्णवः ||")</f>
        <v>अतिष्ठत्प्रत्ययापेक्षसंततिः स चिरं नृपः । प्राङ्मन्थादनभिव्यक्तरत्नोत्पत्तिरिवार्णवः ||</v>
      </c>
      <c r="B780" s="4" t="s">
        <v>4</v>
      </c>
      <c r="C780" s="4"/>
    </row>
    <row r="781" spans="1:3" ht="24" customHeight="1">
      <c r="A781" s="4" t="str">
        <f ca="1">IFERROR(__xludf.DUMMYFUNCTION("""COMPUTED_VALUE"""),"ऋष्यशृङ्गादयस्तस्य सन्तः संतानकाङ्क्षिणः । आरेभिरे जितात्मानः पुत्रीयां इष्टिं ऋत्विजः ||")</f>
        <v>ऋष्यशृङ्गादयस्तस्य सन्तः संतानकाङ्क्षिणः । आरेभिरे जितात्मानः पुत्रीयां इष्टिं ऋत्विजः ||</v>
      </c>
      <c r="B781" s="4" t="s">
        <v>3</v>
      </c>
      <c r="C781" s="4"/>
    </row>
    <row r="782" spans="1:3" ht="24" customHeight="1">
      <c r="A782" s="4" t="str">
        <f ca="1">IFERROR(__xludf.DUMMYFUNCTION("""COMPUTED_VALUE"""),"तस्मिन्नवसरे देवाः पौलस्त्योपप्लुता हरिं । अभिजग्मुर्निदाघार्ताश्छायावृक्षं इवाध्वगाः ||")</f>
        <v>तस्मिन्नवसरे देवाः पौलस्त्योपप्लुता हरिं । अभिजग्मुर्निदाघार्ताश्छायावृक्षं इवाध्वगाः ||</v>
      </c>
      <c r="B782" s="4" t="s">
        <v>15</v>
      </c>
      <c r="C782" s="4"/>
    </row>
    <row r="783" spans="1:3" ht="24" customHeight="1">
      <c r="A783" s="4" t="str">
        <f ca="1">IFERROR(__xludf.DUMMYFUNCTION("""COMPUTED_VALUE"""),"ते च प्रापुरुदन्वतं बुबुधे चादिपूरुषः । अव्याक्षेपो भविष्यन्त्याः कार्यसिद्धेर्हि लक्षणं ||")</f>
        <v>ते च प्रापुरुदन्वतं बुबुधे चादिपूरुषः । अव्याक्षेपो भविष्यन्त्याः कार्यसिद्धेर्हि लक्षणं ||</v>
      </c>
      <c r="B783" s="4" t="s">
        <v>7</v>
      </c>
      <c r="C783" s="4"/>
    </row>
    <row r="784" spans="1:3" ht="24" customHeight="1">
      <c r="A784" s="4" t="str">
        <f ca="1">IFERROR(__xludf.DUMMYFUNCTION("""COMPUTED_VALUE"""),"भोगिभोगादनासीनं ददृशुस्तं दिवौकसः । तत्फणामण्डलोदर्चिर्मणिद्योतितविग्रहम् ||")</f>
        <v>भोगिभोगादनासीनं ददृशुस्तं दिवौकसः । तत्फणामण्डलोदर्चिर्मणिद्योतितविग्रहम् ||</v>
      </c>
      <c r="B784" s="4" t="s">
        <v>24</v>
      </c>
      <c r="C784" s="4"/>
    </row>
    <row r="785" spans="1:3" ht="24" customHeight="1">
      <c r="A785" s="4" t="str">
        <f ca="1">IFERROR(__xludf.DUMMYFUNCTION("""COMPUTED_VALUE"""),"श्रियः पद्मनिषण्णायाः क्ष्ॐआन्तरितमेखले । अङ्के निक्षिप्तचरणं आस्तीर्णकरपल्लवे ||")</f>
        <v>श्रियः पद्मनिषण्णायाः क्ष्ॐआन्तरितमेखले । अङ्के निक्षिप्तचरणं आस्तीर्णकरपल्लवे ||</v>
      </c>
      <c r="B785" s="4" t="s">
        <v>4</v>
      </c>
      <c r="C785" s="4"/>
    </row>
    <row r="786" spans="1:3" ht="24" customHeight="1">
      <c r="A786" s="4" t="str">
        <f ca="1">IFERROR(__xludf.DUMMYFUNCTION("""COMPUTED_VALUE"""),"प्रबुद्धपुण्डरीकाक्षं बालातपनिभांशुकं । दिवसं शारदं इव प्रारम्भसुखदर्शनं ||")</f>
        <v>प्रबुद्धपुण्डरीकाक्षं बालातपनिभांशुकं । दिवसं शारदं इव प्रारम्भसुखदर्शनं ||</v>
      </c>
      <c r="B786" s="4" t="s">
        <v>1</v>
      </c>
      <c r="C786" s="4"/>
    </row>
    <row r="787" spans="1:3" ht="24" customHeight="1">
      <c r="A787" s="4" t="str">
        <f ca="1">IFERROR(__xludf.DUMMYFUNCTION("""COMPUTED_VALUE"""),"प्रभानुलिप्तश्रीवत्सं लक्ष्मीविभ्रमदर्पणं । कौत्सुभाख्यं अपां सारं बिभ्राणं बृहतोरसा ||")</f>
        <v>प्रभानुलिप्तश्रीवत्सं लक्ष्मीविभ्रमदर्पणं । कौत्सुभाख्यं अपां सारं बिभ्राणं बृहतोरसा ||</v>
      </c>
      <c r="B787" s="4" t="s">
        <v>18</v>
      </c>
      <c r="C787" s="4"/>
    </row>
    <row r="788" spans="1:3" ht="24" customHeight="1">
      <c r="A788" s="4" t="str">
        <f ca="1">IFERROR(__xludf.DUMMYFUNCTION("""COMPUTED_VALUE"""),"बाहुभिर्विटपाकारैर्दिव्याभरणभूषितैः । आविर्भूतं अपां मध्ये पारिजातं इवापरम् ||")</f>
        <v>बाहुभिर्विटपाकारैर्दिव्याभरणभूषितैः । आविर्भूतं अपां मध्ये पारिजातं इवापरम् ||</v>
      </c>
      <c r="B788" s="4" t="s">
        <v>0</v>
      </c>
      <c r="C788" s="4"/>
    </row>
    <row r="789" spans="1:3" ht="24" customHeight="1">
      <c r="A789" s="4" t="str">
        <f ca="1">IFERROR(__xludf.DUMMYFUNCTION("""COMPUTED_VALUE"""),"दैत्यस्त्रीगण्डलेखानां मदरागविलोपिभिः । हेतिभिश्चेतनावद्भिरुदीरितजयस्वनं ||")</f>
        <v>दैत्यस्त्रीगण्डलेखानां मदरागविलोपिभिः । हेतिभिश्चेतनावद्भिरुदीरितजयस्वनं ||</v>
      </c>
      <c r="B789" s="4" t="s">
        <v>1</v>
      </c>
      <c r="C789" s="4"/>
    </row>
    <row r="790" spans="1:3" ht="24" customHeight="1">
      <c r="A790" s="4" t="str">
        <f ca="1">IFERROR(__xludf.DUMMYFUNCTION("""COMPUTED_VALUE"""),"मुक्तशेषविरोधेन कुलिशव्रणलक्ष्मणा । उपस्थितं प्राञ्जलिना विनीतेन गरुत्मता ||")</f>
        <v>मुक्तशेषविरोधेन कुलिशव्रणलक्ष्मणा । उपस्थितं प्राञ्जलिना विनीतेन गरुत्मता ||</v>
      </c>
      <c r="B790" s="4" t="s">
        <v>2</v>
      </c>
      <c r="C790" s="4"/>
    </row>
    <row r="791" spans="1:3" ht="24" customHeight="1">
      <c r="A791" s="4" t="str">
        <f ca="1">IFERROR(__xludf.DUMMYFUNCTION("""COMPUTED_VALUE"""),"योगनिद्रान्तविशदैः पावनैरवलोकनैः । भृग्वादीननुगृह्णन्तं सौख शायनिकानृषीन् ||")</f>
        <v>योगनिद्रान्तविशदैः पावनैरवलोकनैः । भृग्वादीननुगृह्णन्तं सौख शायनिकानृषीन् ||</v>
      </c>
      <c r="B791" s="4" t="s">
        <v>13</v>
      </c>
      <c r="C791" s="4"/>
    </row>
    <row r="792" spans="1:3" ht="24" customHeight="1">
      <c r="A792" s="4" t="str">
        <f ca="1">IFERROR(__xludf.DUMMYFUNCTION("""COMPUTED_VALUE"""),"प्रणिपत्य सुरास्तस्मै शमयित्रे सुरद्विषां । अथैनं तुष्टुवुः स्तुत्यं अवाङ्मनसगोचरं ||")</f>
        <v>प्रणिपत्य सुरास्तस्मै शमयित्रे सुरद्विषां । अथैनं तुष्टुवुः स्तुत्यं अवाङ्मनसगोचरं ||</v>
      </c>
      <c r="B792" s="4" t="s">
        <v>0</v>
      </c>
      <c r="C792" s="4"/>
    </row>
    <row r="793" spans="1:3" ht="24" customHeight="1">
      <c r="A793" s="4" t="str">
        <f ca="1">IFERROR(__xludf.DUMMYFUNCTION("""COMPUTED_VALUE"""),"नमो विश्वसृजे पूर्वं विश्वं तदनु बिभ्रते । अथ विश्वस्य संहर्त्रे तुभ्यं त्रेधास्थितात्मने ||")</f>
        <v>नमो विश्वसृजे पूर्वं विश्वं तदनु बिभ्रते । अथ विश्वस्य संहर्त्रे तुभ्यं त्रेधास्थितात्मने ||</v>
      </c>
      <c r="B793" s="4" t="s">
        <v>1</v>
      </c>
      <c r="C793" s="4"/>
    </row>
    <row r="794" spans="1:3" ht="24" customHeight="1">
      <c r="A794" s="4" t="str">
        <f ca="1">IFERROR(__xludf.DUMMYFUNCTION("""COMPUTED_VALUE"""),"रसान्तराण्येकरसं यथा दिव्यं पयोऽश्नुते । देशे देशे गुणेष्वेवं अवस्थास्त्वं अविक्रियः ||")</f>
        <v>रसान्तराण्येकरसं यथा दिव्यं पयोऽश्नुते । देशे देशे गुणेष्वेवं अवस्थास्त्वं अविक्रियः ||</v>
      </c>
      <c r="B794" s="4" t="s">
        <v>5</v>
      </c>
      <c r="C794" s="4"/>
    </row>
    <row r="795" spans="1:3" ht="24" customHeight="1">
      <c r="A795" s="4" t="str">
        <f ca="1">IFERROR(__xludf.DUMMYFUNCTION("""COMPUTED_VALUE"""),"अमेयो मितलोकस्त्वं अनर्थी प्रार्थनावहः । अजितो जिष्णुरत्यन्तं अव्यक्तो व्यक्तकारणम् ||")</f>
        <v>अमेयो मितलोकस्त्वं अनर्थी प्रार्थनावहः । अजितो जिष्णुरत्यन्तं अव्यक्तो व्यक्तकारणम् ||</v>
      </c>
      <c r="B795" s="4" t="s">
        <v>7</v>
      </c>
      <c r="C795" s="4"/>
    </row>
    <row r="796" spans="1:3" ht="24" customHeight="1">
      <c r="A796" s="4" t="str">
        <f ca="1">IFERROR(__xludf.DUMMYFUNCTION("""COMPUTED_VALUE"""),"एकः कारणतस्तां तां अवस्थां प्रतिपद्यसे । नानात्वं रागसंयोगात्स्फटिकस्य्ऽएव ते स्मृतम् ||")</f>
        <v>एकः कारणतस्तां तां अवस्थां प्रतिपद्यसे । नानात्वं रागसंयोगात्स्फटिकस्य्ऽएव ते स्मृतम् ||</v>
      </c>
      <c r="B796" s="4" t="s">
        <v>2</v>
      </c>
      <c r="C796" s="4"/>
    </row>
    <row r="797" spans="1:3" ht="24" customHeight="1">
      <c r="A797" s="4" t="str">
        <f ca="1">IFERROR(__xludf.DUMMYFUNCTION("""COMPUTED_VALUE"""),"हृदयस्थं अनासन्नं अकामं त्वां तपस्विनं । दयालुं अनघस्पृष्टं पुराणं अजरं विदुः ||")</f>
        <v>हृदयस्थं अनासन्नं अकामं त्वां तपस्विनं । दयालुं अनघस्पृष्टं पुराणं अजरं विदुः ||</v>
      </c>
      <c r="B797" s="4" t="s">
        <v>17</v>
      </c>
      <c r="C797" s="4"/>
    </row>
    <row r="798" spans="1:3" ht="24" customHeight="1">
      <c r="A798" s="4" t="str">
        <f ca="1">IFERROR(__xludf.DUMMYFUNCTION("""COMPUTED_VALUE"""),"सर्वज्ञस्त्वं अविज्ञातः सर्वयोनिस्त्वं आत्मभूः । सर्वप्रभुरनीशस्त्वं एकस्त्वं सर्वरूपभाक् ||")</f>
        <v>सर्वज्ञस्त्वं अविज्ञातः सर्वयोनिस्त्वं आत्मभूः । सर्वप्रभुरनीशस्त्वं एकस्त्वं सर्वरूपभाक् ||</v>
      </c>
      <c r="B798" s="4" t="s">
        <v>6</v>
      </c>
      <c r="C798" s="4"/>
    </row>
    <row r="799" spans="1:3" ht="24" customHeight="1">
      <c r="A799" s="4" t="str">
        <f ca="1">IFERROR(__xludf.DUMMYFUNCTION("""COMPUTED_VALUE"""),"सप्तसामोपगीतं त्वां सप्तार्णवजलेशयं । सप्तार्चिर्मुखं आचख्युः सप्तलोकैकसंश्रयम् ||")</f>
        <v>सप्तसामोपगीतं त्वां सप्तार्णवजलेशयं । सप्तार्चिर्मुखं आचख्युः सप्तलोकैकसंश्रयम् ||</v>
      </c>
      <c r="B799" s="4" t="s">
        <v>5</v>
      </c>
      <c r="C799" s="4"/>
    </row>
    <row r="800" spans="1:3" ht="24" customHeight="1">
      <c r="A800" s="4" t="str">
        <f ca="1">IFERROR(__xludf.DUMMYFUNCTION("""COMPUTED_VALUE"""),"चतुर्वर्गफलं ज्ञानं कालावस्था चतुर्युगा । चतुर्वर्णमयो लोकस्त्वत्तः सर्वं चतुर्मुखाथ् ||")</f>
        <v>चतुर्वर्गफलं ज्ञानं कालावस्था चतुर्युगा । चतुर्वर्णमयो लोकस्त्वत्तः सर्वं चतुर्मुखाथ् ||</v>
      </c>
      <c r="B800" s="4" t="s">
        <v>14</v>
      </c>
      <c r="C800" s="4"/>
    </row>
    <row r="801" spans="1:3" ht="24" customHeight="1">
      <c r="A801" s="4" t="str">
        <f ca="1">IFERROR(__xludf.DUMMYFUNCTION("""COMPUTED_VALUE"""),"अभ्यासनिगृहीतेन मनसा हृदयाश्रयं । ज्योतिर्मयं विचिन्वन्ति योगिनस्त्वां विमुक्तये ||")</f>
        <v>अभ्यासनिगृहीतेन मनसा हृदयाश्रयं । ज्योतिर्मयं विचिन्वन्ति योगिनस्त्वां विमुक्तये ||</v>
      </c>
      <c r="B801" s="4" t="s">
        <v>5</v>
      </c>
      <c r="C801" s="4"/>
    </row>
    <row r="802" spans="1:3" ht="24" customHeight="1">
      <c r="A802" s="4" t="str">
        <f ca="1">IFERROR(__xludf.DUMMYFUNCTION("""COMPUTED_VALUE"""),"अजस्य गृह्णतो जन्म निरीहस्य हतद्विषः । स्वपतो जागरूकस्य याथात्म्यं वेद कस्तव ||")</f>
        <v>अजस्य गृह्णतो जन्म निरीहस्य हतद्विषः । स्वपतो जागरूकस्य याथात्म्यं वेद कस्तव ||</v>
      </c>
      <c r="B802" s="4" t="s">
        <v>4</v>
      </c>
      <c r="C802" s="4"/>
    </row>
    <row r="803" spans="1:3" ht="24" customHeight="1">
      <c r="A803" s="4" t="str">
        <f ca="1">IFERROR(__xludf.DUMMYFUNCTION("""COMPUTED_VALUE"""),"शब्दादीन्विषयान्भोक्तुं चरितुं दुश्चरं तपः । पर्याप्तोऽसि प्रजाः पातुं औदासीन्येन वर्तितुं ||")</f>
        <v>शब्दादीन्विषयान्भोक्तुं चरितुं दुश्चरं तपः । पर्याप्तोऽसि प्रजाः पातुं औदासीन्येन वर्तितुं ||</v>
      </c>
      <c r="B803" s="4" t="s">
        <v>2</v>
      </c>
      <c r="C803" s="4"/>
    </row>
    <row r="804" spans="1:3" ht="24" customHeight="1">
      <c r="A804" s="4" t="str">
        <f ca="1">IFERROR(__xludf.DUMMYFUNCTION("""COMPUTED_VALUE"""),"बहुधाप्यागमैर्भिन्नाः पन्थानः सिद्धिहेतवः । त्वय्येव निपतन्त्योघा जाह्नवीया इवार्णवे ||")</f>
        <v>बहुधाप्यागमैर्भिन्नाः पन्थानः सिद्धिहेतवः । त्वय्येव निपतन्त्योघा जाह्नवीया इवार्णवे ||</v>
      </c>
      <c r="B804" s="4" t="s">
        <v>4</v>
      </c>
      <c r="C804" s="4"/>
    </row>
    <row r="805" spans="1:3" ht="24" customHeight="1">
      <c r="A805" s="4" t="str">
        <f ca="1">IFERROR(__xludf.DUMMYFUNCTION("""COMPUTED_VALUE"""),"त्वय्यावेशितचित्तानां त्वत्समर्पितकर्मणां । गतिस्त्वं वीतरागाणां अभूयःसंनिवृत्तये ||")</f>
        <v>त्वय्यावेशितचित्तानां त्वत्समर्पितकर्मणां । गतिस्त्वं वीतरागाणां अभूयःसंनिवृत्तये ||</v>
      </c>
      <c r="B805" s="4" t="s">
        <v>5</v>
      </c>
      <c r="C805" s="4"/>
    </row>
    <row r="806" spans="1:3" ht="24" customHeight="1">
      <c r="A806" s="4" t="str">
        <f ca="1">IFERROR(__xludf.DUMMYFUNCTION("""COMPUTED_VALUE"""),"प्रत्यक्षोऽप्यपरिच्छेद्यो मह्यादिर्महिमा तव । आप्तवागनुमानाभ्यां साध्यं त्वां प्रति का कथा ||")</f>
        <v>प्रत्यक्षोऽप्यपरिच्छेद्यो मह्यादिर्महिमा तव । आप्तवागनुमानाभ्यां साध्यं त्वां प्रति का कथा ||</v>
      </c>
      <c r="B806" s="4" t="s">
        <v>10</v>
      </c>
      <c r="C806" s="4"/>
    </row>
    <row r="807" spans="1:3" ht="24" customHeight="1">
      <c r="A807" s="4" t="str">
        <f ca="1">IFERROR(__xludf.DUMMYFUNCTION("""COMPUTED_VALUE"""),"केवलं स्मरणेनैव पुनासि पुरुषं यतः । अनेन वृत्तयः शेषा निवेदितफलास्त्वयि ||")</f>
        <v>केवलं स्मरणेनैव पुनासि पुरुषं यतः । अनेन वृत्तयः शेषा निवेदितफलास्त्वयि ||</v>
      </c>
      <c r="B807" s="4" t="s">
        <v>5</v>
      </c>
      <c r="C807" s="4"/>
    </row>
    <row r="808" spans="1:3" ht="24" customHeight="1">
      <c r="A808" s="4" t="str">
        <f ca="1">IFERROR(__xludf.DUMMYFUNCTION("""COMPUTED_VALUE"""),"उदधेरिव रत्नानि तेजांसीव विवस्वतः । स्तुतिभ्यो व्यतिरिच्यन्ते दूरेण चरितानि ते ||")</f>
        <v>उदधेरिव रत्नानि तेजांसीव विवस्वतः । स्तुतिभ्यो व्यतिरिच्यन्ते दूरेण चरितानि ते ||</v>
      </c>
      <c r="B808" s="4" t="s">
        <v>2</v>
      </c>
      <c r="C808" s="4"/>
    </row>
    <row r="809" spans="1:3" ht="24" customHeight="1">
      <c r="A809" s="4" t="str">
        <f ca="1">IFERROR(__xludf.DUMMYFUNCTION("""COMPUTED_VALUE"""),"अनवाप्तं अवाप्तव्यं न ते किंचन विद्यते । लोकानुग्रह एवैको हेतुस्ते जन्मकरमणोः ||")</f>
        <v>अनवाप्तं अवाप्तव्यं न ते किंचन विद्यते । लोकानुग्रह एवैको हेतुस्ते जन्मकरमणोः ||</v>
      </c>
      <c r="B809" s="4" t="s">
        <v>7</v>
      </c>
      <c r="C809" s="4"/>
    </row>
    <row r="810" spans="1:3" ht="24" customHeight="1">
      <c r="A810" s="4" t="str">
        <f ca="1">IFERROR(__xludf.DUMMYFUNCTION("""COMPUTED_VALUE"""),"महिमानं यदुत्कीर्त्य तव संह्रियते वचः । श्रमेण तदशक्त्या वा न गुणानां इयत्तया ||")</f>
        <v>महिमानं यदुत्कीर्त्य तव संह्रियते वचः । श्रमेण तदशक्त्या वा न गुणानां इयत्तया ||</v>
      </c>
      <c r="B810" s="4" t="s">
        <v>5</v>
      </c>
      <c r="C810" s="4"/>
    </row>
    <row r="811" spans="1:3" ht="24" customHeight="1">
      <c r="A811" s="4" t="str">
        <f ca="1">IFERROR(__xludf.DUMMYFUNCTION("""COMPUTED_VALUE"""),"इति प्रसादयां आसुस्तव संह्रियते वचः । भूतार्थव्याहृतिः सा हि न स्तुतिः परमेष्ठिनः ||")</f>
        <v>इति प्रसादयां आसुस्तव संह्रियते वचः । भूतार्थव्याहृतिः सा हि न स्तुतिः परमेष्ठिनः ||</v>
      </c>
      <c r="B811" s="4" t="s">
        <v>1</v>
      </c>
      <c r="C811" s="4"/>
    </row>
    <row r="812" spans="1:3" ht="24" customHeight="1">
      <c r="A812" s="4" t="str">
        <f ca="1">IFERROR(__xludf.DUMMYFUNCTION("""COMPUTED_VALUE"""),"तस्मै कुशलसंप्रश्नव्यञ्जितप्रीतये सुराः । भयं अप्रलयोद्वेलादाचख्युर्नैरृतोदधेः ||")</f>
        <v>तस्मै कुशलसंप्रश्नव्यञ्जितप्रीतये सुराः । भयं अप्रलयोद्वेलादाचख्युर्नैरृतोदधेः ||</v>
      </c>
      <c r="B812" s="4" t="s">
        <v>20</v>
      </c>
      <c r="C812" s="4"/>
    </row>
    <row r="813" spans="1:3" ht="24" customHeight="1">
      <c r="A813" s="4" t="str">
        <f ca="1">IFERROR(__xludf.DUMMYFUNCTION("""COMPUTED_VALUE"""),"अथ वेलासमासन्नशैलरन्ध्रानुनादिना । स्वरेणोवाच भगवान्परिभूतार्णवध्वनिः ||")</f>
        <v>अथ वेलासमासन्नशैलरन्ध्रानुनादिना । स्वरेणोवाच भगवान्परिभूतार्णवध्वनिः ||</v>
      </c>
      <c r="B813" s="4" t="s">
        <v>1</v>
      </c>
      <c r="C813" s="4"/>
    </row>
    <row r="814" spans="1:3" ht="24" customHeight="1">
      <c r="A814" s="4" t="str">
        <f ca="1">IFERROR(__xludf.DUMMYFUNCTION("""COMPUTED_VALUE"""),"पुराणस्य कवेस्तस्य वर्णस्थानसमीरिता । बभूव कृतसंस्कारा चरितार्थैव भारती ||")</f>
        <v>पुराणस्य कवेस्तस्य वर्णस्थानसमीरिता । बभूव कृतसंस्कारा चरितार्थैव भारती ||</v>
      </c>
      <c r="B814" s="4" t="s">
        <v>2</v>
      </c>
      <c r="C814" s="4"/>
    </row>
    <row r="815" spans="1:3" ht="24" customHeight="1">
      <c r="A815" s="4" t="str">
        <f ca="1">IFERROR(__xludf.DUMMYFUNCTION("""COMPUTED_VALUE"""),"बभौ स दशनज्योत्स्ना सा विभोर्वदनोद्गता । निर्यातशेषा चरणाद्गङ्गेवोर्ध्वप्रवर्तिनी ||")</f>
        <v>बभौ स दशनज्योत्स्ना सा विभोर्वदनोद्गता । निर्यातशेषा चरणाद्गङ्गेवोर्ध्वप्रवर्तिनी ||</v>
      </c>
      <c r="B815" s="4" t="s">
        <v>1</v>
      </c>
      <c r="C815" s="4"/>
    </row>
    <row r="816" spans="1:3" ht="24" customHeight="1">
      <c r="A816" s="4" t="str">
        <f ca="1">IFERROR(__xludf.DUMMYFUNCTION("""COMPUTED_VALUE"""),"जाने वो रक्षसाक्रान्तावनुभावपराक्रमौ । अङ्गिनां तमसेवोभौ गुणौ प्रथ्ममध्यमौ ||")</f>
        <v>जाने वो रक्षसाक्रान्तावनुभावपराक्रमौ । अङ्गिनां तमसेवोभौ गुणौ प्रथ्ममध्यमौ ||</v>
      </c>
      <c r="B816" s="4" t="s">
        <v>12</v>
      </c>
      <c r="C816" s="4"/>
    </row>
    <row r="817" spans="1:3" ht="24" customHeight="1">
      <c r="A817" s="4" t="str">
        <f ca="1">IFERROR(__xludf.DUMMYFUNCTION("""COMPUTED_VALUE"""),"विदितं तप्यमानं च तेन मे भुवन्त्रयं । अकामोपनतेनेव साधोर्हृदयं एनसा ||")</f>
        <v>विदितं तप्यमानं च तेन मे भुवन्त्रयं । अकामोपनतेनेव साधोर्हृदयं एनसा ||</v>
      </c>
      <c r="B817" s="4" t="s">
        <v>18</v>
      </c>
      <c r="C817" s="4"/>
    </row>
    <row r="818" spans="1:3" ht="24" customHeight="1">
      <c r="A818" s="4" t="str">
        <f ca="1">IFERROR(__xludf.DUMMYFUNCTION("""COMPUTED_VALUE"""),"कार्येषु चैककार्यत्वादभ्यर्थ्योऽस्मि न वज्रिणा । स्वयं एव हि वातोऽग्नेः सारथ्यं प्रतिपद्यते ||")</f>
        <v>कार्येषु चैककार्यत्वादभ्यर्थ्योऽस्मि न वज्रिणा । स्वयं एव हि वातोऽग्नेः सारथ्यं प्रतिपद्यते ||</v>
      </c>
      <c r="B818" s="4" t="s">
        <v>2</v>
      </c>
      <c r="C818" s="4"/>
    </row>
    <row r="819" spans="1:3" ht="24" customHeight="1">
      <c r="A819" s="4" t="str">
        <f ca="1">IFERROR(__xludf.DUMMYFUNCTION("""COMPUTED_VALUE"""),"स्वासिधारापरिहृतः कामं चक्रस्य तेन मे । स्थापितो दशमो मूर्धा लव्यांश इव रक्षसा ||")</f>
        <v>स्वासिधारापरिहृतः कामं चक्रस्य तेन मे । स्थापितो दशमो मूर्धा लव्यांश इव रक्षसा ||</v>
      </c>
      <c r="B819" s="4" t="s">
        <v>18</v>
      </c>
      <c r="C819" s="4"/>
    </row>
    <row r="820" spans="1:3" ht="24" customHeight="1">
      <c r="A820" s="4" t="str">
        <f ca="1">IFERROR(__xludf.DUMMYFUNCTION("""COMPUTED_VALUE"""),"स्रष्टुर्वरातिसर्गात्तु मया तस्य दुरात्मनः । अत्यारूढं रिपोः सोढं चन्दनेव भोगिनः ||")</f>
        <v>स्रष्टुर्वरातिसर्गात्तु मया तस्य दुरात्मनः । अत्यारूढं रिपोः सोढं चन्दनेव भोगिनः ||</v>
      </c>
      <c r="B820" s="4" t="s">
        <v>1</v>
      </c>
      <c r="C820" s="4"/>
    </row>
    <row r="821" spans="1:3" ht="24" customHeight="1">
      <c r="A821" s="4" t="str">
        <f ca="1">IFERROR(__xludf.DUMMYFUNCTION("""COMPUTED_VALUE"""),"धातारं तपसा प्रीतं ययाचे स हि राक्षसः । दैवात्सर्गादवध्यत्वं मर्त्येष्वास्थापराङ्मुखः ||")</f>
        <v>धातारं तपसा प्रीतं ययाचे स हि राक्षसः । दैवात्सर्गादवध्यत्वं मर्त्येष्वास्थापराङ्मुखः ||</v>
      </c>
      <c r="B821" s="4" t="s">
        <v>14</v>
      </c>
      <c r="C821" s="4"/>
    </row>
    <row r="822" spans="1:3" ht="24" customHeight="1">
      <c r="A822" s="4" t="str">
        <f ca="1">IFERROR(__xludf.DUMMYFUNCTION("""COMPUTED_VALUE"""),"सोऽहं दाशरथिर्भूत्वा रणभूमेर्बलिक्षमं । करिष्यामि शरैस्तीक्ष्णैस्तच्छिरःकमलोच्चयं ||")</f>
        <v>सोऽहं दाशरथिर्भूत्वा रणभूमेर्बलिक्षमं । करिष्यामि शरैस्तीक्ष्णैस्तच्छिरःकमलोच्चयं ||</v>
      </c>
      <c r="B822" s="4" t="s">
        <v>5</v>
      </c>
      <c r="C822" s="4"/>
    </row>
    <row r="823" spans="1:3" ht="24" customHeight="1">
      <c r="A823" s="4" t="str">
        <f ca="1">IFERROR(__xludf.DUMMYFUNCTION("""COMPUTED_VALUE"""),"अचिराद्वज्वभिर्भागं कल्पितं विधिवत्पुनः । मायाविभिरनालीढं आदास्यध्वे मिशाचरैः ||")</f>
        <v>अचिराद्वज्वभिर्भागं कल्पितं विधिवत्पुनः । मायाविभिरनालीढं आदास्यध्वे मिशाचरैः ||</v>
      </c>
      <c r="B823" s="4" t="s">
        <v>0</v>
      </c>
      <c r="C823" s="4"/>
    </row>
    <row r="824" spans="1:3" ht="24" customHeight="1">
      <c r="A824" s="4" t="str">
        <f ca="1">IFERROR(__xludf.DUMMYFUNCTION("""COMPUTED_VALUE"""),"वैमानिकाः पुण्यकृतस्त्यजन्तु मरुतां पथि । पुष्पकालोकसंक्षोभं मेघावरणतत्पराः ||")</f>
        <v>वैमानिकाः पुण्यकृतस्त्यजन्तु मरुतां पथि । पुष्पकालोकसंक्षोभं मेघावरणतत्पराः ||</v>
      </c>
      <c r="B824" s="4" t="s">
        <v>0</v>
      </c>
      <c r="C824" s="4"/>
    </row>
    <row r="825" spans="1:3" ht="24" customHeight="1">
      <c r="A825" s="4" t="str">
        <f ca="1">IFERROR(__xludf.DUMMYFUNCTION("""COMPUTED_VALUE"""),"मोष्यध्वे स्वर्गबन्दीनां वेणीबन्धानदूषितान् । शापयन्त्रितपौलस्त्यबलात्कारकचग्रहैः ||")</f>
        <v>मोष्यध्वे स्वर्गबन्दीनां वेणीबन्धानदूषितान् । शापयन्त्रितपौलस्त्यबलात्कारकचग्रहैः ||</v>
      </c>
      <c r="B825" s="4" t="s">
        <v>24</v>
      </c>
      <c r="C825" s="4"/>
    </row>
    <row r="826" spans="1:3" ht="24" customHeight="1">
      <c r="A826" s="4" t="str">
        <f ca="1">IFERROR(__xludf.DUMMYFUNCTION("""COMPUTED_VALUE"""),"रावणावग्रहक्लान्तं इति वागमृतेन सः । अभिवृष्य मरुत्सस्यं कृष्णमेघस्तिरोदधे ||")</f>
        <v>रावणावग्रहक्लान्तं इति वागमृतेन सः । अभिवृष्य मरुत्सस्यं कृष्णमेघस्तिरोदधे ||</v>
      </c>
      <c r="B826" s="4" t="s">
        <v>20</v>
      </c>
      <c r="C826" s="4"/>
    </row>
    <row r="827" spans="1:3" ht="24" customHeight="1">
      <c r="A827" s="4" t="str">
        <f ca="1">IFERROR(__xludf.DUMMYFUNCTION("""COMPUTED_VALUE"""),"पुरुहूतप्रभृतयः सुरकार्योद्यतं सुराः । अंशैरनुययुर्विष्णुं पुष्पैर्वायुं इव द्रुमाः ||")</f>
        <v>पुरुहूतप्रभृतयः सुरकार्योद्यतं सुराः । अंशैरनुययुर्विष्णुं पुष्पैर्वायुं इव द्रुमाः ||</v>
      </c>
      <c r="B827" s="4" t="s">
        <v>12</v>
      </c>
      <c r="C827" s="4"/>
    </row>
    <row r="828" spans="1:3" ht="24" customHeight="1">
      <c r="A828" s="4" t="str">
        <f ca="1">IFERROR(__xludf.DUMMYFUNCTION("""COMPUTED_VALUE"""),"अथ तस्य विशांपत्युरन्ते काम्यस्य कर्मणः । पुरुषः प्रबभूवाग्नेर्विस्मयेन सहर्त्विजां ||")</f>
        <v>अथ तस्य विशांपत्युरन्ते काम्यस्य कर्मणः । पुरुषः प्रबभूवाग्नेर्विस्मयेन सहर्त्विजां ||</v>
      </c>
      <c r="B828" s="4" t="s">
        <v>3</v>
      </c>
      <c r="C828" s="4"/>
    </row>
    <row r="829" spans="1:3" ht="24" customHeight="1">
      <c r="A829" s="4" t="str">
        <f ca="1">IFERROR(__xludf.DUMMYFUNCTION("""COMPUTED_VALUE"""),"हेमपात्रगतं दोर्भ्यां आदधानः पयश्चरुं । अनुप्रवेशादाद्यस्य पुंसस्तेनापि दुर्वहं ||")</f>
        <v>हेमपात्रगतं दोर्भ्यां आदधानः पयश्चरुं । अनुप्रवेशादाद्यस्य पुंसस्तेनापि दुर्वहं ||</v>
      </c>
      <c r="B829" s="4" t="s">
        <v>24</v>
      </c>
      <c r="C829" s="4"/>
    </row>
    <row r="830" spans="1:3" ht="24" customHeight="1">
      <c r="A830" s="4" t="str">
        <f ca="1">IFERROR(__xludf.DUMMYFUNCTION("""COMPUTED_VALUE"""),"प्राजापत्योपनीतं तद्(?) अन्नं प्रत्यग्रहीन्नृपः । वृषेव पयसां सारं आविष्कृतं उदन्वता ||")</f>
        <v>प्राजापत्योपनीतं तद्(?) अन्नं प्रत्यग्रहीन्नृपः । वृषेव पयसां सारं आविष्कृतं उदन्वता ||</v>
      </c>
      <c r="B830" s="4" t="s">
        <v>2</v>
      </c>
      <c r="C830" s="4"/>
    </row>
    <row r="831" spans="1:3" ht="24" customHeight="1">
      <c r="A831" s="4" t="str">
        <f ca="1">IFERROR(__xludf.DUMMYFUNCTION("""COMPUTED_VALUE"""),"अनेन कथिता राज्ञो गुणास्तस्यान्यदुर्लभाः । प्रसूतिं चकमे तस्मिंस्त्रैलोक्यप्रभवोऽपि यथ् ||")</f>
        <v>अनेन कथिता राज्ञो गुणास्तस्यान्यदुर्लभाः । प्रसूतिं चकमे तस्मिंस्त्रैलोक्यप्रभवोऽपि यथ् ||</v>
      </c>
      <c r="B831" s="4" t="s">
        <v>5</v>
      </c>
      <c r="C831" s="4"/>
    </row>
    <row r="832" spans="1:3" ht="24" customHeight="1">
      <c r="A832" s="4" t="str">
        <f ca="1">IFERROR(__xludf.DUMMYFUNCTION("""COMPUTED_VALUE"""),"स तेजो वैश्नवं पत्न्योर्विभेजे चरुसंज्ञितं । द्यावापृथिव्योः प्रत्यग्रं अहर्पतिरिवातपं ||")</f>
        <v>स तेजो वैश्नवं पत्न्योर्विभेजे चरुसंज्ञितं । द्यावापृथिव्योः प्रत्यग्रं अहर्पतिरिवातपं ||</v>
      </c>
      <c r="B832" s="4" t="s">
        <v>9</v>
      </c>
      <c r="C832" s="4"/>
    </row>
    <row r="833" spans="1:3" ht="24" customHeight="1">
      <c r="A833" s="4" t="str">
        <f ca="1">IFERROR(__xludf.DUMMYFUNCTION("""COMPUTED_VALUE"""),"अर्चिता तस्य कौसल्या प्रिया केकयवंशजा । अतः संभावितां ताभ्यां सुमित्रां ऐच्छदीश्वरः ||")</f>
        <v>अर्चिता तस्य कौसल्या प्रिया केकयवंशजा । अतः संभावितां ताभ्यां सुमित्रां ऐच्छदीश्वरः ||</v>
      </c>
      <c r="B833" s="4" t="s">
        <v>0</v>
      </c>
      <c r="C833" s="4"/>
    </row>
    <row r="834" spans="1:3" ht="24" customHeight="1">
      <c r="A834" s="4" t="str">
        <f ca="1">IFERROR(__xludf.DUMMYFUNCTION("""COMPUTED_VALUE"""),"ते बहुज्ञस्य चित्तज्ञे पत्न्यौ पत्युर्महीषितः । चरोरर्धार्धभागाभ्यां तां अयोजयतां उभे ||")</f>
        <v>ते बहुज्ञस्य चित्तज्ञे पत्न्यौ पत्युर्महीषितः । चरोरर्धार्धभागाभ्यां तां अयोजयतां उभे ||</v>
      </c>
      <c r="B834" s="4" t="s">
        <v>6</v>
      </c>
      <c r="C834" s="4"/>
    </row>
    <row r="835" spans="1:3" ht="24" customHeight="1">
      <c r="A835" s="4" t="str">
        <f ca="1">IFERROR(__xludf.DUMMYFUNCTION("""COMPUTED_VALUE"""),"सापि प्रणयवत्यासीत्सपत्न्योरुभयोरपि । भ्रमरी वारणस्येव मदनिस्यन्दलेखयोः ||")</f>
        <v>सापि प्रणयवत्यासीत्सपत्न्योरुभयोरपि । भ्रमरी वारणस्येव मदनिस्यन्दलेखयोः ||</v>
      </c>
      <c r="B835" s="4" t="s">
        <v>5</v>
      </c>
      <c r="C835" s="4"/>
    </row>
    <row r="836" spans="1:3" ht="24" customHeight="1">
      <c r="A836" s="4" t="str">
        <f ca="1">IFERROR(__xludf.DUMMYFUNCTION("""COMPUTED_VALUE"""),"ताभिर्गर्भः प्रजाभूत्यै दध्रे देवांशसम्भवः । सौरीभिरिव नाडीभिरमृताख्याभिरम्मयः ||")</f>
        <v>ताभिर्गर्भः प्रजाभूत्यै दध्रे देवांशसम्भवः । सौरीभिरिव नाडीभिरमृताख्याभिरम्मयः ||</v>
      </c>
      <c r="B836" s="4" t="s">
        <v>5</v>
      </c>
      <c r="C836" s="4"/>
    </row>
    <row r="837" spans="1:3" ht="24" customHeight="1">
      <c r="A837" s="4" t="str">
        <f ca="1">IFERROR(__xludf.DUMMYFUNCTION("""COMPUTED_VALUE"""),"समं आपन्नसत्त्वास्ता रेजुरापाण्डुरत्विषः । अन्तर्गतफलारम्भाः सस्यानां इव संपदः ||")</f>
        <v>समं आपन्नसत्त्वास्ता रेजुरापाण्डुरत्विषः । अन्तर्गतफलारम्भाः सस्यानां इव संपदः ||</v>
      </c>
      <c r="B837" s="4" t="s">
        <v>17</v>
      </c>
      <c r="C837" s="4"/>
    </row>
    <row r="838" spans="1:3" ht="24" customHeight="1">
      <c r="A838" s="4" t="str">
        <f ca="1">IFERROR(__xludf.DUMMYFUNCTION("""COMPUTED_VALUE"""),"गुप्तं ददृशुरात्मानं सर्वाः स्वप्नेषु वामनैः । जलजासिगदाशार्ङ्गचक्रलाञ्छितमूर्तिभिः ||")</f>
        <v>गुप्तं ददृशुरात्मानं सर्वाः स्वप्नेषु वामनैः । जलजासिगदाशार्ङ्गचक्रलाञ्छितमूर्तिभिः ||</v>
      </c>
      <c r="B838" s="4" t="s">
        <v>6</v>
      </c>
      <c r="C838" s="4"/>
    </row>
    <row r="839" spans="1:3" ht="24" customHeight="1">
      <c r="A839" s="4" t="str">
        <f ca="1">IFERROR(__xludf.DUMMYFUNCTION("""COMPUTED_VALUE"""),"हेमपक्षप्रभाजालं गगने च वितन्वता । उह्यन्ते स्म सुपर्णेन वेगाकृष्टपय्ॐउचा ||")</f>
        <v>हेमपक्षप्रभाजालं गगने च वितन्वता । उह्यन्ते स्म सुपर्णेन वेगाकृष्टपय्ॐउचा ||</v>
      </c>
      <c r="B839" s="4" t="s">
        <v>16</v>
      </c>
      <c r="C839" s="4"/>
    </row>
    <row r="840" spans="1:3" ht="24" customHeight="1">
      <c r="A840" s="4" t="str">
        <f ca="1">IFERROR(__xludf.DUMMYFUNCTION("""COMPUTED_VALUE"""),"बिभ्रत्या कौस्तुभं न्यासं स्तनान्तरविलम्बिनं । पर्युपास्यन्त लक्ष्म्या च पद्मव्यजनहस्तया ||")</f>
        <v>बिभ्रत्या कौस्तुभं न्यासं स्तनान्तरविलम्बिनं । पर्युपास्यन्त लक्ष्म्या च पद्मव्यजनहस्तया ||</v>
      </c>
      <c r="B840" s="4" t="s">
        <v>5</v>
      </c>
      <c r="C840" s="4"/>
    </row>
    <row r="841" spans="1:3" ht="24" customHeight="1">
      <c r="A841" s="4" t="str">
        <f ca="1">IFERROR(__xludf.DUMMYFUNCTION("""COMPUTED_VALUE"""),"कृताभिषेकैर्दिव्यायां त्रिस्रोतसि च सप्तभिः । ब्रह्म र्षिभिः परं ब्रह्म गृणध्बिरुपतस्थिरे ||")</f>
        <v>कृताभिषेकैर्दिव्यायां त्रिस्रोतसि च सप्तभिः । ब्रह्म र्षिभिः परं ब्रह्म गृणध्बिरुपतस्थिरे ||</v>
      </c>
      <c r="B841" s="4" t="s">
        <v>0</v>
      </c>
      <c r="C841" s="4"/>
    </row>
    <row r="842" spans="1:3" ht="24" customHeight="1">
      <c r="A842" s="4" t="str">
        <f ca="1">IFERROR(__xludf.DUMMYFUNCTION("""COMPUTED_VALUE"""),"ताभ्यस्तथाविधान्स्वप्नाञ्छ्रुत्वा प्रीतो हि पार्थिवः । मेने परार्ध्यं आत्मानं गुरुत्वेन जग्द्गुरोः ||")</f>
        <v>ताभ्यस्तथाविधान्स्वप्नाञ्छ्रुत्वा प्रीतो हि पार्थिवः । मेने परार्ध्यं आत्मानं गुरुत्वेन जग्द्गुरोः ||</v>
      </c>
      <c r="B842" s="4" t="s">
        <v>0</v>
      </c>
      <c r="C842" s="4"/>
    </row>
    <row r="843" spans="1:3" ht="24" customHeight="1">
      <c r="A843" s="4" t="str">
        <f ca="1">IFERROR(__xludf.DUMMYFUNCTION("""COMPUTED_VALUE"""),"विभक्तात्मा विभुस्तासां एकः कुषिष्वनेकधा । उवास प्रतिमाचन्द्रः प्रसन्नानां अपां इव ||")</f>
        <v>विभक्तात्मा विभुस्तासां एकः कुषिष्वनेकधा । उवास प्रतिमाचन्द्रः प्रसन्नानां अपां इव ||</v>
      </c>
      <c r="B843" s="4" t="s">
        <v>4</v>
      </c>
      <c r="C843" s="4"/>
    </row>
    <row r="844" spans="1:3" ht="24" customHeight="1">
      <c r="A844" s="4" t="str">
        <f ca="1">IFERROR(__xludf.DUMMYFUNCTION("""COMPUTED_VALUE"""),"अथाग्रमहिषी राज्ञः प्रसूतिसमये सती । पुत्रं तमोऽपहं लेभे नक्तं ज्योतिरिवौषधिः ||")</f>
        <v>अथाग्रमहिषी राज्ञः प्रसूतिसमये सती । पुत्रं तमोऽपहं लेभे नक्तं ज्योतिरिवौषधिः ||</v>
      </c>
      <c r="B844" s="4" t="s">
        <v>20</v>
      </c>
      <c r="C844" s="4"/>
    </row>
    <row r="845" spans="1:3" ht="24" customHeight="1">
      <c r="A845" s="4" t="str">
        <f ca="1">IFERROR(__xludf.DUMMYFUNCTION("""COMPUTED_VALUE"""),"राम इत्यभिरामेण तेनाप्रतिम तेजसा । नामधेयं गुरुश्चक्रे जगत्प्रथममङ्गलं ||")</f>
        <v>राम इत्यभिरामेण तेनाप्रतिम तेजसा । नामधेयं गुरुश्चक्रे जगत्प्रथममङ्गलं ||</v>
      </c>
      <c r="B845" s="4" t="s">
        <v>11</v>
      </c>
      <c r="C845" s="4"/>
    </row>
    <row r="846" spans="1:3" ht="24" customHeight="1">
      <c r="A846" s="4" t="str">
        <f ca="1">IFERROR(__xludf.DUMMYFUNCTION("""COMPUTED_VALUE"""),"रघुवंशप्रदीपेन तेनाप्रतिम तेजसा । रक्षागृहगता दीपाः प्रत्यादिष्ट इवाभवन् ||")</f>
        <v>रघुवंशप्रदीपेन तेनाप्रतिम तेजसा । रक्षागृहगता दीपाः प्रत्यादिष्ट इवाभवन् ||</v>
      </c>
      <c r="B846" s="4" t="s">
        <v>4</v>
      </c>
      <c r="C846" s="4"/>
    </row>
    <row r="847" spans="1:3" ht="24" customHeight="1">
      <c r="A847" s="4" t="str">
        <f ca="1">IFERROR(__xludf.DUMMYFUNCTION("""COMPUTED_VALUE"""),"शय्यागतेन रामेण माता शातोदरी बभौ । सैकताम्भोजबलिना जाह्नवीव शरत्कृशा ||")</f>
        <v>शय्यागतेन रामेण माता शातोदरी बभौ । सैकताम्भोजबलिना जाह्नवीव शरत्कृशा ||</v>
      </c>
      <c r="B847" s="4" t="s">
        <v>8</v>
      </c>
      <c r="C847" s="4"/>
    </row>
    <row r="848" spans="1:3" ht="24" customHeight="1">
      <c r="A848" s="4" t="str">
        <f ca="1">IFERROR(__xludf.DUMMYFUNCTION("""COMPUTED_VALUE"""),"कैकेय्यास्तनयो जज्ञे भरतो नाम शीलवान् । जनयित्रीं अलंचक्रे यः प्रश्रय इव श्रियं ||")</f>
        <v>कैकेय्यास्तनयो जज्ञे भरतो नाम शीलवान् । जनयित्रीं अलंचक्रे यः प्रश्रय इव श्रियं ||</v>
      </c>
      <c r="B848" s="4" t="s">
        <v>5</v>
      </c>
      <c r="C848" s="4"/>
    </row>
    <row r="849" spans="1:3" ht="24" customHeight="1">
      <c r="A849" s="4" t="str">
        <f ca="1">IFERROR(__xludf.DUMMYFUNCTION("""COMPUTED_VALUE"""),"सुतौ लक्ष्मणशत्रुघ्नौ सुमित्रा सुषुवे यमौ । सम्यगागमिता विद्या प्रबोधविनयाविव ||")</f>
        <v>सुतौ लक्ष्मणशत्रुघ्नौ सुमित्रा सुषुवे यमौ । सम्यगागमिता विद्या प्रबोधविनयाविव ||</v>
      </c>
      <c r="B849" s="4" t="s">
        <v>4</v>
      </c>
      <c r="C849" s="4"/>
    </row>
    <row r="850" spans="1:3" ht="24" customHeight="1">
      <c r="A850" s="4" t="str">
        <f ca="1">IFERROR(__xludf.DUMMYFUNCTION("""COMPUTED_VALUE"""),"निर्दोषं अभवत्सर्वं आविष्कृतगुणं जगथ् । अन्वगादिव हि स्वर्गो गां गतं पुरुषोत्तमं ||")</f>
        <v>निर्दोषं अभवत्सर्वं आविष्कृतगुणं जगथ् । अन्वगादिव हि स्वर्गो गां गतं पुरुषोत्तमं ||</v>
      </c>
      <c r="B850" s="4" t="s">
        <v>12</v>
      </c>
      <c r="C850" s="4"/>
    </row>
    <row r="851" spans="1:3" ht="24" customHeight="1">
      <c r="A851" s="4" t="str">
        <f ca="1">IFERROR(__xludf.DUMMYFUNCTION("""COMPUTED_VALUE"""),"तस्योदये चतुर्मूर्तेः पौलस्त्यचकितेश्वराः । विरजस्कैर्नभस्वद्भिर्दिश उच्छ्वसिता इव ||")</f>
        <v>तस्योदये चतुर्मूर्तेः पौलस्त्यचकितेश्वराः । विरजस्कैर्नभस्वद्भिर्दिश उच्छ्वसिता इव ||</v>
      </c>
      <c r="B851" s="4" t="s">
        <v>4</v>
      </c>
      <c r="C851" s="4"/>
    </row>
    <row r="852" spans="1:3" ht="24" customHeight="1">
      <c r="A852" s="4" t="str">
        <f ca="1">IFERROR(__xludf.DUMMYFUNCTION("""COMPUTED_VALUE"""),"कृशानुरपधूमत्वात्प्रसन्नत्वात्प्रभाकरः । रक्षिविप्रकृतावास्तां अपविद्धशुचाविव ||")</f>
        <v>कृशानुरपधूमत्वात्प्रसन्नत्वात्प्रभाकरः । रक्षिविप्रकृतावास्तां अपविद्धशुचाविव ||</v>
      </c>
      <c r="B852" s="4" t="s">
        <v>4</v>
      </c>
      <c r="C852" s="4"/>
    </row>
    <row r="853" spans="1:3" ht="24" customHeight="1">
      <c r="A853" s="4" t="str">
        <f ca="1">IFERROR(__xludf.DUMMYFUNCTION("""COMPUTED_VALUE"""),"दशाननकिरीटेभ्यस्तत्क्षणं राक्षसश्रियः । मणिव्याजेन पर्यस्ताः पृथिव्यां अश्रुबिन्दवः ||")</f>
        <v>दशाननकिरीटेभ्यस्तत्क्षणं राक्षसश्रियः । मणिव्याजेन पर्यस्ताः पृथिव्यां अश्रुबिन्दवः ||</v>
      </c>
      <c r="B853" s="4" t="s">
        <v>4</v>
      </c>
      <c r="C853" s="4"/>
    </row>
    <row r="854" spans="1:3" ht="24" customHeight="1">
      <c r="A854" s="4" t="str">
        <f ca="1">IFERROR(__xludf.DUMMYFUNCTION("""COMPUTED_VALUE"""),"पुत्रजन्मप्रवेश्यानां तूर्याणां तस्य पुत्रिणः । आरम्भं प्रथमं चक्रुर्देवधुन्दुभयो दिवि ||")</f>
        <v>पुत्रजन्मप्रवेश्यानां तूर्याणां तस्य पुत्रिणः । आरम्भं प्रथमं चक्रुर्देवधुन्दुभयो दिवि ||</v>
      </c>
      <c r="B854" s="4" t="s">
        <v>4</v>
      </c>
      <c r="C854" s="4"/>
    </row>
    <row r="855" spans="1:3" ht="24" customHeight="1">
      <c r="A855" s="4" t="str">
        <f ca="1">IFERROR(__xludf.DUMMYFUNCTION("""COMPUTED_VALUE"""),"संतानकमयी वृष्टिर्भवने चास्य पेतुषी । समङ्गलोपचाराणां सैवादिरचनाभवथ् ||")</f>
        <v>संतानकमयी वृष्टिर्भवने चास्य पेतुषी । समङ्गलोपचाराणां सैवादिरचनाभवथ् ||</v>
      </c>
      <c r="B855" s="4" t="s">
        <v>4</v>
      </c>
      <c r="C855" s="4"/>
    </row>
    <row r="856" spans="1:3" ht="24" customHeight="1">
      <c r="A856" s="4" t="str">
        <f ca="1">IFERROR(__xludf.DUMMYFUNCTION("""COMPUTED_VALUE"""),"कुमाराः कृतसंस्कारास्ते धात्रिस्तन्य पायिनः । आनन्देनाग्रजेनेव समं ववृधिरे पितुः ||")</f>
        <v>कुमाराः कृतसंस्कारास्ते धात्रिस्तन्य पायिनः । आनन्देनाग्रजेनेव समं ववृधिरे पितुः ||</v>
      </c>
      <c r="B856" s="4" t="s">
        <v>2</v>
      </c>
      <c r="C856" s="4"/>
    </row>
    <row r="857" spans="1:3" ht="24" customHeight="1">
      <c r="A857" s="4" t="str">
        <f ca="1">IFERROR(__xludf.DUMMYFUNCTION("""COMPUTED_VALUE"""),"स्वाभाविकं विनीतत्वं तेषं विनयकर्मणा । मुमूर्छ सहजं तेजो हविषेव हविर्भुजां ||")</f>
        <v>स्वाभाविकं विनीतत्वं तेषं विनयकर्मणा । मुमूर्छ सहजं तेजो हविषेव हविर्भुजां ||</v>
      </c>
      <c r="B857" s="4" t="s">
        <v>3</v>
      </c>
      <c r="C857" s="4"/>
    </row>
    <row r="858" spans="1:3" ht="24" customHeight="1">
      <c r="A858" s="4" t="str">
        <f ca="1">IFERROR(__xludf.DUMMYFUNCTION("""COMPUTED_VALUE"""),"परस्पराविरुद्धास्ते तद्रघोरनघं कुलं । अलं उद्द्योतयां आसुर्देवारण्यं इवर्तवः ||")</f>
        <v>परस्पराविरुद्धास्ते तद्रघोरनघं कुलं । अलं उद्द्योतयां आसुर्देवारण्यं इवर्तवः ||</v>
      </c>
      <c r="B858" s="4" t="s">
        <v>4</v>
      </c>
      <c r="C858" s="4"/>
    </row>
    <row r="859" spans="1:3" ht="24" customHeight="1">
      <c r="A859" s="4" t="str">
        <f ca="1">IFERROR(__xludf.DUMMYFUNCTION("""COMPUTED_VALUE"""),"समानेऽपि हि सौभ्रात्रे यथोभौ रामलक्ष्मणौ । तथा भरतशत्रुघ्नौ प्रीत्या द्वन्द्वं बभूवतुः ||")</f>
        <v>समानेऽपि हि सौभ्रात्रे यथोभौ रामलक्ष्मणौ । तथा भरतशत्रुघ्नौ प्रीत्या द्वन्द्वं बभूवतुः ||</v>
      </c>
      <c r="B859" s="4" t="s">
        <v>2</v>
      </c>
      <c r="C859" s="4"/>
    </row>
    <row r="860" spans="1:3" ht="24" customHeight="1">
      <c r="A860" s="4" t="str">
        <f ca="1">IFERROR(__xludf.DUMMYFUNCTION("""COMPUTED_VALUE"""),"तेषां द्वयोर्द्वयोरैक्यं बिभिदे न कदाचन । यथा वायुविभावस्वोर्यथा चन्द्रसमुद्रयोः ||")</f>
        <v>तेषां द्वयोर्द्वयोरैक्यं बिभिदे न कदाचन । यथा वायुविभावस्वोर्यथा चन्द्रसमुद्रयोः ||</v>
      </c>
      <c r="B860" s="4" t="s">
        <v>5</v>
      </c>
      <c r="C860" s="4"/>
    </row>
    <row r="861" spans="1:3" ht="24" customHeight="1">
      <c r="A861" s="4" t="str">
        <f ca="1">IFERROR(__xludf.DUMMYFUNCTION("""COMPUTED_VALUE"""),"ते प्रजानां प्रजानाथास्तेजसा प्रश्रयेण च । मनो जह्रुर्निदाघान्ते श्यामाभ्रा दिवसा इव ||")</f>
        <v>ते प्रजानां प्रजानाथास्तेजसा प्रश्रयेण च । मनो जह्रुर्निदाघान्ते श्यामाभ्रा दिवसा इव ||</v>
      </c>
      <c r="B861" s="4" t="s">
        <v>4</v>
      </c>
      <c r="C861" s="4"/>
    </row>
    <row r="862" spans="1:3" ht="24" customHeight="1">
      <c r="A862" s="4" t="str">
        <f ca="1">IFERROR(__xludf.DUMMYFUNCTION("""COMPUTED_VALUE"""),"स चतुर्धा बभौ व्यस्तः प्रसवः पृथिवीपतेः । धर्मार्थकाममोक्षाणां अवतार इवाङ्गभाक् ||")</f>
        <v>स चतुर्धा बभौ व्यस्तः प्रसवः पृथिवीपतेः । धर्मार्थकाममोक्षाणां अवतार इवाङ्गभाक् ||</v>
      </c>
      <c r="B862" s="4" t="s">
        <v>6</v>
      </c>
      <c r="C862" s="4"/>
    </row>
    <row r="863" spans="1:3" ht="24" customHeight="1">
      <c r="A863" s="4" t="str">
        <f ca="1">IFERROR(__xludf.DUMMYFUNCTION("""COMPUTED_VALUE"""),"गुणैराराधयां आसुस्ते गुरुं गुरुवत्सलाः । तं एव चतुर्नतेशं रत्नैरिव महार्णवाः ||")</f>
        <v>गुणैराराधयां आसुस्ते गुरुं गुरुवत्सलाः । तं एव चतुर्नतेशं रत्नैरिव महार्णवाः ||</v>
      </c>
      <c r="B863" s="4" t="s">
        <v>4</v>
      </c>
      <c r="C863" s="4"/>
    </row>
    <row r="864" spans="1:3" ht="24" customHeight="1">
      <c r="A864" s="4" t="str">
        <f ca="1">IFERROR(__xludf.DUMMYFUNCTION("""COMPUTED_VALUE"""),"सुरगज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||")</f>
        <v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||</v>
      </c>
      <c r="B864" s="4" t="s">
        <v>6</v>
      </c>
      <c r="C864" s="4"/>
    </row>
    <row r="865" spans="1:3" ht="24" customHeight="1">
      <c r="A865" s="4" t="str">
        <f ca="1">IFERROR(__xludf.DUMMYFUNCTION("""COMPUTED_VALUE"""),"कौशिकेन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॥")</f>
        <v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v>
      </c>
      <c r="B865" s="4" t="s">
        <v>2</v>
      </c>
      <c r="C865" s="4"/>
    </row>
    <row r="866" spans="1:3" ht="24" customHeight="1">
      <c r="A866" s="4" t="str">
        <f ca="1">IFERROR(__xludf.DUMMYFUNCTION("""COMPUTED_VALUE"""),"कृच्छ्रलब्धमपि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॥")</f>
        <v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v>
      </c>
      <c r="B866" s="4" t="s">
        <v>2</v>
      </c>
      <c r="C866" s="4"/>
    </row>
    <row r="867" spans="1:3" ht="24" customHeight="1">
      <c r="A867" s="4" t="str">
        <f ca="1">IFERROR(__xludf.DUMMYFUNCTION("""COMPUTED_VALUE"""),"यावदादिशति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॥")</f>
        <v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v>
      </c>
      <c r="B867" s="4" t="s">
        <v>1</v>
      </c>
      <c r="C867" s="4"/>
    </row>
    <row r="868" spans="1:3" ht="24" customHeight="1">
      <c r="A868" s="4" t="str">
        <f ca="1">IFERROR(__xludf.DUMMYFUNCTION("""COMPUTED_VALUE"""),"तौ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॥")</f>
        <v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v>
      </c>
      <c r="B868" s="4" t="s">
        <v>4</v>
      </c>
      <c r="C868" s="4"/>
    </row>
    <row r="869" spans="1:3" ht="24" customHeight="1">
      <c r="A869" s="4" t="str">
        <f ca="1">IFERROR(__xludf.DUMMYFUNCTION("""COMPUTED_VALUE"""),"तौ पितुर्नयनजेन वारिणा किंचिदुक्षितशिखण्डकावुभौ । धन्विनौ तमृषिमन्वगच्छतां पौरदृष्टिकृतमार्गतोरणौ ॥ रघुवंशम् ११.५ ॥")</f>
        <v>तौ पितुर्नयनजेन वारिणा किंचिदुक्षितशिखण्डकावुभौ । धन्विनौ तमृषिमन्वगच्छतां पौरदृष्टिकृतमार्गतोरणौ ॥ रघुवंशम् ११.५ ॥</v>
      </c>
      <c r="B869" s="4" t="s">
        <v>7</v>
      </c>
      <c r="C869" s="4"/>
    </row>
    <row r="870" spans="1:3" ht="24" customHeight="1">
      <c r="A870" s="4" t="str">
        <f ca="1">IFERROR(__xludf.DUMMYFUNCTION("""COMPUTED_VALUE"""),"लक्ष्मणानुचरमेव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॥")</f>
        <v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v>
      </c>
      <c r="B870" s="4" t="s">
        <v>12</v>
      </c>
      <c r="C870" s="4"/>
    </row>
    <row r="871" spans="1:3" ht="24" customHeight="1">
      <c r="A871" s="4" t="str">
        <f ca="1">IFERROR(__xludf.DUMMYFUNCTION("""COMPUTED_VALUE"""),"रेजतुश्च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॥")</f>
        <v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v>
      </c>
      <c r="B871" s="4" t="s">
        <v>4</v>
      </c>
      <c r="C871" s="4"/>
    </row>
    <row r="872" spans="1:3" ht="24" customHeight="1">
      <c r="A872" s="4" t="str">
        <f ca="1">IFERROR(__xludf.DUMMYFUNCTION("""COMPUTED_VALUE"""),"मातृवर्गचरणस्पृषौ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॥")</f>
        <v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v>
      </c>
      <c r="B872" s="4" t="s">
        <v>4</v>
      </c>
      <c r="C872" s="4"/>
    </row>
    <row r="873" spans="1:3" ht="24" customHeight="1">
      <c r="A873" s="4" t="str">
        <f ca="1">IFERROR(__xludf.DUMMYFUNCTION("""COMPUTED_VALUE"""),"वीचिलोलभुजयोस्तयोर्गतं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॥")</f>
        <v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v>
      </c>
      <c r="B873" s="4" t="s">
        <v>2</v>
      </c>
      <c r="C873" s="4"/>
    </row>
    <row r="874" spans="1:3" ht="24" customHeight="1">
      <c r="A874" s="4" t="str">
        <f ca="1">IFERROR(__xludf.DUMMYFUNCTION("""COMPUTED_VALUE"""),"तौ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॥")</f>
        <v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v>
      </c>
      <c r="B874" s="4" t="s">
        <v>4</v>
      </c>
      <c r="C874" s="4"/>
    </row>
    <row r="875" spans="1:3" ht="24" customHeight="1">
      <c r="A875" s="4" t="str">
        <f ca="1">IFERROR(__xludf.DUMMYFUNCTION("""COMPUTED_VALUE"""),"पूर्ववृत्तकथितैः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॥")</f>
        <v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v>
      </c>
      <c r="B875" s="4" t="s">
        <v>5</v>
      </c>
      <c r="C875" s="4"/>
    </row>
    <row r="876" spans="1:3" ht="24" customHeight="1">
      <c r="A876" s="4" t="str">
        <f ca="1">IFERROR(__xludf.DUMMYFUNCTION("""COMPUTED_VALUE"""),"तौ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॥")</f>
        <v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v>
      </c>
      <c r="B876" s="4" t="s">
        <v>0</v>
      </c>
      <c r="C876" s="4"/>
    </row>
    <row r="877" spans="1:3" ht="24" customHeight="1">
      <c r="A877" s="4" t="str">
        <f ca="1">IFERROR(__xludf.DUMMYFUNCTION("""COMPUTED_VALUE"""),"नाम्भसां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॥")</f>
        <v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v>
      </c>
      <c r="B877" s="4" t="s">
        <v>1</v>
      </c>
      <c r="C877" s="4"/>
    </row>
    <row r="878" spans="1:3" ht="24" customHeight="1">
      <c r="A878" s="4" t="str">
        <f ca="1">IFERROR(__xludf.DUMMYFUNCTION("""COMPUTED_VALUE"""),"स्थाणुदग्धवपुषस्तपोवनं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॥")</f>
        <v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v>
      </c>
      <c r="B878" s="4" t="s">
        <v>7</v>
      </c>
      <c r="C878" s="4"/>
    </row>
    <row r="879" spans="1:3" ht="24" customHeight="1">
      <c r="A879" s="4" t="str">
        <f ca="1">IFERROR(__xludf.DUMMYFUNCTION("""COMPUTED_VALUE"""),"तौ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॥")</f>
        <v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v>
      </c>
      <c r="B879" s="4" t="s">
        <v>2</v>
      </c>
      <c r="C879" s="4"/>
    </row>
    <row r="880" spans="1:3" ht="24" customHeight="1">
      <c r="A880" s="4" t="str">
        <f ca="1">IFERROR(__xludf.DUMMYFUNCTION("""COMPUTED_VALUE"""),"ज्यानिनिआदमथ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॥")</f>
        <v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v>
      </c>
      <c r="B880" s="4" t="s">
        <v>1</v>
      </c>
      <c r="C880" s="4"/>
    </row>
    <row r="881" spans="1:3" ht="24" customHeight="1">
      <c r="A881" s="4" t="str">
        <f ca="1">IFERROR(__xludf.DUMMYFUNCTION("""COMPUTED_VALUE"""),"तीव्रवेगधुतमार्गवृक्षया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॥")</f>
        <v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v>
      </c>
      <c r="B881" s="4" t="s">
        <v>5</v>
      </c>
      <c r="C881" s="4"/>
    </row>
    <row r="882" spans="1:3" ht="24" customHeight="1">
      <c r="A882" s="4" t="str">
        <f ca="1">IFERROR(__xludf.DUMMYFUNCTION("""COMPUTED_VALUE"""),"उद्यतैकभुजयष्टिमायतीं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॥")</f>
        <v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v>
      </c>
      <c r="B882" s="4" t="s">
        <v>4</v>
      </c>
      <c r="C882" s="4"/>
    </row>
    <row r="883" spans="1:3" ht="24" customHeight="1">
      <c r="A883" s="4" t="str">
        <f ca="1">IFERROR(__xludf.DUMMYFUNCTION("""COMPUTED_VALUE"""),"यच्चकार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॥")</f>
        <v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v>
      </c>
      <c r="B883" s="4" t="s">
        <v>2</v>
      </c>
      <c r="C883" s="4"/>
    </row>
    <row r="884" spans="1:3" ht="24" customHeight="1">
      <c r="A884" s="4" t="str">
        <f ca="1">IFERROR(__xludf.DUMMYFUNCTION("""COMPUTED_VALUE"""),"बाणभिन्नहृदया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॥")</f>
        <v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v>
      </c>
      <c r="B884" s="4" t="s">
        <v>5</v>
      </c>
      <c r="C884" s="4"/>
    </row>
    <row r="885" spans="1:3" ht="24" customHeight="1">
      <c r="A885" s="4" t="str">
        <f ca="1">IFERROR(__xludf.DUMMYFUNCTION("""COMPUTED_VALUE"""),"राममन्मथशरेण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॥")</f>
        <v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v>
      </c>
      <c r="B885" s="4" t="s">
        <v>18</v>
      </c>
      <c r="C885" s="4"/>
    </row>
    <row r="886" spans="1:3" ht="24" customHeight="1">
      <c r="A886" s="4" t="str">
        <f ca="1">IFERROR(__xludf.DUMMYFUNCTION("""COMPUTED_VALUE"""),"नैरृतघ्नमथ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॥")</f>
        <v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v>
      </c>
      <c r="B886" s="4" t="s">
        <v>19</v>
      </c>
      <c r="C886" s="4"/>
    </row>
    <row r="887" spans="1:3" ht="24" customHeight="1">
      <c r="A887" s="4" t="str">
        <f ca="1">IFERROR(__xludf.DUMMYFUNCTION("""COMPUTED_VALUE"""),"वामनाश्रमपदं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॥")</f>
        <v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v>
      </c>
      <c r="B887" s="4" t="s">
        <v>4</v>
      </c>
      <c r="C887" s="4"/>
    </row>
    <row r="888" spans="1:3" ht="24" customHeight="1">
      <c r="A888" s="4" t="str">
        <f ca="1">IFERROR(__xludf.DUMMYFUNCTION("""COMPUTED_VALUE"""),"आससाद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॥")</f>
        <v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v>
      </c>
      <c r="B888" s="4" t="s">
        <v>1</v>
      </c>
      <c r="C888" s="4"/>
    </row>
    <row r="889" spans="1:3" ht="24" customHeight="1">
      <c r="A889" s="4" t="str">
        <f ca="1">IFERROR(__xludf.DUMMYFUNCTION("""COMPUTED_VALUE"""),"तत्र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॥")</f>
        <v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v>
      </c>
      <c r="B889" s="4" t="s">
        <v>4</v>
      </c>
      <c r="C889" s="4"/>
    </row>
    <row r="890" spans="1:3" ht="24" customHeight="1">
      <c r="A890" s="4" t="str">
        <f ca="1">IFERROR(__xludf.DUMMYFUNCTION("""COMPUTED_VALUE"""),"वीक्ष्य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॥")</f>
        <v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v>
      </c>
      <c r="B890" s="4" t="s">
        <v>16</v>
      </c>
      <c r="C890" s="4"/>
    </row>
    <row r="891" spans="1:3" ht="24" customHeight="1">
      <c r="A891" s="4" t="str">
        <f ca="1">IFERROR(__xludf.DUMMYFUNCTION("""COMPUTED_VALUE"""),"उन्मुखः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॥")</f>
        <v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v>
      </c>
      <c r="B891" s="4" t="s">
        <v>3</v>
      </c>
      <c r="C891" s="4"/>
    </row>
    <row r="892" spans="1:3" ht="24" customHeight="1">
      <c r="A892" s="4" t="str">
        <f ca="1">IFERROR(__xludf.DUMMYFUNCTION("""COMPUTED_VALUE"""),"तत्र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॥")</f>
        <v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v>
      </c>
      <c r="B892" s="4" t="s">
        <v>2</v>
      </c>
      <c r="C892" s="4"/>
    </row>
    <row r="893" spans="1:3" ht="24" customHeight="1">
      <c r="A893" s="4" t="str">
        <f ca="1">IFERROR(__xludf.DUMMYFUNCTION("""COMPUTED_VALUE"""),"सोऽस्त्रमुग्रजवमस्त्रकोविदः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॥")</f>
        <v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v>
      </c>
      <c r="B893" s="4" t="s">
        <v>2</v>
      </c>
      <c r="C893" s="4"/>
    </row>
    <row r="894" spans="1:3" ht="24" customHeight="1">
      <c r="A894" s="4" t="str">
        <f ca="1">IFERROR(__xludf.DUMMYFUNCTION("""COMPUTED_VALUE"""),"यः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॥")</f>
        <v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v>
      </c>
      <c r="B894" s="4" t="s">
        <v>24</v>
      </c>
      <c r="C894" s="4"/>
    </row>
    <row r="895" spans="1:3" ht="24" customHeight="1">
      <c r="A895" s="4" t="str">
        <f ca="1">IFERROR(__xludf.DUMMYFUNCTION("""COMPUTED_VALUE"""),"इत्यपास्तमखविघ्नयोस्तयोः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॥")</f>
        <v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v>
      </c>
      <c r="B895" s="4" t="s">
        <v>5</v>
      </c>
      <c r="C895" s="4"/>
    </row>
    <row r="896" spans="1:3" ht="24" customHeight="1">
      <c r="A896" s="4" t="str">
        <f ca="1">IFERROR(__xludf.DUMMYFUNCTION("""COMPUTED_VALUE"""),"तौ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॥")</f>
        <v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v>
      </c>
      <c r="B896" s="4" t="s">
        <v>1</v>
      </c>
      <c r="C896" s="4"/>
    </row>
    <row r="897" spans="1:3" ht="24" customHeight="1">
      <c r="A897" s="4" t="str">
        <f ca="1">IFERROR(__xludf.DUMMYFUNCTION("""COMPUTED_VALUE"""),"तं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॥")</f>
        <v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v>
      </c>
      <c r="B897" s="4" t="s">
        <v>11</v>
      </c>
      <c r="C897" s="4"/>
    </row>
    <row r="898" spans="1:3" ht="24" customHeight="1">
      <c r="A898" s="4" t="str">
        <f ca="1">IFERROR(__xludf.DUMMYFUNCTION("""COMPUTED_VALUE"""),"तैः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॥")</f>
        <v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v>
      </c>
      <c r="B898" s="4" t="s">
        <v>5</v>
      </c>
      <c r="C898" s="4"/>
    </row>
    <row r="899" spans="1:3" ht="24" customHeight="1">
      <c r="A899" s="4" t="str">
        <f ca="1">IFERROR(__xludf.DUMMYFUNCTION("""COMPUTED_VALUE"""),"प्रत्यपद्यत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॥")</f>
        <v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v>
      </c>
      <c r="B899" s="4" t="s">
        <v>24</v>
      </c>
      <c r="C899" s="4"/>
    </row>
    <row r="900" spans="1:3" ht="24" customHeight="1">
      <c r="A900" s="4" t="str">
        <f ca="1">IFERROR(__xludf.DUMMYFUNCTION("""COMPUTED_VALUE"""),"राघवान्वितमुपस्थितं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॥")</f>
        <v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v>
      </c>
      <c r="B900" s="4" t="s">
        <v>15</v>
      </c>
      <c r="C900" s="4"/>
    </row>
    <row r="901" spans="1:3" ht="24" customHeight="1">
      <c r="A901" s="4" t="str">
        <f ca="1">IFERROR(__xludf.DUMMYFUNCTION("""COMPUTED_VALUE"""),"तौ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॥")</f>
        <v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v>
      </c>
      <c r="B901" s="4" t="s">
        <v>1</v>
      </c>
      <c r="C901" s="4"/>
    </row>
    <row r="902" spans="1:3" ht="24" customHeight="1">
      <c r="A902" s="4" t="str">
        <f ca="1">IFERROR(__xludf.DUMMYFUNCTION("""COMPUTED_VALUE"""),"यूपवत्यवसिते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॥")</f>
        <v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v>
      </c>
      <c r="B902" s="4" t="s">
        <v>18</v>
      </c>
      <c r="C902" s="4"/>
    </row>
    <row r="903" spans="1:3" ht="24" customHeight="1">
      <c r="A903" s="4" t="str">
        <f ca="1">IFERROR(__xludf.DUMMYFUNCTION("""COMPUTED_VALUE"""),"तस्य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॥")</f>
        <v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v>
      </c>
      <c r="B903" s="4" t="s">
        <v>5</v>
      </c>
      <c r="C903" s="4"/>
    </row>
    <row r="904" spans="1:3" ht="24" customHeight="1">
      <c r="A904" s="4" t="str">
        <f ca="1">IFERROR(__xludf.DUMMYFUNCTION("""COMPUTED_VALUE"""),"अब्रवीच्च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॥")</f>
        <v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v>
      </c>
      <c r="B904" s="4" t="s">
        <v>2</v>
      </c>
      <c r="C904" s="4"/>
    </row>
    <row r="905" spans="1:3" ht="24" customHeight="1">
      <c r="A905" s="4" t="str">
        <f ca="1">IFERROR(__xludf.DUMMYFUNCTION("""COMPUTED_VALUE"""),"ह्रेपिता हि बहवो नरेश्वरास्तेन तात धनुषा धनुर्भृतः । ज्यानिघातकठिनत्वचो भुजान् स्वान् विधूय धिगिति प्रतस्थिरे ॥ रघुवंशम् ११.४० ॥")</f>
        <v>ह्रेपिता हि बहवो नरेश्वरास्तेन तात धनुषा धनुर्भृतः । ज्यानिघातकठिनत्वचो भुजान् स्वान् विधूय धिगिति प्रतस्थिरे ॥ रघुवंशम् ११.४० ॥</v>
      </c>
      <c r="B905" s="4" t="s">
        <v>0</v>
      </c>
      <c r="C905" s="4"/>
    </row>
    <row r="906" spans="1:3" ht="24" customHeight="1">
      <c r="A906" s="4" t="str">
        <f ca="1">IFERROR(__xludf.DUMMYFUNCTION("""COMPUTED_VALUE"""),"प्रत्युवाच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॥")</f>
        <v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v>
      </c>
      <c r="B906" s="4" t="s">
        <v>4</v>
      </c>
      <c r="C906" s="4"/>
    </row>
    <row r="907" spans="1:3" ht="24" customHeight="1">
      <c r="A907" s="4" t="str">
        <f ca="1">IFERROR(__xludf.DUMMYFUNCTION("""COMPUTED_VALUE"""),"एवमाप्तवचनात्स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॥")</f>
        <v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v>
      </c>
      <c r="B907" s="4" t="s">
        <v>1</v>
      </c>
      <c r="C907" s="4"/>
    </row>
    <row r="908" spans="1:3" ht="24" customHeight="1">
      <c r="A908" s="4" t="str">
        <f ca="1">IFERROR(__xludf.DUMMYFUNCTION("""COMPUTED_VALUE"""),"व्यादिदेश गणः सपार्श्वगान् कर्मुकाभरणाय मैथिलः । तैजसय धनुषः प्रवृत्तये तोयदानिव सहस्रलोचनः ॥ रघुवंशम् ११.४३ ॥")</f>
        <v>व्यादिदेश गणः सपार्श्वगान् कर्मुकाभरणाय मैथिलः । तैजसय धनुषः प्रवृत्तये तोयदानिव सहस्रलोचनः ॥ रघुवंशम् ११.४३ ॥</v>
      </c>
      <c r="B908" s="4" t="s">
        <v>1</v>
      </c>
      <c r="C908" s="4"/>
    </row>
    <row r="909" spans="1:3" ht="24" customHeight="1">
      <c r="A909" s="4" t="str">
        <f ca="1">IFERROR(__xludf.DUMMYFUNCTION("""COMPUTED_VALUE"""),"तत्प्रसुप्तभुजगेन्द्रभीषणं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॥")</f>
        <v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v>
      </c>
      <c r="B909" s="4" t="s">
        <v>3</v>
      </c>
      <c r="C909" s="4"/>
    </row>
    <row r="910" spans="1:3" ht="24" customHeight="1">
      <c r="A910" s="4" t="str">
        <f ca="1">IFERROR(__xludf.DUMMYFUNCTION("""COMPUTED_VALUE"""),"आततज्यमकरोत्स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॥")</f>
        <v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v>
      </c>
      <c r="B910" s="4" t="s">
        <v>0</v>
      </c>
      <c r="C910" s="4"/>
    </row>
    <row r="911" spans="1:3" ht="24" customHeight="1">
      <c r="A911" s="4" t="str">
        <f ca="1">IFERROR(__xludf.DUMMYFUNCTION("""COMPUTED_VALUE"""),"भज्यमानमतिमात्रकर्षणात्तेन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॥")</f>
        <v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v>
      </c>
      <c r="B911" s="4" t="s">
        <v>5</v>
      </c>
      <c r="C911" s="4"/>
    </row>
    <row r="912" spans="1:3" ht="24" customHeight="1">
      <c r="A912" s="4" t="str">
        <f ca="1">IFERROR(__xludf.DUMMYFUNCTION("""COMPUTED_VALUE"""),"दृष्टसारमथ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॥")</f>
        <v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v>
      </c>
      <c r="B912" s="4" t="s">
        <v>5</v>
      </c>
      <c r="C912" s="4"/>
    </row>
    <row r="913" spans="1:3" ht="24" customHeight="1">
      <c r="A913" s="4" t="str">
        <f ca="1">IFERROR(__xludf.DUMMYFUNCTION("""COMPUTED_VALUE"""),"मैथिलः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॥")</f>
        <v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v>
      </c>
      <c r="B913" s="4" t="s">
        <v>4</v>
      </c>
      <c r="C913" s="4"/>
    </row>
    <row r="914" spans="1:3" ht="24" customHeight="1">
      <c r="A914" s="4" t="str">
        <f ca="1">IFERROR(__xludf.DUMMYFUNCTION("""COMPUTED_VALUE"""),"प्राहिणोच्च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॥")</f>
        <v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v>
      </c>
      <c r="B914" s="4" t="s">
        <v>2</v>
      </c>
      <c r="C914" s="4"/>
    </row>
    <row r="915" spans="1:3" ht="24" customHeight="1">
      <c r="A915" s="4" t="str">
        <f ca="1">IFERROR(__xludf.DUMMYFUNCTION("""COMPUTED_VALUE"""),"उत्सुकश्च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॥")</f>
        <v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v>
      </c>
      <c r="B915" s="4" t="s">
        <v>24</v>
      </c>
      <c r="C915" s="4"/>
    </row>
    <row r="916" spans="1:3" ht="24" customHeight="1">
      <c r="A916" s="4" t="str">
        <f ca="1">IFERROR(__xludf.DUMMYFUNCTION("""COMPUTED_VALUE"""),"अन्वियेष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॥")</f>
        <v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v>
      </c>
      <c r="B916" s="4" t="s">
        <v>2</v>
      </c>
      <c r="C916" s="4"/>
    </row>
    <row r="917" spans="1:3" ht="24" customHeight="1">
      <c r="A917" s="4" t="str">
        <f ca="1">IFERROR(__xludf.DUMMYFUNCTION("""COMPUTED_VALUE"""),"तस्य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॥")</f>
        <v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v>
      </c>
      <c r="B917" s="4" t="s">
        <v>2</v>
      </c>
      <c r="C917" s="4"/>
    </row>
    <row r="918" spans="1:3" ht="24" customHeight="1">
      <c r="A918" s="4" t="str">
        <f ca="1">IFERROR(__xludf.DUMMYFUNCTION("""COMPUTED_VALUE"""),"आससाद मिथिलां स वेष्टयन् पिडितोपवनपादपां बलैः । प्रीतिरोधमसहिष्ट सा पुरी स्त्रीव कान्तपरिभोगमायतम् ॥ रघुवंशम् ११.५२ ॥")</f>
        <v>आससाद मिथिलां स वेष्टयन् पिडितोपवनपादपां बलैः । प्रीतिरोधमसहिष्ट सा पुरी स्त्रीव कान्तपरिभोगमायतम् ॥ रघुवंशम् ११.५२ ॥</v>
      </c>
      <c r="B918" s="4" t="s">
        <v>2</v>
      </c>
      <c r="C918" s="4"/>
    </row>
    <row r="919" spans="1:3" ht="24" customHeight="1">
      <c r="A919" s="4" t="str">
        <f ca="1">IFERROR(__xludf.DUMMYFUNCTION("""COMPUTED_VALUE"""),"तौ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॥")</f>
        <v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v>
      </c>
      <c r="B919" s="4" t="s">
        <v>2</v>
      </c>
      <c r="C919" s="4"/>
    </row>
    <row r="920" spans="1:3" ht="24" customHeight="1">
      <c r="A920" s="4" t="str">
        <f ca="1">IFERROR(__xludf.DUMMYFUNCTION("""COMPUTED_VALUE"""),"पार्थिवीमुदवहद्रघूद्वहो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॥")</f>
        <v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v>
      </c>
      <c r="B920" s="4" t="s">
        <v>12</v>
      </c>
      <c r="C920" s="4"/>
    </row>
    <row r="921" spans="1:3" ht="24" customHeight="1">
      <c r="A921" s="4" t="str">
        <f ca="1">IFERROR(__xludf.DUMMYFUNCTION("""COMPUTED_VALUE"""),"ते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॥")</f>
        <v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v>
      </c>
      <c r="B921" s="4" t="s">
        <v>2</v>
      </c>
      <c r="C921" s="4"/>
    </row>
    <row r="922" spans="1:3" ht="24" customHeight="1">
      <c r="A922" s="4" t="str">
        <f ca="1">IFERROR(__xludf.DUMMYFUNCTION("""COMPUTED_VALUE"""),"ता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॥")</f>
        <v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v>
      </c>
      <c r="B922" s="4" t="s">
        <v>6</v>
      </c>
      <c r="C922" s="4"/>
    </row>
    <row r="923" spans="1:3" ht="24" customHeight="1">
      <c r="A923" s="4" t="str">
        <f ca="1">IFERROR(__xludf.DUMMYFUNCTION("""COMPUTED_VALUE"""),"एवमात्तरतिरात्मसंभवांस्तान्निवेश्य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॥")</f>
        <v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v>
      </c>
      <c r="B923" s="4" t="s">
        <v>2</v>
      </c>
      <c r="C923" s="4"/>
    </row>
    <row r="924" spans="1:3" ht="24" customHeight="1">
      <c r="A924" s="4" t="str">
        <f ca="1">IFERROR(__xludf.DUMMYFUNCTION("""COMPUTED_VALUE"""),"तस्य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॥")</f>
        <v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v>
      </c>
      <c r="B924" s="4" t="s">
        <v>11</v>
      </c>
      <c r="C924" s="4"/>
    </row>
    <row r="925" spans="1:3" ht="24" customHeight="1">
      <c r="A925" s="4" t="str">
        <f ca="1">IFERROR(__xludf.DUMMYFUNCTION("""COMPUTED_VALUE"""),"लक्ष्यते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॥")</f>
        <v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v>
      </c>
      <c r="B925" s="4" t="s">
        <v>7</v>
      </c>
      <c r="C925" s="4"/>
    </row>
    <row r="926" spans="1:3" ht="24" customHeight="1">
      <c r="A926" s="4" t="str">
        <f ca="1">IFERROR(__xludf.DUMMYFUNCTION("""COMPUTED_VALUE"""),"श्येनपक्षपरिधूसरालकाः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॥")</f>
        <v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v>
      </c>
      <c r="B926" s="4" t="s">
        <v>12</v>
      </c>
      <c r="C926" s="4"/>
    </row>
    <row r="927" spans="1:3" ht="24" customHeight="1">
      <c r="A927" s="4" t="str">
        <f ca="1">IFERROR(__xludf.DUMMYFUNCTION("""COMPUTED_VALUE"""),"भास्करश्च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॥")</f>
        <v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v>
      </c>
      <c r="B927" s="4" t="s">
        <v>4</v>
      </c>
      <c r="C927" s="4"/>
    </row>
    <row r="928" spans="1:3" ht="24" customHeight="1">
      <c r="A928" s="4" t="str">
        <f ca="1">IFERROR(__xludf.DUMMYFUNCTION("""COMPUTED_VALUE"""),"तत्प्रतीपपवनादि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॥")</f>
        <v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v>
      </c>
      <c r="B928" s="4" t="s">
        <v>10</v>
      </c>
      <c r="C928" s="4"/>
    </row>
    <row r="929" spans="1:3" ht="24" customHeight="1">
      <c r="A929" s="4" t="str">
        <f ca="1">IFERROR(__xludf.DUMMYFUNCTION("""COMPUTED_VALUE"""),"तेजसः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॥")</f>
        <v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v>
      </c>
      <c r="B929" s="4" t="s">
        <v>0</v>
      </c>
      <c r="C929" s="4"/>
    </row>
    <row r="930" spans="1:3" ht="24" customHeight="1">
      <c r="A930" s="4" t="str">
        <f ca="1">IFERROR(__xludf.DUMMYFUNCTION("""COMPUTED_VALUE"""),"पित्र्यमंशमुपवीतलक्षणं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॥")</f>
        <v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v>
      </c>
      <c r="B930" s="4" t="s">
        <v>12</v>
      </c>
      <c r="C930" s="4"/>
    </row>
    <row r="931" spans="1:3" ht="24" customHeight="1">
      <c r="A931" s="4" t="str">
        <f ca="1">IFERROR(__xludf.DUMMYFUNCTION("""COMPUTED_VALUE"""),"येन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॥")</f>
        <v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v>
      </c>
      <c r="B931" s="4" t="s">
        <v>24</v>
      </c>
      <c r="C931" s="4"/>
    </row>
    <row r="932" spans="1:3" ht="24" customHeight="1">
      <c r="A932" s="4" t="str">
        <f ca="1">IFERROR(__xludf.DUMMYFUNCTION("""COMPUTED_VALUE"""),"अक्षभीजवलयेन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॥")</f>
        <v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v>
      </c>
      <c r="B932" s="4" t="s">
        <v>24</v>
      </c>
      <c r="C932" s="4"/>
    </row>
    <row r="933" spans="1:3" ht="24" customHeight="1">
      <c r="A933" s="4" t="str">
        <f ca="1">IFERROR(__xludf.DUMMYFUNCTION("""COMPUTED_VALUE"""),"तं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॥")</f>
        <v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v>
      </c>
      <c r="B933" s="4" t="s">
        <v>4</v>
      </c>
      <c r="C933" s="4"/>
    </row>
    <row r="934" spans="1:3" ht="24" customHeight="1">
      <c r="A934" s="4" t="str">
        <f ca="1">IFERROR(__xludf.DUMMYFUNCTION("""COMPUTED_VALUE"""),"रामनाम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॥")</f>
        <v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v>
      </c>
      <c r="B934" s="4" t="s">
        <v>5</v>
      </c>
      <c r="C934" s="4"/>
    </row>
    <row r="935" spans="1:3" ht="24" customHeight="1">
      <c r="A935" s="4" t="str">
        <f ca="1">IFERROR(__xludf.DUMMYFUNCTION("""COMPUTED_VALUE"""),"अर्घ्यमर्घ्यमिति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॥")</f>
        <v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v>
      </c>
      <c r="B935" s="4" t="s">
        <v>19</v>
      </c>
      <c r="C935" s="4"/>
    </row>
    <row r="936" spans="1:3" ht="24" customHeight="1">
      <c r="A936" s="4" t="str">
        <f ca="1">IFERROR(__xludf.DUMMYFUNCTION("""COMPUTED_VALUE"""),"तेन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॥")</f>
        <v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v>
      </c>
      <c r="B936" s="4" t="s">
        <v>1</v>
      </c>
      <c r="C936" s="4"/>
    </row>
    <row r="937" spans="1:3" ht="24" customHeight="1">
      <c r="A937" s="4" t="str">
        <f ca="1">IFERROR(__xludf.DUMMYFUNCTION("""COMPUTED_VALUE"""),"क्षत्रजातमपकारि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॥")</f>
        <v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v>
      </c>
      <c r="B937" s="4" t="s">
        <v>4</v>
      </c>
      <c r="C937" s="4"/>
    </row>
    <row r="938" spans="1:3" ht="24" customHeight="1">
      <c r="A938" s="4" t="str">
        <f ca="1">IFERROR(__xludf.DUMMYFUNCTION("""COMPUTED_VALUE"""),"मैथिलस्य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॥")</f>
        <v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v>
      </c>
      <c r="B938" s="4" t="s">
        <v>1</v>
      </c>
      <c r="C938" s="4"/>
    </row>
    <row r="939" spans="1:3" ht="24" customHeight="1">
      <c r="A939" s="4" t="str">
        <f ca="1">IFERROR(__xludf.DUMMYFUNCTION("""COMPUTED_VALUE"""),"अन्यदा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॥")</f>
        <v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v>
      </c>
      <c r="B939" s="4" t="s">
        <v>5</v>
      </c>
      <c r="C939" s="4"/>
    </row>
    <row r="940" spans="1:3" ht="24" customHeight="1">
      <c r="A940" s="4" t="str">
        <f ca="1">IFERROR(__xludf.DUMMYFUNCTION("""COMPUTED_VALUE"""),"बिभ्रतोऽस्त्रमचलेऽप्यकुण्ठितं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॥")</f>
        <v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v>
      </c>
      <c r="B940" s="4" t="s">
        <v>2</v>
      </c>
      <c r="C940" s="4"/>
    </row>
    <row r="941" spans="1:3" ht="24" customHeight="1">
      <c r="A941" s="4" t="str">
        <f ca="1">IFERROR(__xludf.DUMMYFUNCTION("""COMPUTED_VALUE"""),"क्षत्रियान्तकरणोऽपि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॥")</f>
        <v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v>
      </c>
      <c r="B941" s="4" t="s">
        <v>5</v>
      </c>
      <c r="C941" s="4"/>
    </row>
    <row r="942" spans="1:3" ht="24" customHeight="1">
      <c r="A942" s="4" t="str">
        <f ca="1">IFERROR(__xludf.DUMMYFUNCTION("""COMPUTED_VALUE"""),"विद्धि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॥")</f>
        <v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v>
      </c>
      <c r="B942" s="4" t="s">
        <v>12</v>
      </c>
      <c r="C942" s="4"/>
    </row>
    <row r="943" spans="1:3" ht="24" customHeight="1">
      <c r="A943" s="4" t="str">
        <f ca="1">IFERROR(__xludf.DUMMYFUNCTION("""COMPUTED_VALUE"""),"तन्मदीयमिदमायुधं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॥")</f>
        <v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v>
      </c>
      <c r="B943" s="4" t="s">
        <v>5</v>
      </c>
      <c r="C943" s="4"/>
    </row>
    <row r="944" spans="1:3" ht="24" customHeight="1">
      <c r="A944" s="4" t="str">
        <f ca="1">IFERROR(__xludf.DUMMYFUNCTION("""COMPUTED_VALUE"""),"कातरोऽसि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॥")</f>
        <v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v>
      </c>
      <c r="B944" s="4" t="s">
        <v>11</v>
      </c>
      <c r="C944" s="4"/>
    </row>
    <row r="945" spans="1:3" ht="24" customHeight="1">
      <c r="A945" s="4" t="str">
        <f ca="1">IFERROR(__xludf.DUMMYFUNCTION("""COMPUTED_VALUE"""),"एवमुक्तवति भीमदर्शने भार्गवे स्मितविकम्पिताधरः ।तद्धनुर्ग्रहणमेव राघवः प्रत्यपद्यत समर्थमुत्तरम् ॥ रघुवंशम् ११.७९ ॥")</f>
        <v>एवमुक्तवति भीमदर्शने भार्गवे स्मितविकम्पिताधरः ।तद्धनुर्ग्रहणमेव राघवः प्रत्यपद्यत समर्थमुत्तरम् ॥ रघुवंशम् ११.७९ ॥</v>
      </c>
      <c r="B945" s="4" t="s">
        <v>0</v>
      </c>
      <c r="C945" s="4"/>
    </row>
    <row r="946" spans="1:3" ht="24" customHeight="1">
      <c r="A946" s="4" t="str">
        <f ca="1">IFERROR(__xludf.DUMMYFUNCTION("""COMPUTED_VALUE"""),"पूर्वजन्मधनुषा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॥")</f>
        <v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v>
      </c>
      <c r="B946" s="4" t="s">
        <v>2</v>
      </c>
      <c r="C946" s="4"/>
    </row>
    <row r="947" spans="1:3" ht="24" customHeight="1">
      <c r="A947" s="4" t="str">
        <f ca="1">IFERROR(__xludf.DUMMYFUNCTION("""COMPUTED_VALUE"""),"तेन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॥")</f>
        <v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v>
      </c>
      <c r="B947" s="4" t="s">
        <v>1</v>
      </c>
      <c r="C947" s="4"/>
    </row>
    <row r="948" spans="1:3" ht="24" customHeight="1">
      <c r="A948" s="4" t="str">
        <f ca="1">IFERROR(__xludf.DUMMYFUNCTION("""COMPUTED_VALUE"""),"तावुभावपि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॥")</f>
        <v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v>
      </c>
      <c r="B948" s="4" t="s">
        <v>4</v>
      </c>
      <c r="C948" s="4"/>
    </row>
    <row r="949" spans="1:3" ht="24" customHeight="1">
      <c r="A949" s="4" t="str">
        <f ca="1">IFERROR(__xludf.DUMMYFUNCTION("""COMPUTED_VALUE"""),"तं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॥")</f>
        <v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v>
      </c>
      <c r="B949" s="4" t="s">
        <v>6</v>
      </c>
      <c r="C949" s="4"/>
    </row>
    <row r="950" spans="1:3" ht="24" customHeight="1">
      <c r="A950" s="4" t="str">
        <f ca="1">IFERROR(__xludf.DUMMYFUNCTION("""COMPUTED_VALUE"""),"न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॥")</f>
        <v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v>
      </c>
      <c r="B950" s="4" t="s">
        <v>2</v>
      </c>
      <c r="C950" s="4"/>
    </row>
    <row r="951" spans="1:3" ht="24" customHeight="1">
      <c r="A951" s="4" t="str">
        <f ca="1">IFERROR(__xludf.DUMMYFUNCTION("""COMPUTED_VALUE"""),"प्रत्युवाच तमृषिर्न तत्त्वतस्त्वां न वेद्मि पुरुषं पुरातनम् । गां गतस्य तव धाम वैष्णवं कोपितो ह्यसि मया दिदृक्षुणा ॥ रघुवंशम् ११.८५ ॥")</f>
        <v>प्रत्युवाच तमृषिर्न तत्त्वतस्त्वां न वेद्मि पुरुषं पुरातनम् । गां गतस्य तव धाम वैष्णवं कोपितो ह्यसि मया दिदृक्षुणा ॥ रघुवंशम् ११.८५ ॥</v>
      </c>
      <c r="B951" s="4" t="s">
        <v>7</v>
      </c>
      <c r="C951" s="4"/>
    </row>
    <row r="952" spans="1:3" ht="24" customHeight="1">
      <c r="A952" s="4" t="str">
        <f ca="1">IFERROR(__xludf.DUMMYFUNCTION("""COMPUTED_VALUE"""),"भस्मसात्कृतवतः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॥")</f>
        <v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v>
      </c>
      <c r="B952" s="4" t="s">
        <v>5</v>
      </c>
      <c r="C952" s="4"/>
    </row>
    <row r="953" spans="1:3" ht="24" customHeight="1">
      <c r="A953" s="4" t="str">
        <f ca="1">IFERROR(__xludf.DUMMYFUNCTION("""COMPUTED_VALUE"""),"तद्गतिं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॥")</f>
        <v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v>
      </c>
      <c r="B953" s="4" t="s">
        <v>9</v>
      </c>
      <c r="C953" s="4"/>
    </row>
    <row r="954" spans="1:3" ht="24" customHeight="1">
      <c r="A954" s="4" t="str">
        <f ca="1">IFERROR(__xludf.DUMMYFUNCTION("""COMPUTED_VALUE"""),"प्रत्यपद्यत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॥")</f>
        <v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v>
      </c>
      <c r="B954" s="4" t="s">
        <v>5</v>
      </c>
      <c r="C954" s="4"/>
    </row>
    <row r="955" spans="1:3" ht="24" customHeight="1">
      <c r="A955" s="4" t="str">
        <f ca="1">IFERROR(__xludf.DUMMYFUNCTION("""COMPUTED_VALUE"""),"राघवोऽपि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॥")</f>
        <v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v>
      </c>
      <c r="B955" s="4" t="s">
        <v>5</v>
      </c>
      <c r="C955" s="4"/>
    </row>
    <row r="956" spans="1:3" ht="24" customHeight="1">
      <c r="A956" s="4" t="str">
        <f ca="1">IFERROR(__xludf.DUMMYFUNCTION("""COMPUTED_VALUE"""),"राजसत्वमवधूय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॥")</f>
        <v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v>
      </c>
      <c r="B956" s="4" t="s">
        <v>2</v>
      </c>
      <c r="C956" s="4"/>
    </row>
    <row r="957" spans="1:3" ht="24" customHeight="1">
      <c r="A957" s="4" t="str">
        <f ca="1">IFERROR(__xludf.DUMMYFUNCTION("""COMPUTED_VALUE"""),"साधु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॥")</f>
        <v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v>
      </c>
      <c r="B957" s="4" t="s">
        <v>20</v>
      </c>
      <c r="C957" s="4"/>
    </row>
    <row r="958" spans="1:3" ht="24" customHeight="1">
      <c r="A958" s="4" t="str">
        <f ca="1">IFERROR(__xludf.DUMMYFUNCTION("""COMPUTED_VALUE"""),"स्वं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॥")</f>
        <v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v>
      </c>
      <c r="B958" s="4" t="s">
        <v>5</v>
      </c>
      <c r="C958" s="4"/>
    </row>
    <row r="959" spans="1:3" ht="24" customHeight="1">
      <c r="A959" s="4" t="str">
        <f ca="1">IFERROR(__xludf.DUMMYFUNCTION("""COMPUTED_VALUE"""),"तस्मिन्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॥")</f>
        <v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v>
      </c>
      <c r="B959" s="4" t="s">
        <v>2</v>
      </c>
      <c r="C959" s="4"/>
    </row>
    <row r="960" spans="1:3" ht="24" customHeight="1">
      <c r="A960" s="4" t="str">
        <f ca="1">IFERROR(__xludf.DUMMYFUNCTION("""COMPUTED_VALUE"""),"अथ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||")</f>
        <v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||</v>
      </c>
      <c r="B960" s="4" t="s">
        <v>1</v>
      </c>
      <c r="C960" s="4"/>
    </row>
    <row r="961" spans="1:3" ht="24" customHeight="1">
      <c r="A961" s="4" t="str">
        <f ca="1">IFERROR(__xludf.DUMMYFUNCTION("""COMPUTED_VALUE"""),"कौशिकेन स किल क्षितीश्वरो रामं अध्वरविघातशान्तये । काकपक्षधरं एत्य याचितस्तेजसां हि न वयः समीक्ष्यते ||")</f>
        <v>कौशिकेन स किल क्षितीश्वरो रामं अध्वरविघातशान्तये । काकपक्षधरं एत्य याचितस्तेजसां हि न वयः समीक्ष्यते ||</v>
      </c>
      <c r="B961" s="4" t="s">
        <v>2</v>
      </c>
      <c r="C961" s="4"/>
    </row>
    <row r="962" spans="1:3" ht="24" customHeight="1">
      <c r="A962" s="4" t="str">
        <f ca="1">IFERROR(__xludf.DUMMYFUNCTION("""COMPUTED_VALUE"""),"कृच्छ्रलब्धं अपि लब्धवर्णभाक्तं दिदेश मुनये सलक्ष्मणं । अप्यसुप्रणयिनां रघोः कुले न व्यहन्यत कदाचिदर्थिता ||")</f>
        <v>कृच्छ्रलब्धं अपि लब्धवर्णभाक्तं दिदेश मुनये सलक्ष्मणं । अप्यसुप्रणयिनां रघोः कुले न व्यहन्यत कदाचिदर्थिता ||</v>
      </c>
      <c r="B962" s="4" t="s">
        <v>2</v>
      </c>
      <c r="C962" s="4"/>
    </row>
    <row r="963" spans="1:3" ht="24" customHeight="1">
      <c r="A963" s="4" t="str">
        <f ca="1">IFERROR(__xludf.DUMMYFUNCTION("""COMPUTED_VALUE"""),"यावदादिशति पार्थिवस्तयोर्निर्गमाय पुरमार्गसत्क्रियां । तावदाशु विदधे मरुत्सखैः सा सपुष्पजलवर्षिभिर्घनैः ||")</f>
        <v>यावदादिशति पार्थिवस्तयोर्निर्गमाय पुरमार्गसत्क्रियां । तावदाशु विदधे मरुत्सखैः सा सपुष्पजलवर्षिभिर्घनैः ||</v>
      </c>
      <c r="B963" s="4" t="s">
        <v>1</v>
      </c>
      <c r="C963" s="4"/>
    </row>
    <row r="964" spans="1:3" ht="24" customHeight="1">
      <c r="A964" s="4" t="str">
        <f ca="1">IFERROR(__xludf.DUMMYFUNCTION("""COMPUTED_VALUE"""),"तौ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||")</f>
        <v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||</v>
      </c>
      <c r="B964" s="4" t="s">
        <v>4</v>
      </c>
      <c r="C964" s="4"/>
    </row>
    <row r="965" spans="1:3" ht="24" customHeight="1">
      <c r="A965" s="4" t="str">
        <f ca="1">IFERROR(__xludf.DUMMYFUNCTION("""COMPUTED_VALUE"""),"तौ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||")</f>
        <v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||</v>
      </c>
      <c r="B965" s="4" t="s">
        <v>7</v>
      </c>
      <c r="C965" s="4"/>
    </row>
    <row r="966" spans="1:3" ht="24" customHeight="1">
      <c r="A966" s="4" t="str">
        <f ca="1">IFERROR(__xludf.DUMMYFUNCTION("""COMPUTED_VALUE"""),"लक्ष्मणानुचरं एव राघवं नेतुं ऐच्छदृषिरित्यसौ नृपः । आशिषं प्रयुयुजे न वाहिनीं सा हि रक्षणविधौ तयोः क्षमा ||")</f>
        <v>लक्ष्मणानुचरं एव राघवं नेतुं ऐच्छदृषिरित्यसौ नृपः । आशिषं प्रयुयुजे न वाहिनीं सा हि रक्षणविधौ तयोः क्षमा ||</v>
      </c>
      <c r="B966" s="4" t="s">
        <v>12</v>
      </c>
      <c r="C966" s="4"/>
    </row>
    <row r="967" spans="1:3" ht="24" customHeight="1">
      <c r="A967" s="4" t="str">
        <f ca="1">IFERROR(__xludf.DUMMYFUNCTION("""COMPUTED_VALUE"""),"रेजतुश्च सुतरां महौजसः कौशिकस्य पदवीं अनुद्रुतौ । उत्तरां प्रति दिशं विवस्वतः प्रस्थितस्य मधुमाधवाविव ||")</f>
        <v>रेजतुश्च सुतरां महौजसः कौशिकस्य पदवीं अनुद्रुतौ । उत्तरां प्रति दिशं विवस्वतः प्रस्थितस्य मधुमाधवाविव ||</v>
      </c>
      <c r="B967" s="4" t="s">
        <v>4</v>
      </c>
      <c r="C967" s="4"/>
    </row>
    <row r="968" spans="1:3" ht="24" customHeight="1">
      <c r="A968" s="4" t="str">
        <f ca="1">IFERROR(__xludf.DUMMYFUNCTION("""COMPUTED_VALUE"""),"मातृवर्गचरणस्पृषौ मुनेस्तौ प्रपद्य पदवीं महौजसः । रेजतुर्गतिवशात्प्रवर्तिनौ भास्करस्य मधुमाधवाविव ||")</f>
        <v>मातृवर्गचरणस्पृषौ मुनेस्तौ प्रपद्य पदवीं महौजसः । रेजतुर्गतिवशात्प्रवर्तिनौ भास्करस्य मधुमाधवाविव ||</v>
      </c>
      <c r="B968" s="4" t="s">
        <v>4</v>
      </c>
      <c r="C968" s="4"/>
    </row>
    <row r="969" spans="1:3" ht="24" customHeight="1">
      <c r="A969" s="4" t="str">
        <f ca="1">IFERROR(__xludf.DUMMYFUNCTION("""COMPUTED_VALUE"""),"वीचिलोलभुजयोस्तयोर्गतं शैशवाच्चपलं अप्यशोभत । तोयदागम इवोद्ध्यभिद्ययोर्नामधेयसदृशं विचेष्टितं ||")</f>
        <v>वीचिलोलभुजयोस्तयोर्गतं शैशवाच्चपलं अप्यशोभत । तोयदागम इवोद्ध्यभिद्ययोर्नामधेयसदृशं विचेष्टितं ||</v>
      </c>
      <c r="B969" s="4" t="s">
        <v>2</v>
      </c>
      <c r="C969" s="4"/>
    </row>
    <row r="970" spans="1:3" ht="24" customHeight="1">
      <c r="A970" s="4" t="str">
        <f ca="1">IFERROR(__xludf.DUMMYFUNCTION("""COMPUTED_VALUE"""),"तौ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||")</f>
        <v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||</v>
      </c>
      <c r="B970" s="4" t="s">
        <v>4</v>
      </c>
      <c r="C970" s="4"/>
    </row>
    <row r="971" spans="1:3" ht="24" customHeight="1">
      <c r="A971" s="4" t="str">
        <f ca="1">IFERROR(__xludf.DUMMYFUNCTION("""COMPUTED_VALUE"""),"पूर्ववृत्तकथितैः पुराविदः सानुजः पितृसखस्य राघवः । उह्यमान इव वाहनोचितः पादचारं अपि न व्यभावयथ् ||")</f>
        <v>पूर्ववृत्तकथितैः पुराविदः सानुजः पितृसखस्य राघवः । उह्यमान इव वाहनोचितः पादचारं अपि न व्यभावयथ् ||</v>
      </c>
      <c r="B971" s="4" t="s">
        <v>5</v>
      </c>
      <c r="C971" s="4"/>
    </row>
    <row r="972" spans="1:3" ht="24" customHeight="1">
      <c r="A972" s="4" t="str">
        <f ca="1">IFERROR(__xludf.DUMMYFUNCTION("""COMPUTED_VALUE"""),"तौ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||")</f>
        <v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||</v>
      </c>
      <c r="B972" s="4" t="s">
        <v>0</v>
      </c>
      <c r="C972" s="4"/>
    </row>
    <row r="973" spans="1:3" ht="24" customHeight="1">
      <c r="A973" s="4" t="str">
        <f ca="1">IFERROR(__xludf.DUMMYFUNCTION("""COMPUTED_VALUE"""),"नाम्भसां कमलशोभिनां तथा शाखिनां न च परिश्रमच्छिदां । दर्शनेन लघुना यथा तयोः प्रीतिं आपुरुभयोस्तपस्विनः ||")</f>
        <v>नाम्भसां कमलशोभिनां तथा शाखिनां न च परिश्रमच्छिदां । दर्शनेन लघुना यथा तयोः प्रीतिं आपुरुभयोस्तपस्विनः ||</v>
      </c>
      <c r="B973" s="4" t="s">
        <v>1</v>
      </c>
      <c r="C973" s="4"/>
    </row>
    <row r="974" spans="1:3" ht="24" customHeight="1">
      <c r="A974" s="4" t="str">
        <f ca="1">IFERROR(__xludf.DUMMYFUNCTION("""COMPUTED_VALUE"""),"स्थाणुदग्धवपुषस्तपोवनं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||")</f>
        <v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||</v>
      </c>
      <c r="B974" s="4" t="s">
        <v>7</v>
      </c>
      <c r="C974" s="4"/>
    </row>
    <row r="975" spans="1:3" ht="24" customHeight="1">
      <c r="A975" s="4" t="str">
        <f ca="1">IFERROR(__xludf.DUMMYFUNCTION("""COMPUTED_VALUE"""),"तौ सुकेतुसुतया खिलीकृते कौशिकाद्विदितशापया पथि । निन्यतुः स्थलनिवेशितातटनी लीलयैव धनुषी अधिज्यतां ||")</f>
        <v>तौ सुकेतुसुतया खिलीकृते कौशिकाद्विदितशापया पथि । निन्यतुः स्थलनिवेशितातटनी लीलयैव धनुषी अधिज्यतां ||</v>
      </c>
      <c r="B975" s="4" t="s">
        <v>2</v>
      </c>
      <c r="C975" s="4"/>
    </row>
    <row r="976" spans="1:3" ht="24" customHeight="1">
      <c r="A976" s="4" t="str">
        <f ca="1">IFERROR(__xludf.DUMMYFUNCTION("""COMPUTED_VALUE"""),"ज्यानिनिआदं अथ गृह्णती तयोः प्रादुरास बहूलक्षपा छविः । ताडका चलकपालकुण्डला कालिकेव निबिडा बलाकिनी ||")</f>
        <v>ज्यानिनिआदं अथ गृह्णती तयोः प्रादुरास बहूलक्षपा छविः । ताडका चलकपालकुण्डला कालिकेव निबिडा बलाकिनी ||</v>
      </c>
      <c r="B976" s="4" t="s">
        <v>1</v>
      </c>
      <c r="C976" s="4"/>
    </row>
    <row r="977" spans="1:3" ht="24" customHeight="1">
      <c r="A977" s="4" t="str">
        <f ca="1">IFERROR(__xludf.DUMMYFUNCTION("""COMPUTED_VALUE"""),"तीव्रवेगधुतमार्गवृक्षया प्रेतचीवरवसा स्वनोग्रया । अभ्यभावि भरताग्रजस्तया वात्ययेव पितृकाननोत्थया ||")</f>
        <v>तीव्रवेगधुतमार्गवृक्षया प्रेतचीवरवसा स्वनोग्रया । अभ्यभावि भरताग्रजस्तया वात्ययेव पितृकाननोत्थया ||</v>
      </c>
      <c r="B977" s="4" t="s">
        <v>5</v>
      </c>
      <c r="C977" s="4"/>
    </row>
    <row r="978" spans="1:3" ht="24" customHeight="1">
      <c r="A978" s="4" t="str">
        <f ca="1">IFERROR(__xludf.DUMMYFUNCTION("""COMPUTED_VALUE"""),"उद्यतैकभुजयष्टिं आयतीं श्रोणिलम्बिपुरुषान्त्रमेखलां ।तां विलोक्य वनितावधे घृणां पत्त्रिणा सह मुमोच राघवः ||")</f>
        <v>उद्यतैकभुजयष्टिं आयतीं श्रोणिलम्बिपुरुषान्त्रमेखलां ।तां विलोक्य वनितावधे घृणां पत्त्रिणा सह मुमोच राघवः ||</v>
      </c>
      <c r="B978" s="4" t="s">
        <v>4</v>
      </c>
      <c r="C978" s="4"/>
    </row>
    <row r="979" spans="1:3" ht="24" customHeight="1">
      <c r="A979" s="4" t="str">
        <f ca="1">IFERROR(__xludf.DUMMYFUNCTION("""COMPUTED_VALUE"""),"यच्चकार विवरं शिलाघने ताडकोरसि स रामसायकः । अप्रविष्टविषयस्य रक्षसां द्वारतां अगमदन्तकस्य तथ् ||")</f>
        <v>यच्चकार विवरं शिलाघने ताडकोरसि स रामसायकः । अप्रविष्टविषयस्य रक्षसां द्वारतां अगमदन्तकस्य तथ् ||</v>
      </c>
      <c r="B979" s="4" t="s">
        <v>2</v>
      </c>
      <c r="C979" s="4"/>
    </row>
    <row r="980" spans="1:3" ht="24" customHeight="1">
      <c r="A980" s="4" t="str">
        <f ca="1">IFERROR(__xludf.DUMMYFUNCTION("""COMPUTED_VALUE"""),"बाणभिन्नहृदया निपेतुषी सा स्वकानभुवं न केवलां । विष्टपत्रयपराजयस्थिरां रावणश्रियं अपि व्यकम्पयथ् ||")</f>
        <v>बाणभिन्नहृदया निपेतुषी सा स्वकानभुवं न केवलां । विष्टपत्रयपराजयस्थिरां रावणश्रियं अपि व्यकम्पयथ् ||</v>
      </c>
      <c r="B980" s="4" t="s">
        <v>5</v>
      </c>
      <c r="C980" s="4"/>
    </row>
    <row r="981" spans="1:3" ht="24" customHeight="1">
      <c r="A981" s="4" t="str">
        <f ca="1">IFERROR(__xludf.DUMMYFUNCTION("""COMPUTED_VALUE"""),"राममन्मथशरेण ताडिता दुःसहेन दृदये निशाचरी । गन्धवद्रुधिरचन्दनोक्षिता जीवितेशवसतिं जगाम सा ||")</f>
        <v>राममन्मथशरेण ताडिता दुःसहेन दृदये निशाचरी । गन्धवद्रुधिरचन्दनोक्षिता जीवितेशवसतिं जगाम सा ||</v>
      </c>
      <c r="B981" s="4" t="s">
        <v>18</v>
      </c>
      <c r="C981" s="4"/>
    </row>
    <row r="982" spans="1:3" ht="24" customHeight="1">
      <c r="A982" s="4" t="str">
        <f ca="1">IFERROR(__xludf.DUMMYFUNCTION("""COMPUTED_VALUE"""),"नैरृतघ्नं अथ मन्त्रवन्मुनेः प्रापदस्त्रं अवदानतोषिताथ् । ज्योतिरिन्धनैपाति भास्करात्सूर्यकान्त इव ताडकान्तकः ||")</f>
        <v>नैरृतघ्नं अथ मन्त्रवन्मुनेः प्रापदस्त्रं अवदानतोषिताथ् । ज्योतिरिन्धनैपाति भास्करात्सूर्यकान्त इव ताडकान्तकः ||</v>
      </c>
      <c r="B982" s="4" t="s">
        <v>19</v>
      </c>
      <c r="C982" s="4"/>
    </row>
    <row r="983" spans="1:3" ht="24" customHeight="1">
      <c r="A983" s="4" t="str">
        <f ca="1">IFERROR(__xludf.DUMMYFUNCTION("""COMPUTED_VALUE"""),"वामनाश्रमपदं ततः परं पावनं श्रुअं ऋषेरुपेयिवान् । उन्मनाः प्रथमजन्मचेष्टितान्यस्मरन्नपि बभूव राघवः ||")</f>
        <v>वामनाश्रमपदं ततः परं पावनं श्रुअं ऋषेरुपेयिवान् । उन्मनाः प्रथमजन्मचेष्टितान्यस्मरन्नपि बभूव राघवः ||</v>
      </c>
      <c r="B983" s="4" t="s">
        <v>4</v>
      </c>
      <c r="C983" s="4"/>
    </row>
    <row r="984" spans="1:3" ht="24" customHeight="1">
      <c r="A984" s="4" t="str">
        <f ca="1">IFERROR(__xludf.DUMMYFUNCTION("""COMPUTED_VALUE"""),"आससाद मुनिरात्मनस्ततः शिष्यवर्गपरिकल्पितार्हणं । बद्धपल्लवपुटाञ्जलिद्रुमं दर्शनोन्मुख मृगं तपोवनं ||")</f>
        <v>आससाद मुनिरात्मनस्ततः शिष्यवर्गपरिकल्पितार्हणं । बद्धपल्लवपुटाञ्जलिद्रुमं दर्शनोन्मुख मृगं तपोवनं ||</v>
      </c>
      <c r="B984" s="4" t="s">
        <v>1</v>
      </c>
      <c r="C984" s="4"/>
    </row>
    <row r="985" spans="1:3" ht="24" customHeight="1">
      <c r="A985" s="4" t="str">
        <f ca="1">IFERROR(__xludf.DUMMYFUNCTION("""COMPUTED_VALUE"""),"तत्र दीक्षितं ऋषिं रकषतुर्विघ्नतो दशरथात्मजौ शरैः । लोकं अन्धतमसात्क्रमोदितौ रशामिभिः शशिदिवाकराविव ||")</f>
        <v>तत्र दीक्षितं ऋषिं रकषतुर्विघ्नतो दशरथात्मजौ शरैः । लोकं अन्धतमसात्क्रमोदितौ रशामिभिः शशिदिवाकराविव ||</v>
      </c>
      <c r="B985" s="4" t="s">
        <v>4</v>
      </c>
      <c r="C985" s="4"/>
    </row>
    <row r="986" spans="1:3" ht="24" customHeight="1">
      <c r="A986" s="4" t="str">
        <f ca="1">IFERROR(__xludf.DUMMYFUNCTION("""COMPUTED_VALUE"""),"वीक्ष्य वेदिं अथ रक्तबिन्दुभिर्बन्धुजीवपृथुभिः प्रदूषितां । संभ्रमोऽभवदपोढकर्मणां ऋत्विजां च्युतविकङ्कतस्रुचां ||")</f>
        <v>वीक्ष्य वेदिं अथ रक्तबिन्दुभिर्बन्धुजीवपृथुभिः प्रदूषितां । संभ्रमोऽभवदपोढकर्मणां ऋत्विजां च्युतविकङ्कतस्रुचां ||</v>
      </c>
      <c r="B986" s="4" t="s">
        <v>16</v>
      </c>
      <c r="C986" s="4"/>
    </row>
    <row r="987" spans="1:3" ht="24" customHeight="1">
      <c r="A987" s="4" t="str">
        <f ca="1">IFERROR(__xludf.DUMMYFUNCTION("""COMPUTED_VALUE"""),"उन्मुखः सपदि लक्ष्मणाग्रजो बाणं आश्रयमुखात्समुद्धरन् । रक्षसां बलं अपश्यदम्बरे गृध्रपक्षपवनेरितध्वजं ||")</f>
        <v>उन्मुखः सपदि लक्ष्मणाग्रजो बाणं आश्रयमुखात्समुद्धरन् । रक्षसां बलं अपश्यदम्बरे गृध्रपक्षपवनेरितध्वजं ||</v>
      </c>
      <c r="B987" s="4" t="s">
        <v>3</v>
      </c>
      <c r="C987" s="4"/>
    </row>
    <row r="988" spans="1:3" ht="24" customHeight="1">
      <c r="A988" s="4" t="str">
        <f ca="1">IFERROR(__xludf.DUMMYFUNCTION("""COMPUTED_VALUE"""),"तत्र यावधिपती मखद्विषां तौ शरव्यं अकरोत्स नेतरान् । किं महोरगविसर्पिविक्रमो राजिलेषु गरुडः प्रवर्तते ||")</f>
        <v>तत्र यावधिपती मखद्विषां तौ शरव्यं अकरोत्स नेतरान् । किं महोरगविसर्पिविक्रमो राजिलेषु गरुडः प्रवर्तते ||</v>
      </c>
      <c r="B988" s="4" t="s">
        <v>2</v>
      </c>
      <c r="C988" s="4"/>
    </row>
    <row r="989" spans="1:3" ht="24" customHeight="1">
      <c r="A989" s="4" t="str">
        <f ca="1">IFERROR(__xludf.DUMMYFUNCTION("""COMPUTED_VALUE"""),"सोऽस्त्रं उग्रजवं अस्त्रकोविदः संदधे धनुषि वायुदैवतं । तेन शैलगुरुं अप्यपातयत्पाण्डुपत्त्रं इव ताडकासुतं ||")</f>
        <v>सोऽस्त्रं उग्रजवं अस्त्रकोविदः संदधे धनुषि वायुदैवतं । तेन शैलगुरुं अप्यपातयत्पाण्डुपत्त्रं इव ताडकासुतं ||</v>
      </c>
      <c r="B989" s="4" t="s">
        <v>2</v>
      </c>
      <c r="C989" s="4"/>
    </row>
    <row r="990" spans="1:3" ht="24" customHeight="1">
      <c r="A990" s="4" t="str">
        <f ca="1">IFERROR(__xludf.DUMMYFUNCTION("""COMPUTED_VALUE"""),"यः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||")</f>
        <v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||</v>
      </c>
      <c r="B990" s="4" t="s">
        <v>24</v>
      </c>
      <c r="C990" s="4"/>
    </row>
    <row r="991" spans="1:3" ht="24" customHeight="1">
      <c r="A991" s="4" t="str">
        <f ca="1">IFERROR(__xludf.DUMMYFUNCTION("""COMPUTED_VALUE"""),"इत्यपास्तमखविघ्नयोस्तयोः सांयुगीनं अभिनन्द्य विक्रमं । ऋत्विजः कुलपतेर्यथाक्रमं वाग्यतस्य निरवर्तयन्क्रियाः ||")</f>
        <v>इत्यपास्तमखविघ्नयोस्तयोः सांयुगीनं अभिनन्द्य विक्रमं । ऋत्विजः कुलपतेर्यथाक्रमं वाग्यतस्य निरवर्तयन्क्रियाः ||</v>
      </c>
      <c r="B991" s="4" t="s">
        <v>5</v>
      </c>
      <c r="C991" s="4"/>
    </row>
    <row r="992" spans="1:3" ht="24" customHeight="1">
      <c r="A992" s="4" t="str">
        <f ca="1">IFERROR(__xludf.DUMMYFUNCTION("""COMPUTED_VALUE"""),"तौ प्रणामचलकाकपक्षकौ भ्रातरावभृथाप्लुतो मुनिः । आशिषां अनुपदं समस्पृशद्दर्भपाटिततलेन पाणिना ||")</f>
        <v>तौ प्रणामचलकाकपक्षकौ भ्रातरावभृथाप्लुतो मुनिः । आशिषां अनुपदं समस्पृशद्दर्भपाटिततलेन पाणिना ||</v>
      </c>
      <c r="B992" s="4" t="s">
        <v>1</v>
      </c>
      <c r="C992" s="4"/>
    </row>
    <row r="993" spans="1:3" ht="24" customHeight="1">
      <c r="A993" s="4" t="str">
        <f ca="1">IFERROR(__xludf.DUMMYFUNCTION("""COMPUTED_VALUE"""),"तं न्यमन्त्रयत संभृतक्रतुर्मैथिलः स मिघिलां व्रजन्वशी । राघवावपि निनाय बिभ्रतौ तद्धनुःश्रवणजं कुतूहलं ||")</f>
        <v>तं न्यमन्त्रयत संभृतक्रतुर्मैथिलः स मिघिलां व्रजन्वशी । राघवावपि निनाय बिभ्रतौ तद्धनुःश्रवणजं कुतूहलं ||</v>
      </c>
      <c r="B993" s="4" t="s">
        <v>11</v>
      </c>
      <c r="C993" s="4"/>
    </row>
    <row r="994" spans="1:3" ht="24" customHeight="1">
      <c r="A994" s="4" t="str">
        <f ca="1">IFERROR(__xludf.DUMMYFUNCTION("""COMPUTED_VALUE"""),"तैः शिवेषु वसतिर्गताध्वभिः सायं आश्रमतरुष्वगृह्यत । येषु दीर्घतपसः परिग्रहो वासवक्षणकलत्रतां ययौ ||")</f>
        <v>तैः शिवेषु वसतिर्गताध्वभिः सायं आश्रमतरुष्वगृह्यत । येषु दीर्घतपसः परिग्रहो वासवक्षणकलत्रतां ययौ ||</v>
      </c>
      <c r="B994" s="4" t="s">
        <v>5</v>
      </c>
      <c r="C994" s="4"/>
    </row>
    <row r="995" spans="1:3" ht="24" customHeight="1">
      <c r="A995" s="4" t="str">
        <f ca="1">IFERROR(__xludf.DUMMYFUNCTION("""COMPUTED_VALUE"""),"प्रत्यपद्यत चिराय यत्पुनश्चारु गौतमवधूः शिलामयी । स्वं वपुः स किल किलिबिषच्छिदां रामपादरजसां अनुग्रहः ||")</f>
        <v>प्रत्यपद्यत चिराय यत्पुनश्चारु गौतमवधूः शिलामयी । स्वं वपुः स किल किलिबिषच्छिदां रामपादरजसां अनुग्रहः ||</v>
      </c>
      <c r="B995" s="4" t="s">
        <v>24</v>
      </c>
      <c r="C995" s="4"/>
    </row>
    <row r="996" spans="1:3" ht="24" customHeight="1">
      <c r="A996" s="4" t="str">
        <f ca="1">IFERROR(__xludf.DUMMYFUNCTION("""COMPUTED_VALUE"""),"राघवान्वितं उपस्थितं मुनिं तं निशम्य जनको जनेश्वरः । अर्थकामसहितं सपर्यया देहबद्धं इव धर्मं अभ्यगाथ् ||")</f>
        <v>राघवान्वितं उपस्थितं मुनिं तं निशम्य जनको जनेश्वरः । अर्थकामसहितं सपर्यया देहबद्धं इव धर्मं अभ्यगाथ् ||</v>
      </c>
      <c r="B996" s="4" t="s">
        <v>15</v>
      </c>
      <c r="C996" s="4"/>
    </row>
    <row r="997" spans="1:3" ht="24" customHeight="1">
      <c r="A997" s="4" t="str">
        <f ca="1">IFERROR(__xludf.DUMMYFUNCTION("""COMPUTED_VALUE"""),"तौ विदेहनगरीनिवासिनां गां गताविव दिवः पुनर्वसू । मन्यते स्म पिबतां विलोचनैः पक्ष्मपातं अपि वञ्चनां मनः ||")</f>
        <v>तौ विदेहनगरीनिवासिनां गां गताविव दिवः पुनर्वसू । मन्यते स्म पिबतां विलोचनैः पक्ष्मपातं अपि वञ्चनां मनः ||</v>
      </c>
      <c r="B997" s="4" t="s">
        <v>1</v>
      </c>
      <c r="C997" s="4"/>
    </row>
    <row r="998" spans="1:3" ht="24" customHeight="1">
      <c r="A998" s="4" t="str">
        <f ca="1">IFERROR(__xludf.DUMMYFUNCTION("""COMPUTED_VALUE"""),"यूपवत्यवसिते किर्याविधौ कालवित्कुशिकवंशवर्धनः । रामं इष्वसनदर्शनोत्सुकं मैथिलाय कथयां ब्वभूव सः ||")</f>
        <v>यूपवत्यवसिते किर्याविधौ कालवित्कुशिकवंशवर्धनः । रामं इष्वसनदर्शनोत्सुकं मैथिलाय कथयां ब्वभूव सः ||</v>
      </c>
      <c r="B998" s="4" t="s">
        <v>18</v>
      </c>
      <c r="C998" s="4"/>
    </row>
    <row r="999" spans="1:3" ht="24" customHeight="1">
      <c r="A999" s="4" t="str">
        <f ca="1">IFERROR(__xludf.DUMMYFUNCTION("""COMPUTED_VALUE"""),"तस्य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||")</f>
        <v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||</v>
      </c>
      <c r="B999" s="4" t="s">
        <v>5</v>
      </c>
      <c r="C999" s="4"/>
    </row>
    <row r="1000" spans="1:3" ht="24" customHeight="1">
      <c r="A1000" s="4" t="str">
        <f ca="1">IFERROR(__xludf.DUMMYFUNCTION("""COMPUTED_VALUE"""),"अब्रवीच्च भगवन्मतङ्गजैर्यद्बृहद्भिरपि कर्म दुष्करं । तत्र नाहं अनुमन्तुं उत्सहे मोघवृत्ति कलभस्य चेष्टितं ||")</f>
        <v>अब्रवीच्च भगवन्मतङ्गजैर्यद्बृहद्भिरपि कर्म दुष्करं । तत्र नाहं अनुमन्तुं उत्सहे मोघवृत्ति कलभस्य चेष्टितं ||</v>
      </c>
      <c r="B1000" s="4" t="s">
        <v>2</v>
      </c>
      <c r="C1000" s="4"/>
    </row>
    <row r="1001" spans="1:3" ht="24" customHeight="1">
      <c r="A1001" s="4" t="str">
        <f ca="1">IFERROR(__xludf.DUMMYFUNCTION("""COMPUTED_VALUE"""),"ह्रेपिता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||")</f>
        <v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||</v>
      </c>
      <c r="B1001" s="4" t="s">
        <v>0</v>
      </c>
      <c r="C1001" s="4"/>
    </row>
    <row r="1002" spans="1:3" ht="24" customHeight="1">
      <c r="A1002" s="4" t="str">
        <f ca="1">IFERROR(__xludf.DUMMYFUNCTION("""COMPUTED_VALUE"""),"प्रत्युवाच तं ऋषिर्निशम्यतां सारतोऽयं अथ वा कृतं गिरा । चाप एव भवतो भविष्यति व्यक्तशक्तिरशनिर्गिराविव ||")</f>
        <v>प्रत्युवाच तं ऋषिर्निशम्यतां सारतोऽयं अथ वा कृतं गिरा । चाप एव भवतो भविष्यति व्यक्तशक्तिरशनिर्गिराविव ||</v>
      </c>
      <c r="B1002" s="4" t="s">
        <v>4</v>
      </c>
      <c r="C1002" s="4"/>
    </row>
    <row r="1003" spans="1:3" ht="24" customHeight="1">
      <c r="A1003" s="4" t="str">
        <f ca="1">IFERROR(__xludf.DUMMYFUNCTION("""COMPUTED_VALUE"""),"एवं आप्तवचनात्स पौरुषं काकपक्षकधरेऽपि राघवे । श्रद्दधे त्रिदशगोपमात्रके दाहशक्तिं इव कृष्णवर्त्मनि ||")</f>
        <v>एवं आप्तवचनात्स पौरुषं काकपक्षकधरेऽपि राघवे । श्रद्दधे त्रिदशगोपमात्रके दाहशक्तिं इव कृष्णवर्त्मनि ||</v>
      </c>
      <c r="B1003" s="4" t="s">
        <v>1</v>
      </c>
      <c r="C1003" s="4"/>
    </row>
    <row r="1004" spans="1:3" ht="24" customHeight="1">
      <c r="A1004" s="4" t="str">
        <f ca="1">IFERROR(__xludf.DUMMYFUNCTION("""COMPUTED_VALUE"""),"व्यादिदेश गणः सपार्श्वगान्कर्मुकाभरणाय मैथिलः । तैजसय धनुषः प्रवृत्तये तोयदानिव सहस्रलोचनः ||")</f>
        <v>व्यादिदेश गणः सपार्श्वगान्कर्मुकाभरणाय मैथिलः । तैजसय धनुषः प्रवृत्तये तोयदानिव सहस्रलोचनः ||</v>
      </c>
      <c r="B1004" s="4" t="s">
        <v>1</v>
      </c>
      <c r="C1004" s="4"/>
    </row>
    <row r="1005" spans="1:3" ht="24" customHeight="1">
      <c r="A1005" s="4" t="str">
        <f ca="1">IFERROR(__xludf.DUMMYFUNCTION("""COMPUTED_VALUE"""),"तत्प्रसुप्तभुजगेन्द्रभीषणं वीक्ष्य दाशरथिराददे धनुः । विद्रुतक्रतुमृगानौसारिणं येन बाणं असृजद्वृषध्वजः ||")</f>
        <v>तत्प्रसुप्तभुजगेन्द्रभीषणं वीक्ष्य दाशरथिराददे धनुः । विद्रुतक्रतुमृगानौसारिणं येन बाणं असृजद्वृषध्वजः ||</v>
      </c>
      <c r="B1005" s="4" t="s">
        <v>3</v>
      </c>
      <c r="C1005" s="4"/>
    </row>
    <row r="1006" spans="1:3" ht="24" customHeight="1">
      <c r="A1006" s="4" t="str">
        <f ca="1">IFERROR(__xludf.DUMMYFUNCTION("""COMPUTED_VALUE"""),"आततज्यं अकरोत्स संसदा विस्मयस्तिमितनेत्रं ईक्षितः । शैलसारं अपि नातियत्नतः पुष्पचापं इव पेशलं स्मरः ||")</f>
        <v>आततज्यं अकरोत्स संसदा विस्मयस्तिमितनेत्रं ईक्षितः । शैलसारं अपि नातियत्नतः पुष्पचापं इव पेशलं स्मरः ||</v>
      </c>
      <c r="B1006" s="4" t="s">
        <v>0</v>
      </c>
      <c r="C1006" s="4"/>
    </row>
    <row r="1007" spans="1:3" ht="24" customHeight="1">
      <c r="A1007" s="4" t="str">
        <f ca="1">IFERROR(__xludf.DUMMYFUNCTION("""COMPUTED_VALUE"""),"भज्यमानं अतिमात्रकर्षणात्तेन वज्रपरुषस्वनं धनुः । भार्गवाय दृढमन्यवे पुनः क्षत्रं उद्यतं इति न्यवेदयथ् ||")</f>
        <v>भज्यमानं अतिमात्रकर्षणात्तेन वज्रपरुषस्वनं धनुः । भार्गवाय दृढमन्यवे पुनः क्षत्रं उद्यतं इति न्यवेदयथ् ||</v>
      </c>
      <c r="B1007" s="4" t="s">
        <v>5</v>
      </c>
      <c r="C1007" s="4"/>
    </row>
    <row r="1008" spans="1:3" ht="24" customHeight="1">
      <c r="A1008" s="4" t="str">
        <f ca="1">IFERROR(__xludf.DUMMYFUNCTION("""COMPUTED_VALUE"""),"दृष्टसारं अथ रुद्रकार्मुके वीर्यशुल्कं अभिनन्द्य मैथिलः । राघवाय तनयां अयोनिजां रूपिणीं श्रियं इव न्यवेदयथ् ||")</f>
        <v>दृष्टसारं अथ रुद्रकार्मुके वीर्यशुल्कं अभिनन्द्य मैथिलः । राघवाय तनयां अयोनिजां रूपिणीं श्रियं इव न्यवेदयथ् ||</v>
      </c>
      <c r="B1008" s="4" t="s">
        <v>5</v>
      </c>
      <c r="C1008" s="4"/>
    </row>
    <row r="1009" spans="1:3" ht="24" customHeight="1">
      <c r="A1009" s="4" t="str">
        <f ca="1">IFERROR(__xludf.DUMMYFUNCTION("""COMPUTED_VALUE"""),"मैथिलः सपदि सत्यसंगरो राघवाय तनयां अयोनिजां । संनिधौ द्युतिमतस्तपोनिधेरग्निसाक्षिक इवातिसृष्टवान् ||")</f>
        <v>मैथिलः सपदि सत्यसंगरो राघवाय तनयां अयोनिजां । संनिधौ द्युतिमतस्तपोनिधेरग्निसाक्षिक इवातिसृष्टवान् ||</v>
      </c>
      <c r="B1009" s="4" t="s">
        <v>4</v>
      </c>
      <c r="C1009" s="4"/>
    </row>
    <row r="1010" spans="1:3" ht="24" customHeight="1">
      <c r="A1010" s="4" t="str">
        <f ca="1">IFERROR(__xludf.DUMMYFUNCTION("""COMPUTED_VALUE"""),"प्राहिणोच्च महितं महाद्युतिः कोसलाधिपतये पुरोधसं । भृत्यभावि दुहितुः परिग्रहाद्दिश्यतां कुलं इदं निमेरिति ||")</f>
        <v>प्राहिणोच्च महितं महाद्युतिः कोसलाधिपतये पुरोधसं । भृत्यभावि दुहितुः परिग्रहाद्दिश्यतां कुलं इदं निमेरिति ||</v>
      </c>
      <c r="B1010" s="4" t="s">
        <v>2</v>
      </c>
      <c r="C1010" s="4"/>
    </row>
    <row r="1011" spans="1:3" ht="24" customHeight="1">
      <c r="A1011" s="4" t="str">
        <f ca="1">IFERROR(__xludf.DUMMYFUNCTION("""COMPUTED_VALUE"""),"उत्सुकश्च सुतदारकर्मणा सोऽभवद्गुरुरुपागतश्च तं । गौतमस्य तनयोऽनुकूलवाक्प्रार्थितं हि सुकृतां अकालहृथ् ||")</f>
        <v>उत्सुकश्च सुतदारकर्मणा सोऽभवद्गुरुरुपागतश्च तं । गौतमस्य तनयोऽनुकूलवाक्प्रार्थितं हि सुकृतां अकालहृथ् ||</v>
      </c>
      <c r="B1011" s="4" t="s">
        <v>24</v>
      </c>
      <c r="C1011" s="4"/>
    </row>
    <row r="1012" spans="1:3" ht="24" customHeight="1">
      <c r="A1012" s="4" t="str">
        <f ca="1">IFERROR(__xludf.DUMMYFUNCTION("""COMPUTED_VALUE"""),"अन्वियेष सदृशीं स च स्नुषां प्राप चैनं अनुकूलवाग्द्विजः । सद्य एव सुकृतां हि पच्यते कल्पवृक्षफल धर्मि काङ्क्षितं ||")</f>
        <v>अन्वियेष सदृशीं स च स्नुषां प्राप चैनं अनुकूलवाग्द्विजः । सद्य एव सुकृतां हि पच्यते कल्पवृक्षफल धर्मि काङ्क्षितं ||</v>
      </c>
      <c r="B1012" s="4" t="s">
        <v>2</v>
      </c>
      <c r="C1012" s="4"/>
    </row>
    <row r="1013" spans="1:3" ht="24" customHeight="1">
      <c r="A1013" s="4" t="str">
        <f ca="1">IFERROR(__xludf.DUMMYFUNCTION("""COMPUTED_VALUE"""),"तस्य कल्पितपुरस्क्रियाविधेः शुश्रुवान्वचनं अग्रजन्मनः । उच्चचाल वलभितसखो वशी सैन्यरेणुमुषितार्कदीधितिः ||")</f>
        <v>तस्य कल्पितपुरस्क्रियाविधेः शुश्रुवान्वचनं अग्रजन्मनः । उच्चचाल वलभितसखो वशी सैन्यरेणुमुषितार्कदीधितिः ||</v>
      </c>
      <c r="B1013" s="4" t="s">
        <v>2</v>
      </c>
      <c r="C1013" s="4"/>
    </row>
    <row r="1014" spans="1:3" ht="24" customHeight="1">
      <c r="A1014" s="4" t="str">
        <f ca="1">IFERROR(__xludf.DUMMYFUNCTION("""COMPUTED_VALUE"""),"आससाद मिथिलां स वेष्टयन्पिडितोपवनपादपां बलैः । प्रीतिरोधं असहिष्ट सा पुरी स्त्रीव कान्तपरिभोगं आयतं ||")</f>
        <v>आससाद मिथिलां स वेष्टयन्पिडितोपवनपादपां बलैः । प्रीतिरोधं असहिष्ट सा पुरी स्त्रीव कान्तपरिभोगं आयतं ||</v>
      </c>
      <c r="B1014" s="4" t="s">
        <v>2</v>
      </c>
      <c r="C1014" s="4"/>
    </row>
    <row r="1015" spans="1:3" ht="24" customHeight="1">
      <c r="A1015" s="4" t="str">
        <f ca="1">IFERROR(__xludf.DUMMYFUNCTION("""COMPUTED_VALUE"""),"तौ समेत्य समयस्थितावुभौ भूपती वरुणवासवोपमौ । कन्यकातनयकौतुकक्रियां स्वप्रभावसदृशीं वितेनतुः ||")</f>
        <v>तौ समेत्य समयस्थितावुभौ भूपती वरुणवासवोपमौ । कन्यकातनयकौतुकक्रियां स्वप्रभावसदृशीं वितेनतुः ||</v>
      </c>
      <c r="B1015" s="4" t="s">
        <v>2</v>
      </c>
      <c r="C1015" s="4"/>
    </row>
    <row r="1016" spans="1:3" ht="24" customHeight="1">
      <c r="A1016" s="4" t="str">
        <f ca="1">IFERROR(__xludf.DUMMYFUNCTION("""COMPUTED_VALUE"""),"पार्थिवीं उदवहद्रघूद्वहो लक्ष्मणस्तदनुजां अथोर्मिलां । यौ तयोरवरजौ वरौजसौ तौ कुशध्वजसुते सुमध्यमे ||")</f>
        <v>पार्थिवीं उदवहद्रघूद्वहो लक्ष्मणस्तदनुजां अथोर्मिलां । यौ तयोरवरजौ वरौजसौ तौ कुशध्वजसुते सुमध्यमे ||</v>
      </c>
      <c r="B1016" s="4" t="s">
        <v>12</v>
      </c>
      <c r="C1016" s="4"/>
    </row>
    <row r="1017" spans="1:3" ht="24" customHeight="1">
      <c r="A1017" s="4" t="str">
        <f ca="1">IFERROR(__xludf.DUMMYFUNCTION("""COMPUTED_VALUE"""),"ते चतुर्थसहितास्त्रयो बभुः सूनवो नववधूपरिग्रहाः । सामदानविधिभेदविग्रहाः सिद्धिमन्त इव तस्य भूपतेः ||")</f>
        <v>ते चतुर्थसहितास्त्रयो बभुः सूनवो नववधूपरिग्रहाः । सामदानविधिभेदविग्रहाः सिद्धिमन्त इव तस्य भूपतेः ||</v>
      </c>
      <c r="B1017" s="4" t="s">
        <v>2</v>
      </c>
      <c r="C1017" s="4"/>
    </row>
    <row r="1018" spans="1:3" ht="24" customHeight="1">
      <c r="A1018" s="4" t="str">
        <f ca="1">IFERROR(__xludf.DUMMYFUNCTION("""COMPUTED_VALUE"""),"ता नराधिपसुता नृपात्मजैस्ते च ताभिरगमन्कृतार्थतां । सोऽभवद्वरवधूसमागमः प्रत्ययप्रकृतियोग्संनिभः ||")</f>
        <v>ता नराधिपसुता नृपात्मजैस्ते च ताभिरगमन्कृतार्थतां । सोऽभवद्वरवधूसमागमः प्रत्ययप्रकृतियोग्संनिभः ||</v>
      </c>
      <c r="B1018" s="4" t="s">
        <v>6</v>
      </c>
      <c r="C1018" s="4"/>
    </row>
    <row r="1019" spans="1:3" ht="24" customHeight="1">
      <c r="A1019" s="4" t="str">
        <f ca="1">IFERROR(__xludf.DUMMYFUNCTION("""COMPUTED_VALUE"""),"एवं आत्तरतिरात्मसंभवांस्तान्निवेश्य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||")</f>
        <v>एवं आत्तरतिरात्मसंभवांस्तान्निवेश्य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||</v>
      </c>
      <c r="B1019" s="4" t="s">
        <v>2</v>
      </c>
      <c r="C1019" s="4"/>
    </row>
    <row r="1020" spans="1:3" ht="24" customHeight="1">
      <c r="A1020" s="4" t="str">
        <f ca="1">IFERROR(__xludf.DUMMYFUNCTION("""COMPUTED_VALUE"""),"तस्य जातु मरुतः प्रतीपगा वर्त्मसु धव्जतरुप्रमाथिनः । चिक्लिशुर्भृशतया वरूथिनीं उत्तटा इव नदीरयाः स्थलीं ||")</f>
        <v>तस्य जातु मरुतः प्रतीपगा वर्त्मसु धव्जतरुप्रमाथिनः । चिक्लिशुर्भृशतया वरूथिनीं उत्तटा इव नदीरयाः स्थलीं ||</v>
      </c>
      <c r="B1020" s="4" t="s">
        <v>11</v>
      </c>
      <c r="C1020" s="4"/>
    </row>
    <row r="1021" spans="1:3" ht="24" customHeight="1">
      <c r="A1021" s="4" t="str">
        <f ca="1">IFERROR(__xludf.DUMMYFUNCTION("""COMPUTED_VALUE"""),"लक्ष्यते स्म तदनन्तरं रविर्बद्धभीमपैर्वेषमण्डलः । वैनतेयशमितस्य भोगिनो भोगवेष्टित इव च्युतो मणिः ||")</f>
        <v>लक्ष्यते स्म तदनन्तरं रविर्बद्धभीमपैर्वेषमण्डलः । वैनतेयशमितस्य भोगिनो भोगवेष्टित इव च्युतो मणिः ||</v>
      </c>
      <c r="B1021" s="4" t="s">
        <v>7</v>
      </c>
      <c r="C1021" s="4"/>
    </row>
    <row r="1022" spans="1:3" ht="24" customHeight="1">
      <c r="A1022" s="4" t="str">
        <f ca="1">IFERROR(__xludf.DUMMYFUNCTION("""COMPUTED_VALUE"""),"श्येनपक्षपरिधूसरालकाः सांध्यमेघरुधिरार्द्रवाससः । अङ्गना इव रजस्वला दिशो नो बभूवुरवलोकनक्षमाः ||")</f>
        <v>श्येनपक्षपरिधूसरालकाः सांध्यमेघरुधिरार्द्रवाससः । अङ्गना इव रजस्वला दिशो नो बभूवुरवलोकनक्षमाः ||</v>
      </c>
      <c r="B1022" s="4" t="s">
        <v>12</v>
      </c>
      <c r="C1022" s="4"/>
    </row>
    <row r="1023" spans="1:3" ht="24" customHeight="1">
      <c r="A1023" s="4" t="str">
        <f ca="1">IFERROR(__xludf.DUMMYFUNCTION("""COMPUTED_VALUE"""),"भास्करश्च दिशं अध्युवास यां तां श्रिताः प्रतिभयं ववाशिरे । क्षत्रशोणितपितृक्रियोचितं चोदयन्त्य इव भार्गवं शिवाः ||")</f>
        <v>भास्करश्च दिशं अध्युवास यां तां श्रिताः प्रतिभयं ववाशिरे । क्षत्रशोणितपितृक्रियोचितं चोदयन्त्य इव भार्गवं शिवाः ||</v>
      </c>
      <c r="B1023" s="4" t="s">
        <v>4</v>
      </c>
      <c r="C1023" s="4"/>
    </row>
    <row r="1024" spans="1:3" ht="24" customHeight="1">
      <c r="A1024" s="4" t="str">
        <f ca="1">IFERROR(__xludf.DUMMYFUNCTION("""COMPUTED_VALUE"""),"तत्प्रतीपपवनादि वैकृतं प्रेक्ष्य शान्तिं अधिकृत्य कृत्यविथ् । अन्वयुङ्क्त गुरुं ईश्वरः क्षितेः स्वन्तं इत्यलघयत्स तद्व्यथां ||")</f>
        <v>तत्प्रतीपपवनादि वैकृतं प्रेक्ष्य शान्तिं अधिकृत्य कृत्यविथ् । अन्वयुङ्क्त गुरुं ईश्वरः क्षितेः स्वन्तं इत्यलघयत्स तद्व्यथां ||</v>
      </c>
      <c r="B1024" s="4" t="s">
        <v>10</v>
      </c>
      <c r="C1024" s="4"/>
    </row>
    <row r="1025" spans="1:3" ht="24" customHeight="1">
      <c r="A1025" s="4" t="str">
        <f ca="1">IFERROR(__xludf.DUMMYFUNCTION("""COMPUTED_VALUE"""),"तेजसः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सैनिकैर्लक्षणीयपुरुषाकृतिश्चिराथ् ||")</f>
        <v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सैनिकैर्लक्षणीयपुरुषाकृतिश्चिराथ् ||</v>
      </c>
      <c r="B1025" s="4" t="s">
        <v>0</v>
      </c>
      <c r="C1025" s="4"/>
    </row>
    <row r="1026" spans="1:3" ht="24" customHeight="1">
      <c r="A1026" s="4" t="str">
        <f ca="1">IFERROR(__xludf.DUMMYFUNCTION("""COMPUTED_VALUE"""),"पित्र्यं अंशं उपवीतलक्षणं मातृकं च धनुरूर्जितं दधथ् । यः सस्ॐअ इव घर्मदीधितिः सद्विजिह्व इव चन्दनद्रुमः ||")</f>
        <v>पित्र्यं अंशं उपवीतलक्षणं मातृकं च धनुरूर्जितं दधथ् । यः सस्ॐअ इव घर्मदीधितिः सद्विजिह्व इव चन्दनद्रुमः ||</v>
      </c>
      <c r="B1026" s="4" t="s">
        <v>12</v>
      </c>
      <c r="C1026" s="4"/>
    </row>
    <row r="1027" spans="1:3" ht="24" customHeight="1">
      <c r="A1027" s="4" t="str">
        <f ca="1">IFERROR(__xludf.DUMMYFUNCTION("""COMPUTED_VALUE"""),"येन रोषपरुषात्मनः पितुः शासने स्थिभिदोऽपि तस्थुषा । वेपमानजननीशिरश्छिदा प्रागजीयत घृणा ततो मही ||")</f>
        <v>येन रोषपरुषात्मनः पितुः शासने स्थिभिदोऽपि तस्थुषा । वेपमानजननीशिरश्छिदा प्रागजीयत घृणा ततो मही ||</v>
      </c>
      <c r="B1027" s="4" t="s">
        <v>24</v>
      </c>
      <c r="C1027" s="4"/>
    </row>
    <row r="1028" spans="1:3" ht="24" customHeight="1">
      <c r="A1028" s="4" t="str">
        <f ca="1">IFERROR(__xludf.DUMMYFUNCTION("""COMPUTED_VALUE"""),"अक्षभीजवलयेन निबभौ दक्षिणश्रवणसंस्थितेन यः । क्षत्रियान्तकरणैकविंशतेर्व्याजपूर्वगणनां इवोद्वहन् ||")</f>
        <v>अक्षभीजवलयेन निबभौ दक्षिणश्रवणसंस्थितेन यः । क्षत्रियान्तकरणैकविंशतेर्व्याजपूर्वगणनां इवोद्वहन् ||</v>
      </c>
      <c r="B1028" s="4" t="s">
        <v>24</v>
      </c>
      <c r="C1028" s="4"/>
    </row>
    <row r="1029" spans="1:3" ht="24" customHeight="1">
      <c r="A1029" s="4" t="str">
        <f ca="1">IFERROR(__xludf.DUMMYFUNCTION("""COMPUTED_VALUE"""),"तं पितुर्वधभवेन मन्युना राजवंशनिधनाय दीक्षितं । बालसूनुरवलोक्य भार्गवं स्वां दशां च विषसाद पार्थिवः ||")</f>
        <v>तं पितुर्वधभवेन मन्युना राजवंशनिधनाय दीक्षितं । बालसूनुरवलोक्य भार्गवं स्वां दशां च विषसाद पार्थिवः ||</v>
      </c>
      <c r="B1029" s="4" t="s">
        <v>4</v>
      </c>
      <c r="C1029" s="4"/>
    </row>
    <row r="1030" spans="1:3" ht="24" customHeight="1">
      <c r="A1030" s="4" t="str">
        <f ca="1">IFERROR(__xludf.DUMMYFUNCTION("""COMPUTED_VALUE"""),"रामनाम इति तुल्यं आत्मजे वर्तमानं अहिते च दारुणे । हृद्यं अस्य भयदायि चाभवद्रत्नजातं इव हारसर्पयोः ||")</f>
        <v>रामनाम इति तुल्यं आत्मजे वर्तमानं अहिते च दारुणे । हृद्यं अस्य भयदायि चाभवद्रत्नजातं इव हारसर्पयोः ||</v>
      </c>
      <c r="B1030" s="4" t="s">
        <v>5</v>
      </c>
      <c r="C1030" s="4"/>
    </row>
    <row r="1031" spans="1:3" ht="24" customHeight="1">
      <c r="A1031" s="4" t="str">
        <f ca="1">IFERROR(__xludf.DUMMYFUNCTION("""COMPUTED_VALUE"""),"अर्घ्यं अर्घ्यं इति वादिनं नृपं सोऽनवेक्ष्य भरताग्रजो यतः । क्षत्रकोपदहनार्चिषं ततः संदधे दृशं उदग्रतारकां ||")</f>
        <v>अर्घ्यं अर्घ्यं इति वादिनं नृपं सोऽनवेक्ष्य भरताग्रजो यतः । क्षत्रकोपदहनार्चिषं ततः संदधे दृशं उदग्रतारकां ||</v>
      </c>
      <c r="B1031" s="4" t="s">
        <v>19</v>
      </c>
      <c r="C1031" s="4"/>
    </row>
    <row r="1032" spans="1:3" ht="24" customHeight="1">
      <c r="A1032" s="4" t="str">
        <f ca="1">IFERROR(__xludf.DUMMYFUNCTION("""COMPUTED_VALUE"""),"तेन कार्मुकनिषक्तमुष्टिना राघवो विगतभीः पुरोगतः । अङ्गुलीविवरचारिणं शरं कुर्वता निजगदे युयुत्सुना ||")</f>
        <v>तेन कार्मुकनिषक्तमुष्टिना राघवो विगतभीः पुरोगतः । अङ्गुलीविवरचारिणं शरं कुर्वता निजगदे युयुत्सुना ||</v>
      </c>
      <c r="B1032" s="4" t="s">
        <v>1</v>
      </c>
      <c r="C1032" s="4"/>
    </row>
    <row r="1033" spans="1:3" ht="24" customHeight="1">
      <c r="A1033" s="4" t="str">
        <f ca="1">IFERROR(__xludf.DUMMYFUNCTION("""COMPUTED_VALUE"""),"क्षत्रजातं अपकारि वैरि मे तन्निहत्य बहुशः शमं गतः । सुप्तसर्प इव दण्डघट्टनाद्रोषितोऽस्मि तव विक्रमश्रवाथ् ||")</f>
        <v>क्षत्रजातं अपकारि वैरि मे तन्निहत्य बहुशः शमं गतः । सुप्तसर्प इव दण्डघट्टनाद्रोषितोऽस्मि तव विक्रमश्रवाथ् ||</v>
      </c>
      <c r="B1033" s="4" t="s">
        <v>4</v>
      </c>
      <c r="C1033" s="4"/>
    </row>
    <row r="1034" spans="1:3" ht="24" customHeight="1">
      <c r="A1034" s="4" t="str">
        <f ca="1">IFERROR(__xludf.DUMMYFUNCTION("""COMPUTED_VALUE"""),"मैथिलस्य धनुरन्यपार्थिवैस्त्वं किलानमितपूर्वं अक्षणोः । तन्निशम्य बहवता समर्थये वीर्यशृङ्गं इव भग्नं आत्मनः ||")</f>
        <v>मैथिलस्य धनुरन्यपार्थिवैस्त्वं किलानमितपूर्वं अक्षणोः । तन्निशम्य बहवता समर्थये वीर्यशृङ्गं इव भग्नं आत्मनः ||</v>
      </c>
      <c r="B1034" s="4" t="s">
        <v>1</v>
      </c>
      <c r="C1034" s="4"/>
    </row>
    <row r="1035" spans="1:3" ht="24" customHeight="1">
      <c r="A1035" s="4" t="str">
        <f ca="1">IFERROR(__xludf.DUMMYFUNCTION("""COMPUTED_VALUE"""),"अन्यदा जगति राम इत्ययं शब्द उच्चरित एव मां अगाथ् । व्रीडं आवहति मे स संप्रति व्यस्तवृत्तिरुदयोन्मुखे त्वयि ||")</f>
        <v>अन्यदा जगति राम इत्ययं शब्द उच्चरित एव मां अगाथ् । व्रीडं आवहति मे स संप्रति व्यस्तवृत्तिरुदयोन्मुखे त्वयि ||</v>
      </c>
      <c r="B1035" s="4" t="s">
        <v>5</v>
      </c>
      <c r="C1035" s="4"/>
    </row>
    <row r="1036" spans="1:3" ht="24" customHeight="1">
      <c r="A1036" s="4" t="str">
        <f ca="1">IFERROR(__xludf.DUMMYFUNCTION("""COMPUTED_VALUE"""),"बिभ्रतोऽस्त्रं अचलेऽप्यकुण्ठितं द्वौ मतौ मम रिपू समागसौ । ह्ॐअ-धेनु-हरणाच्च हैहयस्त्वं च इर्तिं अपहर्तुं उद्यतः ||")</f>
        <v>बिभ्रतोऽस्त्रं अचलेऽप्यकुण्ठितं द्वौ मतौ मम रिपू समागसौ । ह्ॐअ-धेनु-हरणाच्च हैहयस्त्वं च इर्तिं अपहर्तुं उद्यतः ||</v>
      </c>
      <c r="B1036" s="4" t="s">
        <v>2</v>
      </c>
      <c r="C1036" s="4"/>
    </row>
    <row r="1037" spans="1:3" ht="24" customHeight="1">
      <c r="A1037" s="4" t="str">
        <f ca="1">IFERROR(__xludf.DUMMYFUNCTION("""COMPUTED_VALUE"""),"क्षत्रियान्तकरणोऽपि विक्रमस्तेन मां अवति नाजिते त्वयि । पावकस्य महिमा स गण्यते कक्षवज्ज्वलति सागरेऽपि यः ||")</f>
        <v>क्षत्रियान्तकरणोऽपि विक्रमस्तेन मां अवति नाजिते त्वयि । पावकस्य महिमा स गण्यते कक्षवज्ज्वलति सागरेऽपि यः ||</v>
      </c>
      <c r="B1037" s="4" t="s">
        <v>5</v>
      </c>
      <c r="C1037" s="4"/>
    </row>
    <row r="1038" spans="1:3" ht="24" customHeight="1">
      <c r="A1038" s="4" t="str">
        <f ca="1">IFERROR(__xludf.DUMMYFUNCTION("""COMPUTED_VALUE"""),"विद्धि चात्तबलं ओजसा हरेरैश्वरं धनुरभाजि यत्त्वया । खातमूलं अनिलो नदीरयैः पातयत्यपि मृदुस्तटद्रुमं ||")</f>
        <v>विद्धि चात्तबलं ओजसा हरेरैश्वरं धनुरभाजि यत्त्वया । खातमूलं अनिलो नदीरयैः पातयत्यपि मृदुस्तटद्रुमं ||</v>
      </c>
      <c r="B1038" s="4" t="s">
        <v>12</v>
      </c>
      <c r="C1038" s="4"/>
    </row>
    <row r="1039" spans="1:3" ht="24" customHeight="1">
      <c r="A1039" s="4" t="str">
        <f ca="1">IFERROR(__xludf.DUMMYFUNCTION("""COMPUTED_VALUE"""),"तन्मदीयं इदं आयुधं ज्यया संगमय्य सशरं विकृष्यतां । तिष्ठतु प्रधनं एवं अप्यहं तुल्यबाहुतरसा जितस्त्वया ||")</f>
        <v>तन्मदीयं इदं आयुधं ज्यया संगमय्य सशरं विकृष्यतां । तिष्ठतु प्रधनं एवं अप्यहं तुल्यबाहुतरसा जितस्त्वया ||</v>
      </c>
      <c r="B1039" s="4" t="s">
        <v>5</v>
      </c>
      <c r="C1039" s="4"/>
    </row>
    <row r="1040" spans="1:3" ht="24" customHeight="1">
      <c r="A1040" s="4" t="str">
        <f ca="1">IFERROR(__xludf.DUMMYFUNCTION("""COMPUTED_VALUE"""),"कातरोऽसि यदि वोद्गतार्चिषा तर्जितः परशुधारया मम । ज्यानिघातकठिनाङ्गुलिर्वृथा बध्यतां अभययाचनाञ्जलिः ||")</f>
        <v>कातरोऽसि यदि वोद्गतार्चिषा तर्जितः परशुधारया मम । ज्यानिघातकठिनाङ्गुलिर्वृथा बध्यतां अभययाचनाञ्जलिः ||</v>
      </c>
      <c r="B1040" s="4" t="s">
        <v>11</v>
      </c>
      <c r="C1040" s="4"/>
    </row>
    <row r="1041" spans="1:3" ht="24" customHeight="1">
      <c r="A1041" s="4" t="str">
        <f ca="1">IFERROR(__xludf.DUMMYFUNCTION("""COMPUTED_VALUE"""),"एवं उक्तवति भीमदर्शने भार्गवे स्मितविकम्पिताधरः । तद्धनुर्ग्रहणं एव राघवः प्रत्यपद्यत समर्थं उत्तरं ||")</f>
        <v>एवं उक्तवति भीमदर्शने भार्गवे स्मितविकम्पिताधरः । तद्धनुर्ग्रहणं एव राघवः प्रत्यपद्यत समर्थं उत्तरं ||</v>
      </c>
      <c r="B1041" s="4" t="s">
        <v>0</v>
      </c>
      <c r="C1041" s="4"/>
    </row>
    <row r="1042" spans="1:3" ht="24" customHeight="1">
      <c r="A1042" s="4" t="str">
        <f ca="1">IFERROR(__xludf.DUMMYFUNCTION("""COMPUTED_VALUE"""),"पूर्वजन्मधनुषा समागतः सोऽतिमात्रलघुदर्शनोऽभवथ् । केवलोऽपि सुभगो नवाम्बुदः किं पुनस्त्रिदशचापलाञ्छितः ||")</f>
        <v>पूर्वजन्मधनुषा समागतः सोऽतिमात्रलघुदर्शनोऽभवथ् । केवलोऽपि सुभगो नवाम्बुदः किं पुनस्त्रिदशचापलाञ्छितः ||</v>
      </c>
      <c r="B1042" s="4" t="s">
        <v>2</v>
      </c>
      <c r="C1042" s="4"/>
    </row>
    <row r="1043" spans="1:3" ht="24" customHeight="1">
      <c r="A1043" s="4" t="str">
        <f ca="1">IFERROR(__xludf.DUMMYFUNCTION("""COMPUTED_VALUE"""),"तेन भूमिनिहितैककोटि तत्कार्मुकं च बलिनाधिरोपितं । निष्प्रभश्च रिपुरास भूभृतां धूमशेष इव धूमकेतनः ||")</f>
        <v>तेन भूमिनिहितैककोटि तत्कार्मुकं च बलिनाधिरोपितं । निष्प्रभश्च रिपुरास भूभृतां धूमशेष इव धूमकेतनः ||</v>
      </c>
      <c r="B1043" s="4" t="s">
        <v>1</v>
      </c>
      <c r="C1043" s="4"/>
    </row>
    <row r="1044" spans="1:3" ht="24" customHeight="1">
      <c r="A1044" s="4" t="str">
        <f ca="1">IFERROR(__xludf.DUMMYFUNCTION("""COMPUTED_VALUE"""),"तावुभावपि परस्पर-स्थितौ वर्धमानपरिहीनतेजसौ । पश्यति स्म जनता दिनात्यये पार्वणौ शशिदिवाकराविव ||")</f>
        <v>तावुभावपि परस्पर-स्थितौ वर्धमानपरिहीनतेजसौ । पश्यति स्म जनता दिनात्यये पार्वणौ शशिदिवाकराविव ||</v>
      </c>
      <c r="B1044" s="4" t="s">
        <v>4</v>
      </c>
      <c r="C1044" s="4"/>
    </row>
    <row r="1045" spans="1:3" ht="24" customHeight="1">
      <c r="A1045" s="4" t="str">
        <f ca="1">IFERROR(__xludf.DUMMYFUNCTION("""COMPUTED_VALUE"""),"तं कृपामृदुरवेक्ष्य भार्गवं राघवः स्खलितवीर्यं आत्मनि । स्वं च संहितं अमोघं आशुगं व्याजहार हरसूनसंनिभः ||")</f>
        <v>तं कृपामृदुरवेक्ष्य भार्गवं राघवः स्खलितवीर्यं आत्मनि । स्वं च संहितं अमोघं आशुगं व्याजहार हरसूनसंनिभः ||</v>
      </c>
      <c r="B1045" s="4" t="s">
        <v>6</v>
      </c>
      <c r="C1045" s="4"/>
    </row>
    <row r="1046" spans="1:3" ht="24" customHeight="1">
      <c r="A1046" s="4" t="str">
        <f ca="1">IFERROR(__xludf.DUMMYFUNCTION("""COMPUTED_VALUE"""),"न प्रहर्तुं अलं अस्मि निदयं विप्र इत्यभिभवत्यपि त्वयि । शंष किं गतिं अनेन पत्त्रिणा हन्मि लोकं उत ते मखार्जितं ||")</f>
        <v>न प्रहर्तुं अलं अस्मि निदयं विप्र इत्यभिभवत्यपि त्वयि । शंष किं गतिं अनेन पत्त्रिणा हन्मि लोकं उत ते मखार्जितं ||</v>
      </c>
      <c r="B1046" s="4" t="s">
        <v>2</v>
      </c>
      <c r="C1046" s="4"/>
    </row>
    <row r="1047" spans="1:3" ht="24" customHeight="1">
      <c r="A1047" s="4" t="str">
        <f ca="1">IFERROR(__xludf.DUMMYFUNCTION("""COMPUTED_VALUE"""),"प्रत्युवाच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||")</f>
        <v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||</v>
      </c>
      <c r="B1047" s="4" t="s">
        <v>7</v>
      </c>
      <c r="C1047" s="4"/>
    </row>
    <row r="1048" spans="1:3" ht="24" customHeight="1">
      <c r="A1048" s="4" t="str">
        <f ca="1">IFERROR(__xludf.DUMMYFUNCTION("""COMPUTED_VALUE"""),"भस्मसात्कृतवतः पितृद्विषः पात्रसाच्च वसुधां ससागरां । आहितो जयविपर्ययोऽपि मे श्लाघ्य एव परमेष्ठिना त्वया ||")</f>
        <v>भस्मसात्कृतवतः पितृद्विषः पात्रसाच्च वसुधां ससागरां । आहितो जयविपर्ययोऽपि मे श्लाघ्य एव परमेष्ठिना त्वया ||</v>
      </c>
      <c r="B1048" s="4" t="s">
        <v>5</v>
      </c>
      <c r="C1048" s="4"/>
    </row>
    <row r="1049" spans="1:3" ht="24" customHeight="1">
      <c r="A1049" s="4" t="str">
        <f ca="1">IFERROR(__xludf.DUMMYFUNCTION("""COMPUTED_VALUE"""),"तद्गतिं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स्वर्गपद्धतिरभोगलोलुपं ||")</f>
        <v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स्वर्गपद्धतिरभोगलोलुपं ||</v>
      </c>
      <c r="B1049" s="4" t="s">
        <v>9</v>
      </c>
      <c r="C1049" s="4"/>
    </row>
    <row r="1050" spans="1:3" ht="24" customHeight="1">
      <c r="A1050" s="4" t="str">
        <f ca="1">IFERROR(__xludf.DUMMYFUNCTION("""COMPUTED_VALUE"""),"प्रत्यपद्यत तथेति राघवः प्राङ्मुखश्च विससर्ज सायकं । भार्गवस्य सुकृतोऽपि सोऽभवत्स्वर्गमार्गपरिघो दुरत्ययः ||")</f>
        <v>प्रत्यपद्यत तथेति राघवः प्राङ्मुखश्च विससर्ज सायकं । भार्गवस्य सुकृतोऽपि सोऽभवत्स्वर्गमार्गपरिघो दुरत्ययः ||</v>
      </c>
      <c r="B1050" s="4" t="s">
        <v>5</v>
      </c>
      <c r="C1050" s="4"/>
    </row>
    <row r="1051" spans="1:3" ht="24" customHeight="1">
      <c r="A1051" s="4" t="str">
        <f ca="1">IFERROR(__xludf.DUMMYFUNCTION("""COMPUTED_VALUE"""),"राघवोऽपि चरणौ तपोनिधेः क्षम्यतां इति वदन्समस्पृषथ् । निर्जितेषु तरसा तरस्विनां शत्रुषु प्रणतिरेव कीर्तये ||")</f>
        <v>राघवोऽपि चरणौ तपोनिधेः क्षम्यतां इति वदन्समस्पृषथ् । निर्जितेषु तरसा तरस्विनां शत्रुषु प्रणतिरेव कीर्तये ||</v>
      </c>
      <c r="B1051" s="4" t="s">
        <v>5</v>
      </c>
      <c r="C1051" s="4"/>
    </row>
    <row r="1052" spans="1:3" ht="24" customHeight="1">
      <c r="A1052" s="4" t="str">
        <f ca="1">IFERROR(__xludf.DUMMYFUNCTION("""COMPUTED_VALUE"""),"राजसत्वं अवधूय मातृकं पित्र्यं अस्मि गमितः शमं यदा । नन्वनिन्दितफलो मम त्वया निग्रहोऽप्ययं अनुग्रहीकृतः ||")</f>
        <v>राजसत्वं अवधूय मातृकं पित्र्यं अस्मि गमितः शमं यदा । नन्वनिन्दितफलो मम त्वया निग्रहोऽप्ययं अनुग्रहीकृतः ||</v>
      </c>
      <c r="B1052" s="4" t="s">
        <v>2</v>
      </c>
      <c r="C1052" s="4"/>
    </row>
    <row r="1053" spans="1:3" ht="24" customHeight="1">
      <c r="A1053" s="4" t="str">
        <f ca="1">IFERROR(__xludf.DUMMYFUNCTION("""COMPUTED_VALUE"""),"साधु याम्यहं अविघ्नं अस्तु ते देवकार्यं उपपादयिष्यतः । ऊचिवानिति वचः सलक्ष्मणं लक्ष्मणाग्रजं ऋषिस्तिरोदधे ||")</f>
        <v>साधु याम्यहं अविघ्नं अस्तु ते देवकार्यं उपपादयिष्यतः । ऊचिवानिति वचः सलक्ष्मणं लक्ष्मणाग्रजं ऋषिस्तिरोदधे ||</v>
      </c>
      <c r="B1053" s="4" t="s">
        <v>20</v>
      </c>
      <c r="C1053" s="4"/>
    </row>
    <row r="1054" spans="1:3" ht="24" customHeight="1">
      <c r="A1054" s="4" t="str">
        <f ca="1">IFERROR(__xludf.DUMMYFUNCTION("""COMPUTED_VALUE"""),"स्वं निवेश्य किल धाम राघवे वैष्णवं विदितविष्णुतेजसि । स्वस्तिदानं अधिकृत्य चाक्षयं भार्गवोऽथ निजं आश्रमं ययौ ||")</f>
        <v>स्वं निवेश्य किल धाम राघवे वैष्णवं विदितविष्णुतेजसि । स्वस्तिदानं अधिकृत्य चाक्षयं भार्गवोऽथ निजं आश्रमं ययौ ||</v>
      </c>
      <c r="B1054" s="4" t="s">
        <v>5</v>
      </c>
      <c r="C1054" s="4"/>
    </row>
    <row r="1055" spans="1:3" ht="24" customHeight="1">
      <c r="A1055" s="4" t="str">
        <f ca="1">IFERROR(__xludf.DUMMYFUNCTION("""COMPUTED_VALUE"""),"तस्मिन्गते विजयिनं परिरभ्य रामं स्नेहादमन्यत पिता पुनरेव जातं । तस्याभवत्क्षणशुचः परितोषलाभः कक्षाग्निलङ्घिततरोरिव वृष्टिपातः ||")</f>
        <v>तस्मिन्गते विजयिनं परिरभ्य रामं स्नेहादमन्यत पिता पुनरेव जातं । तस्याभवत्क्षणशुचः परितोषलाभः कक्षाग्निलङ्घिततरोरिव वृष्टिपातः ||</v>
      </c>
      <c r="B1055" s="4" t="s">
        <v>2</v>
      </c>
      <c r="C1055" s="4"/>
    </row>
    <row r="1056" spans="1:3" ht="24" customHeight="1">
      <c r="A1056" s="4" t="str">
        <f ca="1">IFERROR(__xludf.DUMMYFUNCTION("""COMPUTED_VALUE"""),"अथ पथि गमयित्वा क्लृप्तरम्योपकार्ये कतिचिदवनिपालः शर्वरीः शर्वकल्पः । पुरं अविशदयोध्यां मैथिलीदर्शनीनां कुवलयितगवाक्षां लोचनैरङ्गनानां ||")</f>
        <v>अथ पथि गमयित्वा क्लृप्तरम्योपकार्ये कतिचिदवनिपालः शर्वरीः शर्वकल्पः । पुरं अविशदयोध्यां मैथिलीदर्शनीनां कुवलयितगवाक्षां लोचनैरङ्गनानां ||</v>
      </c>
      <c r="B1056" s="4" t="s">
        <v>1</v>
      </c>
      <c r="C1056" s="4"/>
    </row>
    <row r="1057" spans="1:3" ht="24" customHeight="1">
      <c r="A1057" s="4" t="str">
        <f ca="1">IFERROR(__xludf.DUMMYFUNCTION("""COMPUTED_VALUE"""),"निर्विष्टविषयस्नेहः स दशान्तं उपेयिवान् । आसीदासन्ननिर्वाणः प्रदीपार्चिरिवोषसि ||")</f>
        <v>निर्विष्टविषयस्नेहः स दशान्तं उपेयिवान् । आसीदासन्ननिर्वाणः प्रदीपार्चिरिवोषसि ||</v>
      </c>
      <c r="B1057" s="4" t="s">
        <v>18</v>
      </c>
      <c r="C1057" s="4"/>
    </row>
    <row r="1058" spans="1:3" ht="24" customHeight="1">
      <c r="A1058" s="4" t="str">
        <f ca="1">IFERROR(__xludf.DUMMYFUNCTION("""COMPUTED_VALUE"""),"तं कर्णमूलं आगत्य रामे श्रीर्नस्यतां इति । कैकेयीशङ्कयेवाह पलितच्छद्मना जरा ||")</f>
        <v>तं कर्णमूलं आगत्य रामे श्रीर्नस्यतां इति । कैकेयीशङ्कयेवाह पलितच्छद्मना जरा ||</v>
      </c>
      <c r="B1058" s="4" t="s">
        <v>0</v>
      </c>
      <c r="C1058" s="4"/>
    </row>
    <row r="1059" spans="1:3" ht="24" customHeight="1">
      <c r="A1059" s="4" t="str">
        <f ca="1">IFERROR(__xludf.DUMMYFUNCTION("""COMPUTED_VALUE"""),"सा पौरान्पौरकान्तस्य रामस्याभ्युदयश्रुतिः । प्रत्येकं ह्लादयां चक्रे कुल्येवोद्यानपादपान् ||")</f>
        <v>सा पौरान्पौरकान्तस्य रामस्याभ्युदयश्रुतिः । प्रत्येकं ह्लादयां चक्रे कुल्येवोद्यानपादपान् ||</v>
      </c>
      <c r="B1059" s="4" t="s">
        <v>9</v>
      </c>
      <c r="C1059" s="4"/>
    </row>
    <row r="1060" spans="1:3" ht="24" customHeight="1">
      <c r="A1060" s="4" t="str">
        <f ca="1">IFERROR(__xludf.DUMMYFUNCTION("""COMPUTED_VALUE"""),"तस्याभिषेकसंभारं कल्पितं क्रूरनिश्चया । दूषयां आस कैकेयी शोकोष्णैः पार्थिवाश्रुभिः ||")</f>
        <v>तस्याभिषेकसंभारं कल्पितं क्रूरनिश्चया । दूषयां आस कैकेयी शोकोष्णैः पार्थिवाश्रुभिः ||</v>
      </c>
      <c r="B1060" s="4" t="s">
        <v>6</v>
      </c>
      <c r="C1060" s="4"/>
    </row>
    <row r="1061" spans="1:3" ht="24" customHeight="1">
      <c r="A1061" s="4" t="str">
        <f ca="1">IFERROR(__xludf.DUMMYFUNCTION("""COMPUTED_VALUE"""),"सा किलाश्वासिता चण्डी भर्त्रा तत्संश्रुतौ वरौ । उद्ववामेन्द्रसिक्ता भूर्बिलमग्नाविवोरगौ ||")</f>
        <v>सा किलाश्वासिता चण्डी भर्त्रा तत्संश्रुतौ वरौ । उद्ववामेन्द्रसिक्ता भूर्बिलमग्नाविवोरगौ ||</v>
      </c>
      <c r="B1061" s="4" t="s">
        <v>15</v>
      </c>
      <c r="C1061" s="4"/>
    </row>
    <row r="1062" spans="1:3" ht="24" customHeight="1">
      <c r="A1062" s="4" t="str">
        <f ca="1">IFERROR(__xludf.DUMMYFUNCTION("""COMPUTED_VALUE"""),"तयोश्चतुर्दशैकेन रामं प्राव्राजयत्समाः । द्वितीयेन सुतस्यैच्छद्वैधव्यैकफलां श्रियं ||")</f>
        <v>तयोश्चतुर्दशैकेन रामं प्राव्राजयत्समाः । द्वितीयेन सुतस्यैच्छद्वैधव्यैकफलां श्रियं ||</v>
      </c>
      <c r="B1062" s="4" t="s">
        <v>5</v>
      </c>
      <c r="C1062" s="4"/>
    </row>
    <row r="1063" spans="1:3" ht="24" customHeight="1">
      <c r="A1063" s="4" t="str">
        <f ca="1">IFERROR(__xludf.DUMMYFUNCTION("""COMPUTED_VALUE"""),"पित्रा दत्तां रुदन्रामः प्राङ्महीं प्रत्यपद्यत । पश्चाद्वनाय गच्छेति तदाज्ञां मुदितोऽग्रहीथ् ||")</f>
        <v>पित्रा दत्तां रुदन्रामः प्राङ्महीं प्रत्यपद्यत । पश्चाद्वनाय गच्छेति तदाज्ञां मुदितोऽग्रहीथ् ||</v>
      </c>
      <c r="B1063" s="4" t="s">
        <v>24</v>
      </c>
      <c r="C1063" s="4"/>
    </row>
    <row r="1064" spans="1:3" ht="24" customHeight="1">
      <c r="A1064" s="4" t="str">
        <f ca="1">IFERROR(__xludf.DUMMYFUNCTION("""COMPUTED_VALUE"""),"दधतो मङ्गलक्ष्ॐए वसानस्य च वल्कले । ददृशुर्विस्मितास्तस्य मुखरागं समं जनाः ||")</f>
        <v>दधतो मङ्गलक्ष्ॐए वसानस्य च वल्कले । ददृशुर्विस्मितास्तस्य मुखरागं समं जनाः ||</v>
      </c>
      <c r="B1064" s="4" t="s">
        <v>1</v>
      </c>
      <c r="C1064" s="4"/>
    </row>
    <row r="1065" spans="1:3" ht="24" customHeight="1">
      <c r="A1065" s="4" t="str">
        <f ca="1">IFERROR(__xludf.DUMMYFUNCTION("""COMPUTED_VALUE"""),"स सीतालक्ष्मणसखः सत्याद्गुरुं अलोपयन् । विवेश दण्डकारण्यं प्रत्येकं च सतां मनः ||")</f>
        <v>स सीतालक्ष्मणसखः सत्याद्गुरुं अलोपयन् । विवेश दण्डकारण्यं प्रत्येकं च सतां मनः ||</v>
      </c>
      <c r="B1065" s="4" t="s">
        <v>1</v>
      </c>
      <c r="C1065" s="4"/>
    </row>
    <row r="1066" spans="1:3" ht="24" customHeight="1">
      <c r="A1066" s="4" t="str">
        <f ca="1">IFERROR(__xludf.DUMMYFUNCTION("""COMPUTED_VALUE"""),"राजापि तद्वियोगार्तः स्मृत्वा शापं स्वकर्मजं । शरीरत्यागमात्रेण शुद्धिलाभं अमन्यत ||")</f>
        <v>राजापि तद्वियोगार्तः स्मृत्वा शापं स्वकर्मजं । शरीरत्यागमात्रेण शुद्धिलाभं अमन्यत ||</v>
      </c>
      <c r="B1066" s="4" t="s">
        <v>2</v>
      </c>
      <c r="C1066" s="4"/>
    </row>
    <row r="1067" spans="1:3" ht="24" customHeight="1">
      <c r="A1067" s="4" t="str">
        <f ca="1">IFERROR(__xludf.DUMMYFUNCTION("""COMPUTED_VALUE"""),"विप्रोषितकुमारं तद्(?) राज्यं अस्तमितेश्वरं । रन्ध्रान्वेषणदक्षाणां द्विषां आमिषतां ययौ ||")</f>
        <v>विप्रोषितकुमारं तद्(?) राज्यं अस्तमितेश्वरं । रन्ध्रान्वेषणदक्षाणां द्विषां आमिषतां ययौ ||</v>
      </c>
      <c r="B1067" s="4" t="s">
        <v>5</v>
      </c>
      <c r="C1067" s="4"/>
    </row>
    <row r="1068" spans="1:3" ht="24" customHeight="1">
      <c r="A1068" s="4" t="str">
        <f ca="1">IFERROR(__xludf.DUMMYFUNCTION("""COMPUTED_VALUE"""),"अथानाथाः प्रकृतयो मातृबन्धुनिवासिनं । मौलैरानाययां आसुर्भर्तं स्तम्भिताश्रुभिः ||")</f>
        <v>अथानाथाः प्रकृतयो मातृबन्धुनिवासिनं । मौलैरानाययां आसुर्भर्तं स्तम्भिताश्रुभिः ||</v>
      </c>
      <c r="B1068" s="4" t="s">
        <v>6</v>
      </c>
      <c r="C1068" s="4"/>
    </row>
    <row r="1069" spans="1:3" ht="24" customHeight="1">
      <c r="A1069" s="4" t="str">
        <f ca="1">IFERROR(__xludf.DUMMYFUNCTION("""COMPUTED_VALUE"""),"श्रुत्वा तथाविधं मृत्युं कैकेयीतनयः पितुः । मातुर्न केवलं स्वस्याः श्रियोऽप्यासीत्पराङ्मुखः ||")</f>
        <v>श्रुत्वा तथाविधं मृत्युं कैकेयीतनयः पितुः । मातुर्न केवलं स्वस्याः श्रियोऽप्यासीत्पराङ्मुखः ||</v>
      </c>
      <c r="B1069" s="4" t="s">
        <v>14</v>
      </c>
      <c r="C1069" s="4"/>
    </row>
    <row r="1070" spans="1:3" ht="24" customHeight="1">
      <c r="A1070" s="4" t="str">
        <f ca="1">IFERROR(__xludf.DUMMYFUNCTION("""COMPUTED_VALUE"""),"ससैन्यश्चान्वगाद्रामं दर्शितानाश्रमालयैः । तस्य पश्यन्सस्ॐइत्रेरुदश्रुर्वसतिद्रुमान् ||")</f>
        <v>ससैन्यश्चान्वगाद्रामं दर्शितानाश्रमालयैः । तस्य पश्यन्सस्ॐइत्रेरुदश्रुर्वसतिद्रुमान् ||</v>
      </c>
      <c r="B1070" s="4" t="s">
        <v>12</v>
      </c>
      <c r="C1070" s="4"/>
    </row>
    <row r="1071" spans="1:3" ht="24" customHeight="1">
      <c r="A1071" s="4" t="str">
        <f ca="1">IFERROR(__xludf.DUMMYFUNCTION("""COMPUTED_VALUE"""),"चित्रकूटवनस्थं च कथितस्वर्गतिर्गुरोः । लक्ष्म्या निमन्त्रयां चक्रे तं अनुच्छिष्टसंपदा ||")</f>
        <v>चित्रकूटवनस्थं च कथितस्वर्गतिर्गुरोः । लक्ष्म्या निमन्त्रयां चक्रे तं अनुच्छिष्टसंपदा ||</v>
      </c>
      <c r="B1071" s="4" t="s">
        <v>17</v>
      </c>
      <c r="C1071" s="4"/>
    </row>
    <row r="1072" spans="1:3" ht="24" customHeight="1">
      <c r="A1072" s="4" t="str">
        <f ca="1">IFERROR(__xludf.DUMMYFUNCTION("""COMPUTED_VALUE"""),"स हि प्रथमजे तस्मिन्नकृतश्रीपरिग्रहे । परिवेत्तारं आत्मानं मेने स्वीकरणाद्भुवः ||")</f>
        <v>स हि प्रथमजे तस्मिन्नकृतश्रीपरिग्रहे । परिवेत्तारं आत्मानं मेने स्वीकरणाद्भुवः ||</v>
      </c>
      <c r="B1072" s="4" t="s">
        <v>4</v>
      </c>
      <c r="C1072" s="4"/>
    </row>
    <row r="1073" spans="1:3" ht="24" customHeight="1">
      <c r="A1073" s="4" t="str">
        <f ca="1">IFERROR(__xludf.DUMMYFUNCTION("""COMPUTED_VALUE"""),"तं अशक्यं अपाक्रष्टुं निर्देशात्स्वर्गिणः पितुः । ययाचे पादुके पश्चात्कर्तुं राज्याधिदेवते ||")</f>
        <v>तं अशक्यं अपाक्रष्टुं निर्देशात्स्वर्गिणः पितुः । ययाचे पादुके पश्चात्कर्तुं राज्याधिदेवते ||</v>
      </c>
      <c r="B1073" s="4" t="s">
        <v>2</v>
      </c>
      <c r="C1073" s="4"/>
    </row>
    <row r="1074" spans="1:3" ht="24" customHeight="1">
      <c r="A1074" s="4" t="str">
        <f ca="1">IFERROR(__xludf.DUMMYFUNCTION("""COMPUTED_VALUE"""),"स विसृष्टस्तथेत्युक्त्वा भ्रात्रा नैवाविशत्पुरीं । नन्दिग्रामगतस्तस्य राज्यं न्यासं इवाभुनक् ||")</f>
        <v>स विसृष्टस्तथेत्युक्त्वा भ्रात्रा नैवाविशत्पुरीं । नन्दिग्रामगतस्तस्य राज्यं न्यासं इवाभुनक् ||</v>
      </c>
      <c r="B1074" s="4" t="s">
        <v>1</v>
      </c>
      <c r="C1074" s="4"/>
    </row>
    <row r="1075" spans="1:3" ht="24" customHeight="1">
      <c r="A1075" s="4" t="str">
        <f ca="1">IFERROR(__xludf.DUMMYFUNCTION("""COMPUTED_VALUE"""),"दृढभक्तिरिति ज्येष्ठे राज्यतृष्णापराङ्मुखः । मातुः पापस्य शुद्ध्यर्थं प्रायश्चित्तं इवाकरोथ् ||")</f>
        <v>दृढभक्तिरिति ज्येष्ठे राज्यतृष्णापराङ्मुखः । मातुः पापस्य शुद्ध्यर्थं प्रायश्चित्तं इवाकरोथ् ||</v>
      </c>
      <c r="B1075" s="4" t="s">
        <v>0</v>
      </c>
      <c r="C1075" s="4"/>
    </row>
    <row r="1076" spans="1:3" ht="24" customHeight="1">
      <c r="A1076" s="4" t="str">
        <f ca="1">IFERROR(__xludf.DUMMYFUNCTION("""COMPUTED_VALUE"""),"रामोऽपि सह वैदेह्या वने वन्येन वर्तयन् । चचार सानुजः शान्तो वृद्धेक्ष्वाकुव्रतं युवा ||")</f>
        <v>रामोऽपि सह वैदेह्या वने वन्येन वर्तयन् । चचार सानुजः शान्तो वृद्धेक्ष्वाकुव्रतं युवा ||</v>
      </c>
      <c r="B1076" s="4" t="s">
        <v>4</v>
      </c>
      <c r="C1076" s="4"/>
    </row>
    <row r="1077" spans="1:3" ht="24" customHeight="1">
      <c r="A1077" s="4" t="str">
        <f ca="1">IFERROR(__xludf.DUMMYFUNCTION("""COMPUTED_VALUE"""),"प्रभावस्तम्भितच्छायं आश्रितः स वनस्पतिं । कदाचिदङ्के सीतायाः शिश्ये किंचिदिव श्रमाथ् ||")</f>
        <v>प्रभावस्तम्भितच्छायं आश्रितः स वनस्पतिं । कदाचिदङ्के सीतायाः शिश्ये किंचिदिव श्रमाथ् ||</v>
      </c>
      <c r="B1077" s="4" t="s">
        <v>12</v>
      </c>
      <c r="C1077" s="4"/>
    </row>
    <row r="1078" spans="1:3" ht="24" customHeight="1">
      <c r="A1078" s="4" t="str">
        <f ca="1">IFERROR(__xludf.DUMMYFUNCTION("""COMPUTED_VALUE"""),"ऐन्द्रिः किल नखैस्तस्या विददार स्तनौ द्विजः । प्रियोपभोगचिह्नेषु पौरोभाग्यं इवाचरन् ||")</f>
        <v>ऐन्द्रिः किल नखैस्तस्या विददार स्तनौ द्विजः । प्रियोपभोगचिह्नेषु पौरोभाग्यं इवाचरन् ||</v>
      </c>
      <c r="B1078" s="4" t="s">
        <v>0</v>
      </c>
      <c r="C1078" s="4"/>
    </row>
    <row r="1079" spans="1:3" ht="24" customHeight="1">
      <c r="A1079" s="4" t="str">
        <f ca="1">IFERROR(__xludf.DUMMYFUNCTION("""COMPUTED_VALUE"""),"मृगमांसं ततः सीतां रक्षन्तीं आतपे धृतं । पक्षतुण्डनखाघातैर्बबाधे वायसो बलाथ् ||")</f>
        <v>मृगमांसं ततः सीतां रक्षन्तीं आतपे धृतं । पक्षतुण्डनखाघातैर्बबाधे वायसो बलाथ् ||</v>
      </c>
      <c r="B1079" s="4" t="s">
        <v>11</v>
      </c>
      <c r="C1079" s="4"/>
    </row>
    <row r="1080" spans="1:3" ht="24" customHeight="1">
      <c r="A1080" s="4" t="str">
        <f ca="1">IFERROR(__xludf.DUMMYFUNCTION("""COMPUTED_VALUE"""),"तस्मिन्नास्थदिषीकास्त्रं रामो रामावभोधितः । आत्मानं मुमुचे तस्मादेकनेत्रव्ययेन सः ||")</f>
        <v>तस्मिन्नास्थदिषीकास्त्रं रामो रामावभोधितः । आत्मानं मुमुचे तस्मादेकनेत्रव्ययेन सः ||</v>
      </c>
      <c r="B1080" s="4" t="s">
        <v>18</v>
      </c>
      <c r="C1080" s="4"/>
    </row>
    <row r="1081" spans="1:3" ht="24" customHeight="1">
      <c r="A1081" s="4" t="str">
        <f ca="1">IFERROR(__xludf.DUMMYFUNCTION("""COMPUTED_VALUE"""),"रामस्त्वासन्नदेशत्वाद्भरतागमनं पुनः । आशङ्क्योत्सुकसारङ्गां चित्रकूटस्थलीं जहौ ||")</f>
        <v>रामस्त्वासन्नदेशत्वाद्भरतागमनं पुनः । आशङ्क्योत्सुकसारङ्गां चित्रकूटस्थलीं जहौ ||</v>
      </c>
      <c r="B1081" s="4" t="s">
        <v>24</v>
      </c>
      <c r="C1081" s="4"/>
    </row>
    <row r="1082" spans="1:3" ht="24" customHeight="1">
      <c r="A1082" s="4" t="str">
        <f ca="1">IFERROR(__xludf.DUMMYFUNCTION("""COMPUTED_VALUE"""),"प्रययावातिथेयेषु वसन्नृषिकुलेषु सः । दक्षिणां दिशं ऋक्षेषु वार्षिकेष्विव भास्करः ||")</f>
        <v>प्रययावातिथेयेषु वसन्नृषिकुलेषु सः । दक्षिणां दिशं ऋक्षेषु वार्षिकेष्विव भास्करः ||</v>
      </c>
      <c r="B1082" s="4" t="s">
        <v>0</v>
      </c>
      <c r="C1082" s="4"/>
    </row>
    <row r="1083" spans="1:3" ht="24" customHeight="1">
      <c r="A1083" s="4" t="str">
        <f ca="1">IFERROR(__xludf.DUMMYFUNCTION("""COMPUTED_VALUE"""),"बभौ तं अनुगच्छन्ती विदेहाधिपतेः सुता । प्रतिषिद्धापि कैकेय्या लक्ष्मीरिव गुणोन्मुखी ||")</f>
        <v>बभौ तं अनुगच्छन्ती विदेहाधिपतेः सुता । प्रतिषिद्धापि कैकेय्या लक्ष्मीरिव गुणोन्मुखी ||</v>
      </c>
      <c r="B1083" s="4" t="s">
        <v>14</v>
      </c>
      <c r="C1083" s="4"/>
    </row>
    <row r="1084" spans="1:3" ht="24" customHeight="1">
      <c r="A1084" s="4" t="str">
        <f ca="1">IFERROR(__xludf.DUMMYFUNCTION("""COMPUTED_VALUE"""),"अनुसूयातिसृष्टेन पुण्यगन्धेन काननं । सा चकाराङ्गरागेण पुष्पोच्चलित षट्पदं ||")</f>
        <v>अनुसूयातिसृष्टेन पुण्यगन्धेन काननं । सा चकाराङ्गरागेण पुष्पोच्चलित षट्पदं ||</v>
      </c>
      <c r="B1084" s="4" t="s">
        <v>17</v>
      </c>
      <c r="C1084" s="4"/>
    </row>
    <row r="1085" spans="1:3" ht="24" customHeight="1">
      <c r="A1085" s="4" t="str">
        <f ca="1">IFERROR(__xludf.DUMMYFUNCTION("""COMPUTED_VALUE"""),"संध्याभ्रकपिषस्तत्र विराधो नाम राक्षसः । अतिष्ठन्मार्गं आवृत्य रामस्येन्दोरिव ग्रहः ||")</f>
        <v>संध्याभ्रकपिषस्तत्र विराधो नाम राक्षसः । अतिष्ठन्मार्गं आवृत्य रामस्येन्दोरिव ग्रहः ||</v>
      </c>
      <c r="B1085" s="4" t="s">
        <v>24</v>
      </c>
      <c r="C1085" s="4"/>
    </row>
    <row r="1086" spans="1:3" ht="24" customHeight="1">
      <c r="A1086" s="4" t="str">
        <f ca="1">IFERROR(__xludf.DUMMYFUNCTION("""COMPUTED_VALUE"""),"स जहरा तयोर्मध्ये मैथिलीं लोकशोषणः । नभोनभस्ययोर्वृष्टिं अवग्रह इवान्तरे ||")</f>
        <v>स जहरा तयोर्मध्ये मैथिलीं लोकशोषणः । नभोनभस्ययोर्वृष्टिं अवग्रह इवान्तरे ||</v>
      </c>
      <c r="B1086" s="4" t="s">
        <v>0</v>
      </c>
      <c r="C1086" s="4"/>
    </row>
    <row r="1087" spans="1:3" ht="24" customHeight="1">
      <c r="A1087" s="4" t="str">
        <f ca="1">IFERROR(__xludf.DUMMYFUNCTION("""COMPUTED_VALUE"""),"तं विनिष्पिष्य काकुत्स्थौ पुरा दूषयति श्तलीं । गन्धेनाशुचिना चेति वसुधायां निचख्नतुः ||")</f>
        <v>तं विनिष्पिष्य काकुत्स्थौ पुरा दूषयति श्तलीं । गन्धेनाशुचिना चेति वसुधायां निचख्नतुः ||</v>
      </c>
      <c r="B1087" s="4" t="s">
        <v>2</v>
      </c>
      <c r="C1087" s="4"/>
    </row>
    <row r="1088" spans="1:3" ht="24" customHeight="1">
      <c r="A1088" s="4" t="str">
        <f ca="1">IFERROR(__xludf.DUMMYFUNCTION("""COMPUTED_VALUE"""),"पञ्चवट्यां ततो रामः शासनात्कुम्भजन्मनः । अनपोष्हस्थितिस्तस्थौ विन्ध्याद्रिः प्रकृताविव ||")</f>
        <v>पञ्चवट्यां ततो रामः शासनात्कुम्भजन्मनः । अनपोष्हस्थितिस्तस्थौ विन्ध्याद्रिः प्रकृताविव ||</v>
      </c>
      <c r="B1088" s="4" t="s">
        <v>4</v>
      </c>
      <c r="C1088" s="4"/>
    </row>
    <row r="1089" spans="1:3" ht="24" customHeight="1">
      <c r="A1089" s="4" t="str">
        <f ca="1">IFERROR(__xludf.DUMMYFUNCTION("""COMPUTED_VALUE"""),"रावणावरजा तत्र राघवं मदनातुरा । अभिपेदे निदाघार्ता व्यालीव मलयद्रुमं ||")</f>
        <v>रावणावरजा तत्र राघवं मदनातुरा । अभिपेदे निदाघार्ता व्यालीव मलयद्रुमं ||</v>
      </c>
      <c r="B1089" s="4" t="s">
        <v>12</v>
      </c>
      <c r="C1089" s="4"/>
    </row>
    <row r="1090" spans="1:3" ht="24" customHeight="1">
      <c r="A1090" s="4" t="str">
        <f ca="1">IFERROR(__xludf.DUMMYFUNCTION("""COMPUTED_VALUE"""),"सा सीतासंनिधावेव तं वव्रे कथितान्वया । अत्यारूढो हि नारीणां अकालज्ञो मओभवः ||")</f>
        <v>सा सीतासंनिधावेव तं वव्रे कथितान्वया । अत्यारूढो हि नारीणां अकालज्ञो मओभवः ||</v>
      </c>
      <c r="B1090" s="4" t="s">
        <v>4</v>
      </c>
      <c r="C1090" s="4"/>
    </row>
    <row r="1091" spans="1:3" ht="24" customHeight="1">
      <c r="A1091" s="4" t="str">
        <f ca="1">IFERROR(__xludf.DUMMYFUNCTION("""COMPUTED_VALUE"""),"कलत्रवानहं बाले कनीयांसं भजस्व मे । इति रामो वृषस्यन्तीं वृषस्कन्धः शशास तां ||")</f>
        <v>कलत्रवानहं बाले कनीयांसं भजस्व मे । इति रामो वृषस्यन्तीं वृषस्कन्धः शशास तां ||</v>
      </c>
      <c r="B1091" s="4" t="s">
        <v>2</v>
      </c>
      <c r="C1091" s="4"/>
    </row>
    <row r="1092" spans="1:3" ht="24" customHeight="1">
      <c r="A1092" s="4" t="str">
        <f ca="1">IFERROR(__xludf.DUMMYFUNCTION("""COMPUTED_VALUE"""),"ज्येष्ठाभिगमनात्पूर्वं तेनाप्यनभिनन्दिता । साभूद्रामाश्रया भूयो नदीवोभयकूलभाक् ||")</f>
        <v>ज्येष्ठाभिगमनात्पूर्वं तेनाप्यनभिनन्दिता । साभूद्रामाश्रया भूयो नदीवोभयकूलभाक् ||</v>
      </c>
      <c r="B1092" s="4" t="s">
        <v>6</v>
      </c>
      <c r="C1092" s="4"/>
    </row>
    <row r="1093" spans="1:3" ht="24" customHeight="1">
      <c r="A1093" s="4" t="str">
        <f ca="1">IFERROR(__xludf.DUMMYFUNCTION("""COMPUTED_VALUE"""),"संरम्भं मैथिलीहासः क्षणं स्ॐयां निनाय तां । निवातस्तिमितां वेलां चन्द्रोदय इवोदधेः ||")</f>
        <v>संरम्भं मैथिलीहासः क्षणं स्ॐयां निनाय तां । निवातस्तिमितां वेलां चन्द्रोदय इवोदधेः ||</v>
      </c>
      <c r="B1093" s="4" t="s">
        <v>20</v>
      </c>
      <c r="C1093" s="4"/>
    </row>
    <row r="1094" spans="1:3" ht="24" customHeight="1">
      <c r="A1094" s="4" t="str">
        <f ca="1">IFERROR(__xludf.DUMMYFUNCTION("""COMPUTED_VALUE"""),"फलं अस्योपहासस्य सद्यः प्राप्स्यसि पश्य मां । मृग्यः परिभवो व्याघ्र्यां इत्यवेहि त्वया कृतं ||")</f>
        <v>फलं अस्योपहासस्य सद्यः प्राप्स्यसि पश्य मां । मृग्यः परिभवो व्याघ्र्यां इत्यवेहि त्वया कृतं ||</v>
      </c>
      <c r="B1094" s="4" t="s">
        <v>2</v>
      </c>
      <c r="C1094" s="4"/>
    </row>
    <row r="1095" spans="1:3" ht="24" customHeight="1">
      <c r="A1095" s="4" t="str">
        <f ca="1">IFERROR(__xludf.DUMMYFUNCTION("""COMPUTED_VALUE"""),"इत्युक्त्वा मैथिलीं भर्तुरङ्के निर्विशतीं भयाथ् । रूपं शूर्पणखा-नाम्नः सदृशं प्रत्यपद्यत ||")</f>
        <v>इत्युक्त्वा मैथिलीं भर्तुरङ्के निर्विशतीं भयाथ् । रूपं शूर्पणखा-नाम्नः सदृशं प्रत्यपद्यत ||</v>
      </c>
      <c r="B1095" s="4" t="s">
        <v>2</v>
      </c>
      <c r="C1095" s="4"/>
    </row>
    <row r="1096" spans="1:3" ht="24" customHeight="1">
      <c r="A1096" s="4" t="str">
        <f ca="1">IFERROR(__xludf.DUMMYFUNCTION("""COMPUTED_VALUE"""),"लक्ष्मणः प्रथमं श्रुत्वा कोकिलामञ्जुभाषिणीं । शिवाघोरस्वनां पश्चाद्बुबुधे विकृतेति तां ||")</f>
        <v>लक्ष्मणः प्रथमं श्रुत्वा कोकिलामञ्जुभाषिणीं । शिवाघोरस्वनां पश्चाद्बुबुधे विकृतेति तां ||</v>
      </c>
      <c r="B1096" s="4" t="s">
        <v>2</v>
      </c>
      <c r="C1096" s="4"/>
    </row>
    <row r="1097" spans="1:3" ht="24" customHeight="1">
      <c r="A1097" s="4" t="str">
        <f ca="1">IFERROR(__xludf.DUMMYFUNCTION("""COMPUTED_VALUE"""),"पर्णशालां अथ क्षिप्रं विधृतासिः प्रविश्य सः । वैरूप्यपौनरुक्त्येन भीषणां तां अयोजयथ् ||")</f>
        <v>पर्णशालां अथ क्षिप्रं विधृतासिः प्रविश्य सः । वैरूप्यपौनरुक्त्येन भीषणां तां अयोजयथ् ||</v>
      </c>
      <c r="B1097" s="4" t="s">
        <v>5</v>
      </c>
      <c r="C1097" s="4"/>
    </row>
    <row r="1098" spans="1:3" ht="24" customHeight="1">
      <c r="A1098" s="4" t="str">
        <f ca="1">IFERROR(__xludf.DUMMYFUNCTION("""COMPUTED_VALUE"""),"सा वक्रनखधारिण्या वेणुकर्कशपर्वया । अङ्कुशाकारयाङ्गुल्या तावतर्जयदम्बरे ||")</f>
        <v>सा वक्रनखधारिण्या वेणुकर्कशपर्वया । अङ्कुशाकारयाङ्गुल्या तावतर्जयदम्बरे ||</v>
      </c>
      <c r="B1098" s="4" t="s">
        <v>0</v>
      </c>
      <c r="C1098" s="4"/>
    </row>
    <row r="1099" spans="1:3" ht="24" customHeight="1">
      <c r="A1099" s="4" t="str">
        <f ca="1">IFERROR(__xludf.DUMMYFUNCTION("""COMPUTED_VALUE"""),"प्राप्य चाशु जन्स्थानं खरादिभ्यस्तथाविधं । रामोपक्रमं आचख्यौ रक्षःपरिभवं नवं ||")</f>
        <v>प्राप्य चाशु जन्स्थानं खरादिभ्यस्तथाविधं । रामोपक्रमं आचख्यौ रक्षःपरिभवं नवं ||</v>
      </c>
      <c r="B1099" s="4" t="s">
        <v>4</v>
      </c>
      <c r="C1099" s="4"/>
    </row>
    <row r="1100" spans="1:3" ht="24" customHeight="1">
      <c r="A1100" s="4" t="str">
        <f ca="1">IFERROR(__xludf.DUMMYFUNCTION("""COMPUTED_VALUE"""),"मुखावयवलूणां तां नैरृता यत्पुरोदधुः । रामाभियायिनां तेषां तदेवाभूदमङ्गलं ||")</f>
        <v>मुखावयवलूणां तां नैरृता यत्पुरोदधुः । रामाभियायिनां तेषां तदेवाभूदमङ्गलं ||</v>
      </c>
      <c r="B1100" s="4" t="s">
        <v>11</v>
      </c>
      <c r="C1100" s="4"/>
    </row>
    <row r="1101" spans="1:3" ht="24" customHeight="1">
      <c r="A1101" s="4" t="str">
        <f ca="1">IFERROR(__xludf.DUMMYFUNCTION("""COMPUTED_VALUE"""),"उदायुधानापततस्तान्दृप्तान्प्रेक्ष्य राघवः । निदधे विजयाशंसां चापे सीतां च लक्ष्मणे ||")</f>
        <v>उदायुधानापततस्तान्दृप्तान्प्रेक्ष्य राघवः । निदधे विजयाशंसां चापे सीतां च लक्ष्मणे ||</v>
      </c>
      <c r="B1101" s="4" t="s">
        <v>7</v>
      </c>
      <c r="C1101" s="4"/>
    </row>
    <row r="1102" spans="1:3" ht="24" customHeight="1">
      <c r="A1102" s="4" t="str">
        <f ca="1">IFERROR(__xludf.DUMMYFUNCTION("""COMPUTED_VALUE"""),"एको दाशरथी रामो यातुधानाः सहस्रशः । ते तु यावन्त एवाजौ तावांश्च ददृशे स तैः ||")</f>
        <v>एको दाशरथी रामो यातुधानाः सहस्रशः । ते तु यावन्त एवाजौ तावांश्च ददृशे स तैः ||</v>
      </c>
      <c r="B1102" s="4" t="s">
        <v>2</v>
      </c>
      <c r="C1102" s="4"/>
    </row>
    <row r="1103" spans="1:3" ht="24" customHeight="1">
      <c r="A1103" s="4" t="str">
        <f ca="1">IFERROR(__xludf.DUMMYFUNCTION("""COMPUTED_VALUE"""),"असज्जनेन काकुत्स्थः प्रयुक्तं अथ दूषणं । न चक्षमे शुभाचारः स दूषणं इवात्मनः ||")</f>
        <v>असज्जनेन काकुत्स्थः प्रयुक्तं अथ दूषणं । न चक्षमे शुभाचारः स दूषणं इवात्मनः ||</v>
      </c>
      <c r="B1103" s="4" t="s">
        <v>1</v>
      </c>
      <c r="C1103" s="4"/>
    </row>
    <row r="1104" spans="1:3" ht="24" customHeight="1">
      <c r="A1104" s="4" t="str">
        <f ca="1">IFERROR(__xludf.DUMMYFUNCTION("""COMPUTED_VALUE"""),"तं शरैः प्रतिजग्राह खरतिशिरसौ च सः । ख्रमशस्ते पुनस्तस्य चापात्समं इवोद्ययुः ||")</f>
        <v>तं शरैः प्रतिजग्राह खरतिशिरसौ च सः । ख्रमशस्ते पुनस्तस्य चापात्समं इवोद्ययुः ||</v>
      </c>
      <c r="B1104" s="4" t="s">
        <v>5</v>
      </c>
      <c r="C1104" s="4"/>
    </row>
    <row r="1105" spans="1:3" ht="24" customHeight="1">
      <c r="A1105" s="4" t="str">
        <f ca="1">IFERROR(__xludf.DUMMYFUNCTION("""COMPUTED_VALUE"""),"तैस्त्रयाणां शितैर्बाणैर्यथापूर्वविशुद्धिभिः । आयुर्देहातिगैः पीतं रुधिरं तु पतत्रिभिः ||")</f>
        <v>तैस्त्रयाणां शितैर्बाणैर्यथापूर्वविशुद्धिभिः । आयुर्देहातिगैः पीतं रुधिरं तु पतत्रिभिः ||</v>
      </c>
      <c r="B1105" s="4" t="s">
        <v>6</v>
      </c>
      <c r="C1105" s="4"/>
    </row>
    <row r="1106" spans="1:3" ht="24" customHeight="1">
      <c r="A1106" s="4" t="str">
        <f ca="1">IFERROR(__xludf.DUMMYFUNCTION("""COMPUTED_VALUE"""),"तस्मिन्रामशरोत्कृत्ते बले महति रक्षसां । उत्थितं ददृशेऽन्यच्च कबन्धेभ्यो न किंचन ||")</f>
        <v>तस्मिन्रामशरोत्कृत्ते बले महति रक्षसां । उत्थितं ददृशेऽन्यच्च कबन्धेभ्यो न किंचन ||</v>
      </c>
      <c r="B1106" s="4" t="s">
        <v>1</v>
      </c>
      <c r="C1106" s="4"/>
    </row>
    <row r="1107" spans="1:3" ht="24" customHeight="1">
      <c r="A1107" s="4" t="str">
        <f ca="1">IFERROR(__xludf.DUMMYFUNCTION("""COMPUTED_VALUE"""),"सा बाणवर्षिणं रामं योधयित्वा सुरद्विषां । अप्रबोधाय सुष्वाप गृध्रच्छाये वरूथिनी ||")</f>
        <v>सा बाणवर्षिणं रामं योधयित्वा सुरद्विषां । अप्रबोधाय सुष्वाप गृध्रच्छाये वरूथिनी ||</v>
      </c>
      <c r="B1107" s="4" t="s">
        <v>1</v>
      </c>
      <c r="C1107" s="4"/>
    </row>
    <row r="1108" spans="1:3" ht="24" customHeight="1">
      <c r="A1108" s="4" t="str">
        <f ca="1">IFERROR(__xludf.DUMMYFUNCTION("""COMPUTED_VALUE"""),"राघवास्त्रविदीर्णानां रावणं प्रति रक्षसां । तेषां शूर्पणखैवैका दुष्प्रत्वृत्तिहराभवथ् ||")</f>
        <v>राघवास्त्रविदीर्णानां रावणं प्रति रक्षसां । तेषां शूर्पणखैवैका दुष्प्रत्वृत्तिहराभवथ् ||</v>
      </c>
      <c r="B1108" s="4" t="s">
        <v>4</v>
      </c>
      <c r="C1108" s="4"/>
    </row>
    <row r="1109" spans="1:3" ht="24" customHeight="1">
      <c r="A1109" s="4" t="str">
        <f ca="1">IFERROR(__xludf.DUMMYFUNCTION("""COMPUTED_VALUE"""),"निग्रहात्स्वसुराप्तानां वधाच्च धनदानुजः । रामेण निहतं मेने पदं दशसु मूर्धसु ||")</f>
        <v>निग्रहात्स्वसुराप्तानां वधाच्च धनदानुजः । रामेण निहतं मेने पदं दशसु मूर्धसु ||</v>
      </c>
      <c r="B1109" s="4" t="s">
        <v>18</v>
      </c>
      <c r="C1109" s="4"/>
    </row>
    <row r="1110" spans="1:3" ht="24" customHeight="1">
      <c r="A1110" s="4" t="str">
        <f ca="1">IFERROR(__xludf.DUMMYFUNCTION("""COMPUTED_VALUE"""),"रक्षसा मृगरूपेण वञ्चयित्वा स राघवौ । जहरा सीतां पक्षीन्द्रप्रयासक्षणविघ्नितः ||")</f>
        <v>रक्षसा मृगरूपेण वञ्चयित्वा स राघवौ । जहरा सीतां पक्षीन्द्रप्रयासक्षणविघ्नितः ||</v>
      </c>
      <c r="B1110" s="4" t="s">
        <v>2</v>
      </c>
      <c r="C1110" s="4"/>
    </row>
    <row r="1111" spans="1:3" ht="24" customHeight="1">
      <c r="A1111" s="4" t="str">
        <f ca="1">IFERROR(__xludf.DUMMYFUNCTION("""COMPUTED_VALUE"""),"तौ सीतान्वेषिणौ गृध्रं लूनपक्षं अपश्यतां । प्राणैर्दशरथप्रीतेरनृणं कण्ठवर्तिभिः ||")</f>
        <v>तौ सीतान्वेषिणौ गृध्रं लूनपक्षं अपश्यतां । प्राणैर्दशरथप्रीतेरनृणं कण्ठवर्तिभिः ||</v>
      </c>
      <c r="B1111" s="4" t="s">
        <v>6</v>
      </c>
      <c r="C1111" s="4"/>
    </row>
    <row r="1112" spans="1:3" ht="24" customHeight="1">
      <c r="A1112" s="4" t="str">
        <f ca="1">IFERROR(__xludf.DUMMYFUNCTION("""COMPUTED_VALUE"""),"स रावणहृतां ताभ्यां वचसाचष्ट मैथिलीं । आत्मनः सुमहत्कर्म व्रणैरावेद्य संस्थितः ||")</f>
        <v>स रावणहृतां ताभ्यां वचसाचष्ट मैथिलीं । आत्मनः सुमहत्कर्म व्रणैरावेद्य संस्थितः ||</v>
      </c>
      <c r="B1112" s="4" t="s">
        <v>2</v>
      </c>
      <c r="C1112" s="4"/>
    </row>
    <row r="1113" spans="1:3" ht="24" customHeight="1">
      <c r="A1113" s="4" t="str">
        <f ca="1">IFERROR(__xludf.DUMMYFUNCTION("""COMPUTED_VALUE"""),"तयोस्रावणहृतां ताभ्यां पितृव्यापत्तिशोकयोः । पितरीवाग्निसंस्कारात्परा ववृतिरे क्रियाः ||")</f>
        <v>तयोस्रावणहृतां ताभ्यां पितृव्यापत्तिशोकयोः । पितरीवाग्निसंस्कारात्परा ववृतिरे क्रियाः ||</v>
      </c>
      <c r="B1113" s="4" t="s">
        <v>5</v>
      </c>
      <c r="C1113" s="4"/>
    </row>
    <row r="1114" spans="1:3" ht="24" customHeight="1">
      <c r="A1114" s="4" t="str">
        <f ca="1">IFERROR(__xludf.DUMMYFUNCTION("""COMPUTED_VALUE"""),"वधनिर्धूतशापस्य कबन्धस्योपदेशतः । मुमूर्छ सख्यं रामस्य समानव्यसने हरौ ||")</f>
        <v>वधनिर्धूतशापस्य कबन्धस्योपदेशतः । मुमूर्छ सख्यं रामस्य समानव्यसने हरौ ||</v>
      </c>
      <c r="B1114" s="4" t="s">
        <v>0</v>
      </c>
      <c r="C1114" s="4"/>
    </row>
    <row r="1115" spans="1:3" ht="24" customHeight="1">
      <c r="A1115" s="4" t="str">
        <f ca="1">IFERROR(__xludf.DUMMYFUNCTION("""COMPUTED_VALUE"""),"स हत्वा वालिनं वीरस्तत्पदे चिरकाङ्क्षिते । धातोः स्थान इवादेशं सुग्रीवं संन्यवेशयथ् ||")</f>
        <v>स हत्वा वालिनं वीरस्तत्पदे चिरकाङ्क्षिते । धातोः स्थान इवादेशं सुग्रीवं संन्यवेशयथ् ||</v>
      </c>
      <c r="B1115" s="4" t="s">
        <v>5</v>
      </c>
      <c r="C1115" s="4"/>
    </row>
    <row r="1116" spans="1:3" ht="24" customHeight="1">
      <c r="A1116" s="4" t="str">
        <f ca="1">IFERROR(__xludf.DUMMYFUNCTION("""COMPUTED_VALUE"""),"इतस्ततश्च वैदेहीं अन्वेष्टुं भर्तृचोदिताः । कपयश्चेरुरार्तस्य रामस्येव मनोरथाः ||")</f>
        <v>इतस्ततश्च वैदेहीं अन्वेष्टुं भर्तृचोदिताः । कपयश्चेरुरार्तस्य रामस्येव मनोरथाः ||</v>
      </c>
      <c r="B1116" s="4" t="s">
        <v>10</v>
      </c>
      <c r="C1116" s="4"/>
    </row>
    <row r="1117" spans="1:3" ht="24" customHeight="1">
      <c r="A1117" s="4" t="str">
        <f ca="1">IFERROR(__xludf.DUMMYFUNCTION("""COMPUTED_VALUE"""),"प्रवृत्तावुपलब्धायां तस्याः संपातिदर्शनाथ् । मारुतिः सागरं तीर्णः संसारं इव निर्ममः ||")</f>
        <v>प्रवृत्तावुपलब्धायां तस्याः संपातिदर्शनाथ् । मारुतिः सागरं तीर्णः संसारं इव निर्ममः ||</v>
      </c>
      <c r="B1117" s="4" t="s">
        <v>12</v>
      </c>
      <c r="C1117" s="4"/>
    </row>
    <row r="1118" spans="1:3" ht="24" customHeight="1">
      <c r="A1118" s="4" t="str">
        <f ca="1">IFERROR(__xludf.DUMMYFUNCTION("""COMPUTED_VALUE""")," दृष्टा विचिन्वता तेन लङ्कायां राक्षसीवृता । जानकी विषवल्लीभिः परीतेव महौषधिः ||")</f>
        <v xml:space="preserve"> दृष्टा विचिन्वता तेन लङ्कायां राक्षसीवृता । जानकी विषवल्लीभिः परीतेव महौषधिः ||</v>
      </c>
      <c r="B1118" s="4" t="s">
        <v>20</v>
      </c>
      <c r="C1118" s="4"/>
    </row>
    <row r="1119" spans="1:3" ht="24" customHeight="1">
      <c r="A1119" s="4" t="str">
        <f ca="1">IFERROR(__xludf.DUMMYFUNCTION("""COMPUTED_VALUE"""),"तस्यै भर्तुरभिज्ञामं अङ्गुलीयं ददौ कपिः । प्रत्युद्गतं इवानुष्णैस्तदानन्दाश्रुभिन्दुभिः ||")</f>
        <v>तस्यै भर्तुरभिज्ञामं अङ्गुलीयं ददौ कपिः । प्रत्युद्गतं इवानुष्णैस्तदानन्दाश्रुभिन्दुभिः ||</v>
      </c>
      <c r="B1119" s="4" t="s">
        <v>6</v>
      </c>
      <c r="C1119" s="4"/>
    </row>
    <row r="1120" spans="1:3" ht="24" customHeight="1">
      <c r="A1120" s="4" t="str">
        <f ca="1">IFERROR(__xludf.DUMMYFUNCTION("""COMPUTED_VALUE"""),"निर्वाप्य प्रियसंदेशैः सीतां अक्षवधोद्धतः । स ददाह पुरीं लङ्कां क्षणसोढारिनिग्रहः ||")</f>
        <v>निर्वाप्य प्रियसंदेशैः सीतां अक्षवधोद्धतः । स ददाह पुरीं लङ्कां क्षणसोढारिनिग्रहः ||</v>
      </c>
      <c r="B1120" s="4" t="s">
        <v>24</v>
      </c>
      <c r="C1120" s="4"/>
    </row>
    <row r="1121" spans="1:3" ht="24" customHeight="1">
      <c r="A1121" s="4" t="str">
        <f ca="1">IFERROR(__xludf.DUMMYFUNCTION("""COMPUTED_VALUE"""),"प्रत्यभिज्ञानरत्नं च रामायादर्शयत्कृती । हृदयं स्वयं आयातं वैदेह्या इव मूर्तिमथ् ||")</f>
        <v>प्रत्यभिज्ञानरत्नं च रामायादर्शयत्कृती । हृदयं स्वयं आयातं वैदेह्या इव मूर्तिमथ् ||</v>
      </c>
      <c r="B1121" s="4" t="s">
        <v>12</v>
      </c>
      <c r="C1121" s="4"/>
    </row>
    <row r="1122" spans="1:3" ht="24" customHeight="1">
      <c r="A1122" s="4" t="str">
        <f ca="1">IFERROR(__xludf.DUMMYFUNCTION("""COMPUTED_VALUE"""),"स प्राप हृदयन्यस्तमणिपर्शनिमीलितः । अपयोधरसंसर्गं प्रियालिङ्गननिर्वृतिं ||")</f>
        <v>स प्राप हृदयन्यस्तमणिपर्शनिमीलितः । अपयोधरसंसर्गं प्रियालिङ्गननिर्वृतिं ||</v>
      </c>
      <c r="B1122" s="4" t="s">
        <v>2</v>
      </c>
      <c r="C1122" s="4"/>
    </row>
    <row r="1123" spans="1:3" ht="24" customHeight="1">
      <c r="A1123" s="4" t="str">
        <f ca="1">IFERROR(__xludf.DUMMYFUNCTION("""COMPUTED_VALUE"""),"श्रुत्वा रामः प्रियोदन्तं मेने तत्संगमोत्सुकः । महार्णवपरिक्षेपं लङ्कायाः परिखालघुं ||")</f>
        <v>श्रुत्वा रामः प्रियोदन्तं मेने तत्संगमोत्सुकः । महार्णवपरिक्षेपं लङ्कायाः परिखालघुं ||</v>
      </c>
      <c r="B1123" s="4" t="s">
        <v>28</v>
      </c>
      <c r="C1123" s="4"/>
    </row>
    <row r="1124" spans="1:3" ht="24" customHeight="1">
      <c r="A1124" s="4" t="str">
        <f ca="1">IFERROR(__xludf.DUMMYFUNCTION("""COMPUTED_VALUE"""),"स प्रतस्थेऽरिनाशाय हरिसैन्यैरनुद्रुतः । न केवलं धरा-पृष्ठे व्य्ॐनि संबाधवर्तिभिः ||")</f>
        <v>स प्रतस्थेऽरिनाशाय हरिसैन्यैरनुद्रुतः । न केवलं धरा-पृष्ठे व्य्ॐनि संबाधवर्तिभिः ||</v>
      </c>
      <c r="B1124" s="4" t="s">
        <v>6</v>
      </c>
      <c r="C1124" s="4"/>
    </row>
    <row r="1125" spans="1:3" ht="24" customHeight="1">
      <c r="A1125" s="4" t="str">
        <f ca="1">IFERROR(__xludf.DUMMYFUNCTION("""COMPUTED_VALUE"""),"निर्विष्टं उदधेः कूले तं प्रपेदे विभीषणः । स्नेहाद्राक्षसलक्ष्म्येव बुद्धिं आदिश्य चोदितः ||")</f>
        <v>निर्विष्टं उदधेः कूले तं प्रपेदे विभीषणः । स्नेहाद्राक्षसलक्ष्म्येव बुद्धिं आदिश्य चोदितः ||</v>
      </c>
      <c r="B1125" s="4" t="s">
        <v>2</v>
      </c>
      <c r="C1125" s="4"/>
    </row>
    <row r="1126" spans="1:3" ht="24" customHeight="1">
      <c r="A1126" s="4" t="str">
        <f ca="1">IFERROR(__xludf.DUMMYFUNCTION("""COMPUTED_VALUE"""),"तस्मै निशाचरैश्वर्यं प्रतिशुश्राव राघवः । काले खलु समारब्धाः फलं बध्नन्ति नीतयः ||")</f>
        <v>तस्मै निशाचरैश्वर्यं प्रतिशुश्राव राघवः । काले खलु समारब्धाः फलं बध्नन्ति नीतयः ||</v>
      </c>
      <c r="B1126" s="4" t="s">
        <v>5</v>
      </c>
      <c r="C1126" s="4"/>
    </row>
    <row r="1127" spans="1:3" ht="24" customHeight="1">
      <c r="A1127" s="4" t="str">
        <f ca="1">IFERROR(__xludf.DUMMYFUNCTION("""COMPUTED_VALUE"""),"स सेतुं बन्धयां आस प्लवगैर्लवणाम्भसि । रसातलादिवोन्मग्नं शेषं स्वप्नाय शार्ङ्गिणः ||")</f>
        <v>स सेतुं बन्धयां आस प्लवगैर्लवणाम्भसि । रसातलादिवोन्मग्नं शेषं स्वप्नाय शार्ङ्गिणः ||</v>
      </c>
      <c r="B1127" s="4" t="s">
        <v>7</v>
      </c>
      <c r="C1127" s="4"/>
    </row>
    <row r="1128" spans="1:3" ht="24" customHeight="1">
      <c r="A1128" s="4" t="str">
        <f ca="1">IFERROR(__xludf.DUMMYFUNCTION("""COMPUTED_VALUE"""),"तेनोत्तीर्य पथा लङ्कां रोधयां आस पिङ्गलैः । द्वितीयं हेमप्राकारं कुर्वद्भिरिव वानरैः ||")</f>
        <v>तेनोत्तीर्य पथा लङ्कां रोधयां आस पिङ्गलैः । द्वितीयं हेमप्राकारं कुर्वद्भिरिव वानरैः ||</v>
      </c>
      <c r="B1128" s="4" t="s">
        <v>0</v>
      </c>
      <c r="C1128" s="4"/>
    </row>
    <row r="1129" spans="1:3" ht="24" customHeight="1">
      <c r="A1129" s="4" t="str">
        <f ca="1">IFERROR(__xludf.DUMMYFUNCTION("""COMPUTED_VALUE"""),"रणः प्रववृते तत्र भीमः प्लवगरक्षसां । दिग्विजृम्भितकाकुत्स्थपौलस्त्यजयघोषणः ||")</f>
        <v>रणः प्रववृते तत्र भीमः प्लवगरक्षसां । दिग्विजृम्भितकाकुत्स्थपौलस्त्यजयघोषणः ||</v>
      </c>
      <c r="B1129" s="4" t="s">
        <v>7</v>
      </c>
      <c r="C1129" s="4"/>
    </row>
    <row r="1130" spans="1:3" ht="24" customHeight="1">
      <c r="A1130" s="4" t="str">
        <f ca="1">IFERROR(__xludf.DUMMYFUNCTION("""COMPUTED_VALUE"""),"पादपाविद्धपरिघः शिलानिष्पिष्टमुद्गरः । अतिशस्त्रनखन्यासः शैलरुग्ण मतङ्गजः ||")</f>
        <v>पादपाविद्धपरिघः शिलानिष्पिष्टमुद्गरः । अतिशस्त्रनखन्यासः शैलरुग्ण मतङ्गजः ||</v>
      </c>
      <c r="B1130" s="4" t="s">
        <v>3</v>
      </c>
      <c r="C1130" s="4"/>
    </row>
    <row r="1131" spans="1:3" ht="24" customHeight="1">
      <c r="A1131" s="4" t="str">
        <f ca="1">IFERROR(__xludf.DUMMYFUNCTION("""COMPUTED_VALUE"""),"अथ रामशिरश्छेददर्शनोद्भ्रान्तचेतनां । सीतां मायेति शंसन्ती त्रिजटा समजीवयथ् ||")</f>
        <v>अथ रामशिरश्छेददर्शनोद्भ्रान्तचेतनां । सीतां मायेति शंसन्ती त्रिजटा समजीवयथ् ||</v>
      </c>
      <c r="B1131" s="4" t="s">
        <v>5</v>
      </c>
      <c r="C1131" s="4"/>
    </row>
    <row r="1132" spans="1:3" ht="24" customHeight="1">
      <c r="A1132" s="4" t="str">
        <f ca="1">IFERROR(__xludf.DUMMYFUNCTION("""COMPUTED_VALUE"""),"कामं जीवति मे नाथ इति सा विजहौ शुचं । प्राङ्मत्वा सत्यं अस्यान्तं जीवितास्मीति लज्जिता ||")</f>
        <v>कामं जीवति मे नाथ इति सा विजहौ शुचं । प्राङ्मत्वा सत्यं अस्यान्तं जीवितास्मीति लज्जिता ||</v>
      </c>
      <c r="B1132" s="4" t="s">
        <v>2</v>
      </c>
      <c r="C1132" s="4"/>
    </row>
    <row r="1133" spans="1:3" ht="24" customHeight="1">
      <c r="A1133" s="4" t="str">
        <f ca="1">IFERROR(__xludf.DUMMYFUNCTION("""COMPUTED_VALUE"""),"गरुडापातविश्लिष्टमेघनादास्त्रबन्धनः । दाशरथ्योः क्षणक्लेशः स्वप्नवृत्त इवाभवथ् ||")</f>
        <v>गरुडापातविश्लिष्टमेघनादास्त्रबन्धनः । दाशरथ्योः क्षणक्लेशः स्वप्नवृत्त इवाभवथ् ||</v>
      </c>
      <c r="B1133" s="4" t="s">
        <v>4</v>
      </c>
      <c r="C1133" s="4"/>
    </row>
    <row r="1134" spans="1:3" ht="24" customHeight="1">
      <c r="A1134" s="4" t="str">
        <f ca="1">IFERROR(__xludf.DUMMYFUNCTION("""COMPUTED_VALUE"""),"ततो बिभेद पौलस्त्यः शक्त्या वक्षसि लक्ष्मणं । रामस्त्वनाहतोऽप्यासीद्विदीर्णहृदयः शुचा ||")</f>
        <v>ततो बिभेद पौलस्त्यः शक्त्या वक्षसि लक्ष्मणं । रामस्त्वनाहतोऽप्यासीद्विदीर्णहृदयः शुचा ||</v>
      </c>
      <c r="B1134" s="4" t="s">
        <v>16</v>
      </c>
      <c r="C1134" s="4"/>
    </row>
    <row r="1135" spans="1:3" ht="24" customHeight="1">
      <c r="A1135" s="4" t="str">
        <f ca="1">IFERROR(__xludf.DUMMYFUNCTION("""COMPUTED_VALUE"""),"स मारुतिसमानीतमहौषधिहतव्यथः । लङ्कास्त्रीणां पुनश्चक्रे विलापाचार्यकं शरैः ||")</f>
        <v>स मारुतिसमानीतमहौषधिहतव्यथः । लङ्कास्त्रीणां पुनश्चक्रे विलापाचार्यकं शरैः ||</v>
      </c>
      <c r="B1135" s="4" t="s">
        <v>0</v>
      </c>
      <c r="C1135" s="4"/>
    </row>
    <row r="1136" spans="1:3" ht="24" customHeight="1">
      <c r="A1136" s="4" t="str">
        <f ca="1">IFERROR(__xludf.DUMMYFUNCTION("""COMPUTED_VALUE"""),"स नादं मेघनादस्य धनुश्चेन्द्रायुधप्रभं । मेघस्येव शरत्कालो न किंचित्पर्यशेषयथ् ||")</f>
        <v>स नादं मेघनादस्य धनुश्चेन्द्रायुधप्रभं । मेघस्येव शरत्कालो न किंचित्पर्यशेषयथ् ||</v>
      </c>
      <c r="B1136" s="4" t="s">
        <v>5</v>
      </c>
      <c r="C1136" s="4"/>
    </row>
    <row r="1137" spans="1:3" ht="24" customHeight="1">
      <c r="A1137" s="4" t="str">
        <f ca="1">IFERROR(__xludf.DUMMYFUNCTION("""COMPUTED_VALUE"""),"क्लेशेन महता निद्रां त्याजितं रणदुर्जयं । रावणः प्रेषयां आस युद्धायानुजं आत्मनः ||")</f>
        <v>क्लेशेन महता निद्रां त्याजितं रणदुर्जयं । रावणः प्रेषयां आस युद्धायानुजं आत्मनः ||</v>
      </c>
      <c r="B1137" s="4" t="s">
        <v>1</v>
      </c>
      <c r="C1137" s="4"/>
    </row>
    <row r="1138" spans="1:3" ht="24" customHeight="1">
      <c r="A1138" s="4" t="str">
        <f ca="1">IFERROR(__xludf.DUMMYFUNCTION("""COMPUTED_VALUE"""),"जघान स तदादेशात्कपीनुग्राननेकशः । विवेश च पुरीं लङ्कां समादाय हरीश्वरं ||")</f>
        <v>जघान स तदादेशात्कपीनुग्राननेकशः । विवेश च पुरीं लङ्कां समादाय हरीश्वरं ||</v>
      </c>
      <c r="B1138" s="4" t="s">
        <v>0</v>
      </c>
      <c r="C1138" s="4"/>
    </row>
    <row r="1139" spans="1:3" ht="24" customHeight="1">
      <c r="A1139" s="4" t="str">
        <f ca="1">IFERROR(__xludf.DUMMYFUNCTION("""COMPUTED_VALUE"""),"कुम्भकर्णः कपीन्द्रेण तुल्यावस्थः स्वसुः कृतः । रुरोध रामं शृङ्गीव टङ्कच्छिन्नमनःशिलः ||")</f>
        <v>कुम्भकर्णः कपीन्द्रेण तुल्यावस्थः स्वसुः कृतः । रुरोध रामं शृङ्गीव टङ्कच्छिन्नमनःशिलः ||</v>
      </c>
      <c r="B1139" s="4" t="s">
        <v>11</v>
      </c>
      <c r="C1139" s="4"/>
    </row>
    <row r="1140" spans="1:3" ht="24" customHeight="1">
      <c r="A1140" s="4" t="str">
        <f ca="1">IFERROR(__xludf.DUMMYFUNCTION("""COMPUTED_VALUE"""),"अकाले बोधितो भ्रात्रा प्रियस्वप्नो वृथा भवान् । रामेषुभिरितीवासौ दीर्घनिद्रां प्रवेशितः ||")</f>
        <v>अकाले बोधितो भ्रात्रा प्रियस्वप्नो वृथा भवान् । रामेषुभिरितीवासौ दीर्घनिद्रां प्रवेशितः ||</v>
      </c>
      <c r="B1140" s="4" t="s">
        <v>2</v>
      </c>
      <c r="C1140" s="4"/>
    </row>
    <row r="1141" spans="1:3" ht="24" customHeight="1">
      <c r="A1141" s="4" t="str">
        <f ca="1">IFERROR(__xludf.DUMMYFUNCTION("""COMPUTED_VALUE"""),"इतराण्यपि रक्षांसि पेतुर्वानरकोटिषु । रजांसि समरोत्थानि रच्छोणितनन्दीष्विव ||")</f>
        <v>इतराण्यपि रक्षांसि पेतुर्वानरकोटिषु । रजांसि समरोत्थानि रच्छोणितनन्दीष्विव ||</v>
      </c>
      <c r="B1141" s="4" t="s">
        <v>4</v>
      </c>
      <c r="C1141" s="4"/>
    </row>
    <row r="1142" spans="1:3" ht="24" customHeight="1">
      <c r="A1142" s="4" t="str">
        <f ca="1">IFERROR(__xludf.DUMMYFUNCTION("""COMPUTED_VALUE"""),"निर्ययावथ पौलस्थ्यः पुनर्युद्धाय मन्दिराथ् । अरावणं अरामं वा जगदद्येति निश्चितः ||")</f>
        <v>निर्ययावथ पौलस्थ्यः पुनर्युद्धाय मन्दिराथ् । अरावणं अरामं वा जगदद्येति निश्चितः ||</v>
      </c>
      <c r="B1142" s="4" t="s">
        <v>16</v>
      </c>
      <c r="C1142" s="4"/>
    </row>
    <row r="1143" spans="1:3" ht="24" customHeight="1">
      <c r="A1143" s="4" t="str">
        <f ca="1">IFERROR(__xludf.DUMMYFUNCTION("""COMPUTED_VALUE"""),"रामं पदातिं आलोक्य लङ्केषं च वरूथिनं । हरियुग्यं रथं तस्मै पर्जिघाय पुरंदरः ||")</f>
        <v>रामं पदातिं आलोक्य लङ्केषं च वरूथिनं । हरियुग्यं रथं तस्मै पर्जिघाय पुरंदरः ||</v>
      </c>
      <c r="B1143" s="4" t="s">
        <v>0</v>
      </c>
      <c r="C1143" s="4"/>
    </row>
    <row r="1144" spans="1:3" ht="24" customHeight="1">
      <c r="A1144" s="4" t="str">
        <f ca="1">IFERROR(__xludf.DUMMYFUNCTION("""COMPUTED_VALUE"""),"तं आधूतद्वजपटं व्य्ॐअगङ्गोर्मिवायुभिः । देवसूतभुजालम्बी जैत्रं अध्यास्त राघवः ||")</f>
        <v>तं आधूतद्वजपटं व्य्ॐअगङ्गोर्मिवायुभिः । देवसूतभुजालम्बी जैत्रं अध्यास्त राघवः ||</v>
      </c>
      <c r="B1144" s="4" t="s">
        <v>4</v>
      </c>
      <c r="C1144" s="4"/>
    </row>
    <row r="1145" spans="1:3" ht="24" customHeight="1">
      <c r="A1145" s="4" t="str">
        <f ca="1">IFERROR(__xludf.DUMMYFUNCTION("""COMPUTED_VALUE"""),"मातलिस्तस्य माहेन्द्रं आमुमोच तनुच्छदं । यत्रोत्पलददलक्लैब्यं अस्त्राण्यापुः सुरद्विषां ||")</f>
        <v>मातलिस्तस्य माहेन्द्रं आमुमोच तनुच्छदं । यत्रोत्पलददलक्लैब्यं अस्त्राण्यापुः सुरद्विषां ||</v>
      </c>
      <c r="B1145" s="4" t="s">
        <v>13</v>
      </c>
      <c r="C1145" s="4"/>
    </row>
    <row r="1146" spans="1:3" ht="24" customHeight="1">
      <c r="A1146" s="4" t="str">
        <f ca="1">IFERROR(__xludf.DUMMYFUNCTION("""COMPUTED_VALUE"""),"अन्योन्यदर्शनप्राप्तविक्रमावसरं चिराथ् । रामरावणयोर्युद्धं चरितार्थं इवाभवथ् ||")</f>
        <v>अन्योन्यदर्शनप्राप्तविक्रमावसरं चिराथ् । रामरावणयोर्युद्धं चरितार्थं इवाभवथ् ||</v>
      </c>
      <c r="B1146" s="4" t="s">
        <v>4</v>
      </c>
      <c r="C1146" s="4"/>
    </row>
    <row r="1147" spans="1:3" ht="24" customHeight="1">
      <c r="A1147" s="4" t="str">
        <f ca="1">IFERROR(__xludf.DUMMYFUNCTION("""COMPUTED_VALUE"""),"भुजमूर्धोरुबाहुल्यादेकोऽपि धन्दानुजः । ददृशे सोऽयथापूर्वो मातृवंश इव स्थितः ||")</f>
        <v>भुजमूर्धोरुबाहुल्यादेकोऽपि धन्दानुजः । ददृशे सोऽयथापूर्वो मातृवंश इव स्थितः ||</v>
      </c>
      <c r="B1147" s="4" t="s">
        <v>2</v>
      </c>
      <c r="C1147" s="4"/>
    </row>
    <row r="1148" spans="1:3" ht="24" customHeight="1">
      <c r="A1148" s="4" t="str">
        <f ca="1">IFERROR(__xludf.DUMMYFUNCTION("""COMPUTED_VALUE"""),"जेतारं लोकपालानां स्वमुखैरर्चितेश्वरं । रामस्तुलितकैलासं अरातिं बह्वमन्यत ||")</f>
        <v>जेतारं लोकपालानां स्वमुखैरर्चितेश्वरं । रामस्तुलितकैलासं अरातिं बह्वमन्यत ||</v>
      </c>
      <c r="B1148" s="4" t="s">
        <v>2</v>
      </c>
      <c r="C1148" s="4"/>
    </row>
    <row r="1149" spans="1:3" ht="24" customHeight="1">
      <c r="A1149" s="4" t="str">
        <f ca="1">IFERROR(__xludf.DUMMYFUNCTION("""COMPUTED_VALUE"""),"तस्य स्फुरति पौलस्त्यह्सीतासंगमशंसिनि । निचखानाधिकक्रोधः शरं सव्येतरे भुजे ||")</f>
        <v>तस्य स्फुरति पौलस्त्यह्सीतासंगमशंसिनि । निचखानाधिकक्रोधः शरं सव्येतरे भुजे ||</v>
      </c>
      <c r="B1149" s="4" t="s">
        <v>3</v>
      </c>
      <c r="C1149" s="4"/>
    </row>
    <row r="1150" spans="1:3" ht="24" customHeight="1">
      <c r="A1150" s="4" t="str">
        <f ca="1">IFERROR(__xludf.DUMMYFUNCTION("""COMPUTED_VALUE"""),"रावणस्यापि रामास्तो भित्त्वा हृदयं आशुगः । विवेश भुवं आख्यातुं उरगेभ्य इव प्रियं ||")</f>
        <v>रावणस्यापि रामास्तो भित्त्वा हृदयं आशुगः । विवेश भुवं आख्यातुं उरगेभ्य इव प्रियं ||</v>
      </c>
      <c r="B1150" s="4" t="s">
        <v>5</v>
      </c>
      <c r="C1150" s="4"/>
    </row>
    <row r="1151" spans="1:3" ht="24" customHeight="1">
      <c r="A1151" s="4" t="str">
        <f ca="1">IFERROR(__xludf.DUMMYFUNCTION("""COMPUTED_VALUE"""),"वचसैव तयोर्वाक्यं अस्त्रं अस्त्रेण निघ्नतोः । अन्योन्यजयसंरम्भो ववृधे वादिनोरिव ||")</f>
        <v>वचसैव तयोर्वाक्यं अस्त्रं अस्त्रेण निघ्नतोः । अन्योन्यजयसंरम्भो ववृधे वादिनोरिव ||</v>
      </c>
      <c r="B1151" s="4" t="s">
        <v>4</v>
      </c>
      <c r="C1151" s="4"/>
    </row>
    <row r="1152" spans="1:3" ht="24" customHeight="1">
      <c r="A1152" s="4" t="str">
        <f ca="1">IFERROR(__xludf.DUMMYFUNCTION("""COMPUTED_VALUE"""),"विक्रमव्यतिहारेण अस्त्रं अस्त्रेण निघ्नतोः । जयश्रीरन्तरा वेदिर्मत्तवारणयोरिव ||")</f>
        <v>विक्रमव्यतिहारेण अस्त्रं अस्त्रेण निघ्नतोः । जयश्रीरन्तरा वेदिर्मत्तवारणयोरिव ||</v>
      </c>
      <c r="B1152" s="4" t="s">
        <v>4</v>
      </c>
      <c r="C1152" s="4"/>
    </row>
    <row r="1153" spans="1:3" ht="24" customHeight="1">
      <c r="A1153" s="4" t="str">
        <f ca="1">IFERROR(__xludf.DUMMYFUNCTION("""COMPUTED_VALUE"""),"कृतप्रतिकृतप्रीतैस्तयोर्मुक्तां सुरासुरैः । परस्परं शरव्राताः पुष्पवृष्टिं न सेहिरे ||")</f>
        <v>कृतप्रतिकृतप्रीतैस्तयोर्मुक्तां सुरासुरैः । परस्परं शरव्राताः पुष्पवृष्टिं न सेहिरे ||</v>
      </c>
      <c r="B1153" s="4" t="s">
        <v>0</v>
      </c>
      <c r="C1153" s="4"/>
    </row>
    <row r="1154" spans="1:3" ht="24" customHeight="1">
      <c r="A1154" s="4" t="str">
        <f ca="1">IFERROR(__xludf.DUMMYFUNCTION("""COMPUTED_VALUE"""),"अयःशङ्कुचितां रक्षः शतघ्नीं अथ शत्रवे । हृतां वैवस्वतस्येव कूटशाल्मलिं अक्षिपथ् ||")</f>
        <v>अयःशङ्कुचितां रक्षः शतघ्नीं अथ शत्रवे । हृतां वैवस्वतस्येव कूटशाल्मलिं अक्षिपथ् ||</v>
      </c>
      <c r="B1154" s="4" t="s">
        <v>9</v>
      </c>
      <c r="C1154" s="4"/>
    </row>
    <row r="1155" spans="1:3" ht="24" customHeight="1">
      <c r="A1155" s="4" t="str">
        <f ca="1">IFERROR(__xludf.DUMMYFUNCTION("""COMPUTED_VALUE"""),"राघवो रथं अप्राप्तां तां आशां च सुरद्विषां । अर्धचन्द्रमुखैर्बाणैश्चिच्छेद कदलीसुखं ||")</f>
        <v>राघवो रथं अप्राप्तां तां आशां च सुरद्विषां । अर्धचन्द्रमुखैर्बाणैश्चिच्छेद कदलीसुखं ||</v>
      </c>
      <c r="B1155" s="4" t="s">
        <v>14</v>
      </c>
      <c r="C1155" s="4"/>
    </row>
    <row r="1156" spans="1:3" ht="24" customHeight="1">
      <c r="A1156" s="4" t="str">
        <f ca="1">IFERROR(__xludf.DUMMYFUNCTION("""COMPUTED_VALUE"""),"अमोघं संदधे चास्मै धनुष्यकेअध्नुर्धरः । ब्राह्मं अस्त्रं प्रियाशोकशल्यनिष्कर्षणौषधं ||")</f>
        <v>अमोघं संदधे चास्मै धनुष्यकेअध्नुर्धरः । ब्राह्मं अस्त्रं प्रियाशोकशल्यनिष्कर्षणौषधं ||</v>
      </c>
      <c r="B1156" s="4" t="s">
        <v>20</v>
      </c>
      <c r="C1156" s="4"/>
    </row>
    <row r="1157" spans="1:3" ht="24" customHeight="1">
      <c r="A1157" s="4" t="str">
        <f ca="1">IFERROR(__xludf.DUMMYFUNCTION("""COMPUTED_VALUE"""),"तद्व्य्ॐनि दशधा भिन्नं ददृशे दीप्तिमन्मुखं । वपुर्महोरगस्येव करालफणमण्डलं ||")</f>
        <v>तद्व्य्ॐनि दशधा भिन्नं ददृशे दीप्तिमन्मुखं । वपुर्महोरगस्येव करालफणमण्डलं ||</v>
      </c>
      <c r="B1157" s="4" t="s">
        <v>11</v>
      </c>
      <c r="C1157" s="4"/>
    </row>
    <row r="1158" spans="1:3" ht="24" customHeight="1">
      <c r="A1158" s="4" t="str">
        <f ca="1">IFERROR(__xludf.DUMMYFUNCTION("""COMPUTED_VALUE"""),"तेन मन्त्रप्रयुक्तेन निमेषार्धादपातयथ् । स रावणशिरःपङ्क्तिं अज्ञातव्रणवेदनां ||")</f>
        <v>तेन मन्त्रप्रयुक्तेन निमेषार्धादपातयथ् । स रावणशिरःपङ्क्तिं अज्ञातव्रणवेदनां ||</v>
      </c>
      <c r="B1158" s="4" t="s">
        <v>1</v>
      </c>
      <c r="C1158" s="4"/>
    </row>
    <row r="1159" spans="1:3" ht="24" customHeight="1">
      <c r="A1159" s="4" t="str">
        <f ca="1">IFERROR(__xludf.DUMMYFUNCTION("""COMPUTED_VALUE"""),"बालार्कप्रतिमेवाप्सु वीचिभिन्ना पतिष्यतः । रराज रक्षःकायस्य कण्ठच्छेदप्रंपरा ||")</f>
        <v>बालार्कप्रतिमेवाप्सु वीचिभिन्ना पतिष्यतः । रराज रक्षःकायस्य कण्ठच्छेदप्रंपरा ||</v>
      </c>
      <c r="B1159" s="4" t="s">
        <v>0</v>
      </c>
      <c r="C1159" s="4"/>
    </row>
    <row r="1160" spans="1:3" ht="24" customHeight="1">
      <c r="A1160" s="4" t="str">
        <f ca="1">IFERROR(__xludf.DUMMYFUNCTION("""COMPUTED_VALUE"""),"मरुतां पश्यतां तस्य शिरांसि पतितान्यपि । मनो नातिविशश्वास पुनः संधानशङ्किनां ||")</f>
        <v>मरुतां पश्यतां तस्य शिरांसि पतितान्यपि । मनो नातिविशश्वास पुनः संधानशङ्किनां ||</v>
      </c>
      <c r="B1160" s="4" t="s">
        <v>1</v>
      </c>
      <c r="C1160" s="4"/>
    </row>
    <row r="1161" spans="1:3" ht="24" customHeight="1">
      <c r="A1161" s="4" t="str">
        <f ca="1">IFERROR(__xludf.DUMMYFUNCTION("""COMPUTED_VALUE"""),"अथ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||")</f>
        <v>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||</v>
      </c>
      <c r="B1161" s="4" t="s">
        <v>2</v>
      </c>
      <c r="C1161" s="4"/>
    </row>
    <row r="1162" spans="1:3" ht="24" customHeight="1">
      <c r="A1162" s="4" t="str">
        <f ca="1">IFERROR(__xludf.DUMMYFUNCTION("""COMPUTED_VALUE"""),"यन्ता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||")</f>
        <v>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||</v>
      </c>
      <c r="B1162" s="4" t="s">
        <v>5</v>
      </c>
      <c r="C1162" s="4"/>
    </row>
    <row r="1163" spans="1:3" ht="24" customHeight="1">
      <c r="A1163" s="4" t="str">
        <f ca="1">IFERROR(__xludf.DUMMYFUNCTION("""COMPUTED_VALUE"""),"रघुपतिरपि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सस्ॐइत्रिणा भुजविजितविमानरत्नाधिरूढः प्रतस्थे पुरीम् ||")</f>
        <v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सस्ॐइत्रिणा भुजविजितविमानरत्नाधिरूढः प्रतस्थे पुरीम् ||</v>
      </c>
      <c r="B1163" s="4" t="s">
        <v>0</v>
      </c>
      <c r="C1163" s="4"/>
    </row>
    <row r="1164" spans="1:3" ht="24" customHeight="1">
      <c r="A1164" s="4" t="str">
        <f ca="1">IFERROR(__xludf.DUMMYFUNCTION("""COMPUTED_VALUE"""),"अथात्मनः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||")</f>
        <v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||</v>
      </c>
      <c r="B1164" s="4" t="s">
        <v>16</v>
      </c>
      <c r="C1164" s="4"/>
    </row>
    <row r="1165" spans="1:3" ht="24" customHeight="1">
      <c r="A1165" s="4" t="str">
        <f ca="1">IFERROR(__xludf.DUMMYFUNCTION("""COMPUTED_VALUE"""),"वैदेहि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||")</f>
        <v>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||</v>
      </c>
      <c r="B1165" s="4" t="s">
        <v>0</v>
      </c>
      <c r="C1165" s="4"/>
    </row>
    <row r="1166" spans="1:3" ht="24" customHeight="1">
      <c r="A1166" s="4" t="str">
        <f ca="1">IFERROR(__xludf.DUMMYFUNCTION("""COMPUTED_VALUE"""),"गुरोर्यियक्षोः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||")</f>
        <v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||</v>
      </c>
      <c r="B1166" s="4" t="s">
        <v>1</v>
      </c>
      <c r="C1166" s="4"/>
    </row>
    <row r="1167" spans="1:3" ht="24" customHeight="1">
      <c r="A1167" s="4" t="str">
        <f ca="1">IFERROR(__xludf.DUMMYFUNCTION("""COMPUTED_VALUE"""),"गर्भं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||")</f>
        <v>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||</v>
      </c>
      <c r="B1167" s="4" t="s">
        <v>1</v>
      </c>
      <c r="C1167" s="4"/>
    </row>
    <row r="1168" spans="1:3" ht="24" customHeight="1">
      <c r="A1168" s="4" t="str">
        <f ca="1">IFERROR(__xludf.DUMMYFUNCTION("""COMPUTED_VALUE"""),"तां तां अवस्थां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||")</f>
        <v>तां तां अवस्थां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||</v>
      </c>
      <c r="B1168" s="4" t="s">
        <v>4</v>
      </c>
      <c r="C1168" s="4"/>
    </row>
    <row r="1169" spans="1:3" ht="24" customHeight="1">
      <c r="A1169" s="4" t="str">
        <f ca="1">IFERROR(__xludf.DUMMYFUNCTION("""COMPUTED_VALUE"""),"नाभिप्ररूढाम्बुरुहासनेन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||")</f>
        <v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||</v>
      </c>
      <c r="B1169" s="4" t="s">
        <v>2</v>
      </c>
      <c r="C1169" s="4"/>
    </row>
    <row r="1170" spans="1:3" ht="24" customHeight="1">
      <c r="A1170" s="4" t="str">
        <f ca="1">IFERROR(__xludf.DUMMYFUNCTION("""COMPUTED_VALUE"""),"पक्षच्छिदा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||")</f>
        <v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||</v>
      </c>
      <c r="B1170" s="4" t="s">
        <v>2</v>
      </c>
      <c r="C1170" s="4"/>
    </row>
    <row r="1171" spans="1:3" ht="24" customHeight="1">
      <c r="A1171" s="4" t="str">
        <f ca="1">IFERROR(__xludf.DUMMYFUNCTION("""COMPUTED_VALUE"""),"रसातलादादिभवेन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||")</f>
        <v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||</v>
      </c>
      <c r="B1171" s="4" t="s">
        <v>4</v>
      </c>
      <c r="C1171" s="4"/>
    </row>
    <row r="1172" spans="1:3" ht="24" customHeight="1">
      <c r="A1172" s="4" t="str">
        <f ca="1">IFERROR(__xludf.DUMMYFUNCTION("""COMPUTED_VALUE"""),"मुखार्पणेषु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||")</f>
        <v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||</v>
      </c>
      <c r="B1172" s="4" t="s">
        <v>20</v>
      </c>
      <c r="C1172" s="4"/>
    </row>
    <row r="1173" spans="1:3" ht="24" customHeight="1">
      <c r="A1173" s="4" t="str">
        <f ca="1">IFERROR(__xludf.DUMMYFUNCTION("""COMPUTED_VALUE"""),"ससत्त्वं आदाय नदीमुखाम्भः संमीलयन्तो विवृताननत्वाथ् । अमी शिरोभिस्तिमयः सरन्ध्रैरूर्ध्वं वितन्वन्ति जलप्रवाहान् ||")</f>
        <v>ससत्त्वं आदाय नदीमुखाम्भः संमीलयन्तो विवृताननत्वाथ् । अमी शिरोभिस्तिमयः सरन्ध्रैरूर्ध्वं वितन्वन्ति जलप्रवाहान् ||</v>
      </c>
      <c r="B1173" s="4" t="s">
        <v>24</v>
      </c>
      <c r="C1173" s="4"/>
    </row>
    <row r="1174" spans="1:3" ht="24" customHeight="1">
      <c r="A1174" s="4" t="str">
        <f ca="1">IFERROR(__xludf.DUMMYFUNCTION("""COMPUTED_VALUE"""),"मातङ्गनक्रैः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||")</f>
        <v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||</v>
      </c>
      <c r="B1174" s="4" t="s">
        <v>4</v>
      </c>
      <c r="C1174" s="4"/>
    </row>
    <row r="1175" spans="1:3" ht="24" customHeight="1">
      <c r="A1175" s="4" t="str">
        <f ca="1">IFERROR(__xludf.DUMMYFUNCTION("""COMPUTED_VALUE"""),"वेलानिलाय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||")</f>
        <v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||</v>
      </c>
      <c r="B1175" s="4" t="s">
        <v>10</v>
      </c>
      <c r="C1175" s="4"/>
    </row>
    <row r="1176" spans="1:3" ht="24" customHeight="1">
      <c r="A1176" s="4" t="str">
        <f ca="1">IFERROR(__xludf.DUMMYFUNCTION("""COMPUTED_VALUE"""),"तवाधरस्परधिषु विद्रुमेषु पर्यस्तं एतत्सहसोर्मिवेगाथ् । ऊर्ध्वाङ्कुरप्रोतमुखं कथंचित्क्लेशदपक्रामति शङ्खयूथं ||")</f>
        <v>तवाधरस्परधिषु विद्रुमेषु पर्यस्तं एतत्सहसोर्मिवेगाथ् । ऊर्ध्वाङ्कुरप्रोतमुखं कथंचित्क्लेशदपक्रामति शङ्खयूथं ||</v>
      </c>
      <c r="B1176" s="4" t="s">
        <v>10</v>
      </c>
      <c r="C1176" s="4"/>
    </row>
    <row r="1177" spans="1:3" ht="24" customHeight="1">
      <c r="A1177" s="4" t="str">
        <f ca="1">IFERROR(__xludf.DUMMYFUNCTION("""COMPUTED_VALUE"""),"प्रवृत्तमात्रेण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||")</f>
        <v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||</v>
      </c>
      <c r="B1177" s="4" t="s">
        <v>5</v>
      </c>
      <c r="C1177" s="4"/>
    </row>
    <row r="1178" spans="1:3" ht="24" customHeight="1">
      <c r="A1178" s="4" t="str">
        <f ca="1">IFERROR(__xludf.DUMMYFUNCTION("""COMPUTED_VALUE"""),"दूरादयश्चक्रनिभस्य तन्वी तमालतालीवनराजिनीला । आभाति वेला लवणाम्बुराशेर्धारानिबद्धेव कलङ्कलेखा ||")</f>
        <v>दूरादयश्चक्रनिभस्य तन्वी तमालतालीवनराजिनीला । आभाति वेला लवणाम्बुराशेर्धारानिबद्धेव कलङ्कलेखा ||</v>
      </c>
      <c r="B1178" s="4" t="s">
        <v>14</v>
      </c>
      <c r="C1178" s="4"/>
    </row>
    <row r="1179" spans="1:3" ht="24" customHeight="1">
      <c r="A1179" s="4" t="str">
        <f ca="1">IFERROR(__xludf.DUMMYFUNCTION("""COMPUTED_VALUE"""),"वेलानिलः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||")</f>
        <v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||</v>
      </c>
      <c r="B1179" s="4" t="s">
        <v>7</v>
      </c>
      <c r="C1179" s="4"/>
    </row>
    <row r="1180" spans="1:3" ht="24" customHeight="1">
      <c r="A1180" s="4" t="str">
        <f ca="1">IFERROR(__xludf.DUMMYFUNCTION("""COMPUTED_VALUE"""),"एते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||")</f>
        <v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||</v>
      </c>
      <c r="B1180" s="4" t="s">
        <v>11</v>
      </c>
      <c r="C1180" s="4"/>
    </row>
    <row r="1181" spans="1:3" ht="24" customHeight="1">
      <c r="A1181" s="4" t="str">
        <f ca="1">IFERROR(__xludf.DUMMYFUNCTION("""COMPUTED_VALUE"""),"कुरुष्व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||")</f>
        <v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||</v>
      </c>
      <c r="B1181" s="4" t="s">
        <v>12</v>
      </c>
      <c r="C1181" s="4"/>
    </row>
    <row r="1182" spans="1:3" ht="24" customHeight="1">
      <c r="A1182" s="4" t="str">
        <f ca="1">IFERROR(__xludf.DUMMYFUNCTION("""COMPUTED_VALUE"""),"क्वचित्पथा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||")</f>
        <v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||</v>
      </c>
      <c r="B1182" s="4" t="s">
        <v>1</v>
      </c>
      <c r="C1182" s="4"/>
    </row>
    <row r="1183" spans="1:3" ht="24" customHeight="1">
      <c r="A1183" s="4" t="str">
        <f ca="1">IFERROR(__xludf.DUMMYFUNCTION("""COMPUTED_VALUE"""),"असौ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||")</f>
        <v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||</v>
      </c>
      <c r="B1183" s="4" t="s">
        <v>2</v>
      </c>
      <c r="C1183" s="4"/>
    </row>
    <row r="1184" spans="1:3" ht="24" customHeight="1">
      <c r="A1184" s="4" t="str">
        <f ca="1">IFERROR(__xludf.DUMMYFUNCTION("""COMPUTED_VALUE"""),"करेण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||")</f>
        <v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||</v>
      </c>
      <c r="B1184" s="4" t="s">
        <v>2</v>
      </c>
      <c r="C1184" s="4"/>
    </row>
    <row r="1185" spans="1:3" ht="24" customHeight="1">
      <c r="A1185" s="4" t="str">
        <f ca="1">IFERROR(__xludf.DUMMYFUNCTION("""COMPUTED_VALUE"""),"अमी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||")</f>
        <v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||</v>
      </c>
      <c r="B1185" s="4" t="s">
        <v>1</v>
      </c>
      <c r="C1185" s="4"/>
    </row>
    <row r="1186" spans="1:3" ht="24" customHeight="1">
      <c r="A1186" s="4" t="str">
        <f ca="1">IFERROR(__xludf.DUMMYFUNCTION("""COMPUTED_VALUE"""),"सैषा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||")</f>
        <v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||</v>
      </c>
      <c r="B1186" s="4" t="s">
        <v>1</v>
      </c>
      <c r="C1186" s="4"/>
    </row>
    <row r="1187" spans="1:3" ht="24" customHeight="1">
      <c r="A1187" s="4" t="str">
        <f ca="1">IFERROR(__xludf.DUMMYFUNCTION("""COMPUTED_VALUE"""),"त्वं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||")</f>
        <v>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||</v>
      </c>
      <c r="B1187" s="4" t="s">
        <v>6</v>
      </c>
      <c r="C1187" s="4"/>
    </row>
    <row r="1188" spans="1:3" ht="24" customHeight="1">
      <c r="A1188" s="4" t="str">
        <f ca="1">IFERROR(__xludf.DUMMYFUNCTION("""COMPUTED_VALUE"""),"मृग्यश्च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||")</f>
        <v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||</v>
      </c>
      <c r="B1188" s="4" t="s">
        <v>1</v>
      </c>
      <c r="C1188" s="4"/>
    </row>
    <row r="1189" spans="1:3" ht="24" customHeight="1">
      <c r="A1189" s="4" t="str">
        <f ca="1">IFERROR(__xludf.DUMMYFUNCTION("""COMPUTED_VALUE"""),"एतद्गिरेर्मालयवतः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||")</f>
        <v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||</v>
      </c>
      <c r="B1189" s="4" t="s">
        <v>23</v>
      </c>
      <c r="C1189" s="4"/>
    </row>
    <row r="1190" spans="1:3" ht="24" customHeight="1">
      <c r="A1190" s="4" t="str">
        <f ca="1">IFERROR(__xludf.DUMMYFUNCTION("""COMPUTED_VALUE"""),"गन्धश्च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||")</f>
        <v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||</v>
      </c>
      <c r="B1190" s="4" t="s">
        <v>12</v>
      </c>
      <c r="C1190" s="4"/>
    </row>
    <row r="1191" spans="1:3" ht="24" customHeight="1">
      <c r="A1191" s="4" t="str">
        <f ca="1">IFERROR(__xludf.DUMMYFUNCTION("""COMPUTED_VALUE"""),"पूर्वानुभूतं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||")</f>
        <v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||</v>
      </c>
      <c r="B1191" s="4" t="s">
        <v>1</v>
      </c>
      <c r="C1191" s="4"/>
    </row>
    <row r="1192" spans="1:3" ht="24" customHeight="1">
      <c r="A1192" s="4" t="str">
        <f ca="1">IFERROR(__xludf.DUMMYFUNCTION("""COMPUTED_VALUE"""),"आसारसिक्तक्षितिबाष्पयोगान्मां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||")</f>
        <v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||</v>
      </c>
      <c r="B1192" s="4" t="s">
        <v>0</v>
      </c>
      <c r="C1192" s="4"/>
    </row>
    <row r="1193" spans="1:3" ht="24" customHeight="1">
      <c r="A1193" s="4" t="str">
        <f ca="1">IFERROR(__xludf.DUMMYFUNCTION("""COMPUTED_VALUE"""),"उपान्तवानीरवनोपगूधान्यालक्ष्यपारिप्लवसारसानि । दूरावतीर्णा पिबतीव खेदादमूनि पम्पासलिलानि दृष्टिः ||")</f>
        <v>उपान्तवानीरवनोपगूधान्यालक्ष्यपारिप्लवसारसानि । दूरावतीर्णा पिबतीव खेदादमूनि पम्पासलिलानि दृष्टिः ||</v>
      </c>
      <c r="B1193" s="4" t="s">
        <v>23</v>
      </c>
      <c r="C1193" s="4"/>
    </row>
    <row r="1194" spans="1:3" ht="24" customHeight="1">
      <c r="A1194" s="4" t="str">
        <f ca="1">IFERROR(__xludf.DUMMYFUNCTION("""COMPUTED_VALUE"""),"अत्रावियुक्तानि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||")</f>
        <v>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||</v>
      </c>
      <c r="B1194" s="4" t="s">
        <v>1</v>
      </c>
      <c r="C1194" s="4"/>
    </row>
    <row r="1195" spans="1:3" ht="24" customHeight="1">
      <c r="A1195" s="4" t="str">
        <f ca="1">IFERROR(__xludf.DUMMYFUNCTION("""COMPUTED_VALUE"""),"इमां तताशोकलतां च तन्वीं स्तनाभिरामस्तबकाभिनम्रां । त्वत्प्राप्तिबुद्ध्या परिरिप्समानः स्ॐइत्रिणा सास्रं अहं निषिद्धः ||")</f>
        <v>इमां तताशोकलतां च तन्वीं स्तनाभिरामस्तबकाभिनम्रां । त्वत्प्राप्तिबुद्ध्या परिरिप्समानः स्ॐइत्रिणा सास्रं अहं निषिद्धः ||</v>
      </c>
      <c r="B1195" s="4" t="s">
        <v>20</v>
      </c>
      <c r="C1195" s="4"/>
    </row>
    <row r="1196" spans="1:3" ht="24" customHeight="1">
      <c r="A1196" s="4" t="str">
        <f ca="1">IFERROR(__xludf.DUMMYFUNCTION("""COMPUTED_VALUE"""),"अमूर्विमानान्तरलम्बिनीनां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||")</f>
        <v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||</v>
      </c>
      <c r="B1196" s="4" t="s">
        <v>4</v>
      </c>
      <c r="C1196" s="4"/>
    </row>
    <row r="1197" spans="1:3" ht="24" customHeight="1">
      <c r="A1197" s="4" t="str">
        <f ca="1">IFERROR(__xludf.DUMMYFUNCTION("""COMPUTED_VALUE"""),"एषा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||")</f>
        <v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||</v>
      </c>
      <c r="B1197" s="4" t="s">
        <v>12</v>
      </c>
      <c r="C1197" s="4"/>
    </row>
    <row r="1198" spans="1:3" ht="24" customHeight="1">
      <c r="A1198" s="4" t="str">
        <f ca="1">IFERROR(__xludf.DUMMYFUNCTION("""COMPUTED_VALUE"""),"अत्रानुगोदं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||")</f>
        <v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||</v>
      </c>
      <c r="B1198" s="4" t="s">
        <v>2</v>
      </c>
      <c r="C1198" s="4"/>
    </row>
    <row r="1199" spans="1:3" ht="24" customHeight="1">
      <c r="A1199" s="4" t="str">
        <f ca="1">IFERROR(__xludf.DUMMYFUNCTION("""COMPUTED_VALUE"""),"भ्रूभेद मात्रेण पदान्मघोनः प्रभ्रंशयां यो नहुषं चकार । तस्याविलाम्भःपरिशुद्धिहेतोर्भ्ॐओ मुनेः स्थानपरिग्रहोऽयं ||")</f>
        <v>भ्रूभेद मात्रेण पदान्मघोनः प्रभ्रंशयां यो नहुषं चकार । तस्याविलाम्भःपरिशुद्धिहेतोर्भ्ॐओ मुनेः स्थानपरिग्रहोऽयं ||</v>
      </c>
      <c r="B1199" s="4" t="s">
        <v>5</v>
      </c>
      <c r="C1199" s="4"/>
    </row>
    <row r="1200" spans="1:3" ht="24" customHeight="1">
      <c r="A1200" s="4" t="str">
        <f ca="1">IFERROR(__xludf.DUMMYFUNCTION("""COMPUTED_VALUE"""),"त्रेताग्निधूमाग्रं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||")</f>
        <v>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||</v>
      </c>
      <c r="B1200" s="4" t="s">
        <v>12</v>
      </c>
      <c r="C1200" s="4"/>
    </row>
    <row r="1201" spans="1:3" ht="24" customHeight="1">
      <c r="A1201" s="4" t="str">
        <f ca="1">IFERROR(__xludf.DUMMYFUNCTION("""COMPUTED_VALUE"""),"एतन्मुनेर्मानिनि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||")</f>
        <v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||</v>
      </c>
      <c r="B1201" s="4" t="s">
        <v>26</v>
      </c>
      <c r="C1201" s="4"/>
    </row>
    <row r="1202" spans="1:3" ht="24" customHeight="1">
      <c r="A1202" s="4" t="str">
        <f ca="1">IFERROR(__xludf.DUMMYFUNCTION("""COMPUTED_VALUE"""),"पुरा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||")</f>
        <v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||</v>
      </c>
      <c r="B1202" s="4" t="s">
        <v>20</v>
      </c>
      <c r="C1202" s="4"/>
    </row>
    <row r="1203" spans="1:3" ht="24" customHeight="1">
      <c r="A1203" s="4" t="str">
        <f ca="1">IFERROR(__xludf.DUMMYFUNCTION("""COMPUTED_VALUE"""),"तस्यायं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||")</f>
        <v>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||</v>
      </c>
      <c r="B1203" s="4" t="s">
        <v>2</v>
      </c>
      <c r="C1203" s="4"/>
    </row>
    <row r="1204" spans="1:3" ht="24" customHeight="1">
      <c r="A1204" s="4" t="str">
        <f ca="1">IFERROR(__xludf.DUMMYFUNCTION("""COMPUTED_VALUE"""),"हविर्भुजां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||")</f>
        <v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||</v>
      </c>
      <c r="B1204" s="4" t="s">
        <v>2</v>
      </c>
      <c r="C1204" s="4"/>
    </row>
    <row r="1205" spans="1:3" ht="24" customHeight="1">
      <c r="A1205" s="4" t="str">
        <f ca="1">IFERROR(__xludf.DUMMYFUNCTION("""COMPUTED_VALUE"""),"अमुं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||")</f>
        <v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||</v>
      </c>
      <c r="B1205" s="4" t="s">
        <v>1</v>
      </c>
      <c r="C1205" s="4"/>
    </row>
    <row r="1206" spans="1:3" ht="24" customHeight="1">
      <c r="A1206" s="4" t="str">
        <f ca="1">IFERROR(__xludf.DUMMYFUNCTION("""COMPUTED_VALUE"""),"एषोऽक्षमालावलयं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||")</f>
        <v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||</v>
      </c>
      <c r="B1206" s="4" t="s">
        <v>2</v>
      </c>
      <c r="C1206" s="4"/>
    </row>
    <row r="1207" spans="1:3" ht="24" customHeight="1">
      <c r="A1207" s="4" t="str">
        <f ca="1">IFERROR(__xludf.DUMMYFUNCTION("""COMPUTED_VALUE"""),"वाचंयमत्वात्प्रणतिं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||")</f>
        <v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||</v>
      </c>
      <c r="B1207" s="4" t="s">
        <v>2</v>
      </c>
      <c r="C1207" s="4"/>
    </row>
    <row r="1208" spans="1:3" ht="24" customHeight="1">
      <c r="A1208" s="4" t="str">
        <f ca="1">IFERROR(__xludf.DUMMYFUNCTION("""COMPUTED_VALUE"""),"अदः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अप्यहौषीथ् ||")</f>
        <v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अप्यहौषीथ् ||</v>
      </c>
      <c r="B1208" s="4" t="s">
        <v>13</v>
      </c>
      <c r="C1208" s="4"/>
    </row>
    <row r="1209" spans="1:3" ht="24" customHeight="1">
      <c r="A1209" s="4" t="str">
        <f ca="1">IFERROR(__xludf.DUMMYFUNCTION("""COMPUTED_VALUE"""),"छायाविनीताध्वपरिश्रमेषु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||")</f>
        <v>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||</v>
      </c>
      <c r="B1209" s="4" t="s">
        <v>13</v>
      </c>
      <c r="C1209" s="4"/>
    </row>
    <row r="1210" spans="1:3" ht="24" customHeight="1">
      <c r="A1210" s="4" t="str">
        <f ca="1">IFERROR(__xludf.DUMMYFUNCTION("""COMPUTED_VALUE"""),"धारास्वनोद्गारिदरीमुखोऽसौ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||")</f>
        <v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||</v>
      </c>
      <c r="B1210" s="4" t="s">
        <v>23</v>
      </c>
      <c r="C1210" s="4"/>
    </row>
    <row r="1211" spans="1:3" ht="24" customHeight="1">
      <c r="A1211" s="4" t="str">
        <f ca="1">IFERROR(__xludf.DUMMYFUNCTION("""COMPUTED_VALUE"""),"एषा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||")</f>
        <v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||</v>
      </c>
      <c r="B1211" s="4" t="s">
        <v>12</v>
      </c>
      <c r="C1211" s="4"/>
    </row>
    <row r="1212" spans="1:3" ht="24" customHeight="1">
      <c r="A1212" s="4" t="str">
        <f ca="1">IFERROR(__xludf.DUMMYFUNCTION("""COMPUTED_VALUE"""),"अयं सुजातोऽनुगिरं तमालः प्रवालं आदाय सुगन्धि यस्य । कर्णार्पितेन्ऽ ठाकरवं कपोलं अपार्थ्यकालागुरुपत्त्रलेखं Vथ् ||")</f>
        <v>अयं सुजातोऽनुगिरं तमालः प्रवालं आदाय सुगन्धि यस्य । कर्णार्पितेन्ऽ ठाकरवं कपोलं अपार्थ्यकालागुरुपत्त्रलेखं Vथ् ||</v>
      </c>
      <c r="B1212" s="4" t="s">
        <v>14</v>
      </c>
      <c r="C1212" s="4"/>
    </row>
    <row r="1213" spans="1:3" ht="24" customHeight="1">
      <c r="A1213" s="4" t="str">
        <f ca="1">IFERROR(__xludf.DUMMYFUNCTION("""COMPUTED_VALUE"""),"अनिग्रहत्रासविनीतसत्त्वं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||")</f>
        <v>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||</v>
      </c>
      <c r="B1213" s="4" t="s">
        <v>4</v>
      </c>
      <c r="C1213" s="4"/>
    </row>
    <row r="1214" spans="1:3" ht="24" customHeight="1">
      <c r="A1214" s="4" t="str">
        <f ca="1">IFERROR(__xludf.DUMMYFUNCTION("""COMPUTED_VALUE"""),"अत्राभिषेकाय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||")</f>
        <v>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||</v>
      </c>
      <c r="B1214" s="4" t="s">
        <v>11</v>
      </c>
      <c r="C1214" s="4"/>
    </row>
    <row r="1215" spans="1:3" ht="24" customHeight="1">
      <c r="A1215" s="4" t="str">
        <f ca="1">IFERROR(__xludf.DUMMYFUNCTION("""COMPUTED_VALUE"""),"वीरासनैर्ध्यानजुषां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||")</f>
        <v>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||</v>
      </c>
      <c r="B1215" s="4" t="s">
        <v>9</v>
      </c>
      <c r="C1215" s="4"/>
    </row>
    <row r="1216" spans="1:3" ht="24" customHeight="1">
      <c r="A1216" s="4" t="str">
        <f ca="1">IFERROR(__xludf.DUMMYFUNCTION("""COMPUTED_VALUE"""),"त्वया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||")</f>
        <v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||</v>
      </c>
      <c r="B1216" s="4" t="s">
        <v>2</v>
      </c>
      <c r="C1216" s="4"/>
    </row>
    <row r="1217" spans="1:3" ht="24" customHeight="1">
      <c r="A1217" s="4" t="str">
        <f ca="1">IFERROR(__xludf.DUMMYFUNCTION("""COMPUTED_VALUE"""),"क्वचित्प्रभा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||")</f>
        <v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||</v>
      </c>
      <c r="B1217" s="4" t="s">
        <v>4</v>
      </c>
      <c r="C1217" s="4"/>
    </row>
    <row r="1218" spans="1:3" ht="24" customHeight="1">
      <c r="A1218" s="4" t="str">
        <f ca="1">IFERROR(__xludf.DUMMYFUNCTION("""COMPUTED_VALUE"""),"क्वचित्खगानां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||")</f>
        <v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||</v>
      </c>
      <c r="B1218" s="4" t="s">
        <v>4</v>
      </c>
      <c r="C1218" s="4"/>
    </row>
    <row r="1219" spans="1:3" ht="24" customHeight="1">
      <c r="A1219" s="4" t="str">
        <f ca="1">IFERROR(__xludf.DUMMYFUNCTION("""COMPUTED_VALUE"""),"क्वचित्प्रभा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||")</f>
        <v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||</v>
      </c>
      <c r="B1219" s="4" t="s">
        <v>8</v>
      </c>
      <c r="C1219" s="4"/>
    </row>
    <row r="1220" spans="1:3" ht="24" customHeight="1">
      <c r="A1220" s="4" t="str">
        <f ca="1">IFERROR(__xludf.DUMMYFUNCTION("""COMPUTED_VALUE"""),"क्वचिच्च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||")</f>
        <v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||</v>
      </c>
      <c r="B1220" s="4" t="s">
        <v>15</v>
      </c>
      <c r="C1220" s="4"/>
    </row>
    <row r="1221" spans="1:3" ht="24" customHeight="1">
      <c r="A1221" s="4" t="str">
        <f ca="1">IFERROR(__xludf.DUMMYFUNCTION("""COMPUTED_VALUE"""),"तमिस्रया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||")</f>
        <v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||</v>
      </c>
      <c r="B1221" s="4" t="s">
        <v>18</v>
      </c>
      <c r="C1221" s="4"/>
    </row>
    <row r="1222" spans="1:3" ht="24" customHeight="1">
      <c r="A1222" s="4" t="str">
        <f ca="1">IFERROR(__xludf.DUMMYFUNCTION("""COMPUTED_VALUE"""),"दृश्यार्धया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||")</f>
        <v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||</v>
      </c>
      <c r="B1222" s="4" t="s">
        <v>4</v>
      </c>
      <c r="C1222" s="4"/>
    </row>
    <row r="1223" spans="1:3" ht="24" customHeight="1">
      <c r="A1223" s="4" t="str">
        <f ca="1">IFERROR(__xludf.DUMMYFUNCTION("""COMPUTED_VALUE"""),"तुषारसंघातशिला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||")</f>
        <v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||</v>
      </c>
      <c r="B1223" s="4" t="s">
        <v>5</v>
      </c>
      <c r="C1223" s="4"/>
    </row>
    <row r="1224" spans="1:3" ht="24" customHeight="1">
      <c r="A1224" s="4" t="str">
        <f ca="1">IFERROR(__xludf.DUMMYFUNCTION("""COMPUTED_VALUE"""),"नितान्तशुद्धस्फुटिकाशयोगाद्वैडूर्यकान्त्या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||")</f>
        <v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||</v>
      </c>
      <c r="B1224" s="4" t="s">
        <v>14</v>
      </c>
      <c r="C1224" s="4"/>
    </row>
    <row r="1225" spans="1:3" ht="24" customHeight="1">
      <c r="A1225" s="4" t="str">
        <f ca="1">IFERROR(__xludf.DUMMYFUNCTION("""COMPUTED_VALUE"""),"समुद्रपत्न्योर्जलसंनिपाते पूतात्मनां अत्र किलाभिषेकाथ् । तत्त्वावबोधेन विनापि भूयस्तनुत्यजां नास्ति शरीरबन्धः ||")</f>
        <v>समुद्रपत्न्योर्जलसंनिपाते पूतात्मनां अत्र किलाभिषेकाथ् । तत्त्वावबोधेन विनापि भूयस्तनुत्यजां नास्ति शरीरबन्धः ||</v>
      </c>
      <c r="B1225" s="4" t="s">
        <v>20</v>
      </c>
      <c r="C1225" s="4"/>
    </row>
    <row r="1226" spans="1:3" ht="24" customHeight="1">
      <c r="A1226" s="4" t="str">
        <f ca="1">IFERROR(__xludf.DUMMYFUNCTION("""COMPUTED_VALUE"""),"पुरं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||")</f>
        <v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||</v>
      </c>
      <c r="B1226" s="4" t="s">
        <v>2</v>
      </c>
      <c r="C1226" s="4"/>
    </row>
    <row r="1227" spans="1:3" ht="24" customHeight="1">
      <c r="A1227" s="4" t="str">
        <f ca="1">IFERROR(__xludf.DUMMYFUNCTION("""COMPUTED_VALUE"""),"पयोधरैः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||")</f>
        <v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||</v>
      </c>
      <c r="B1227" s="4" t="s">
        <v>2</v>
      </c>
      <c r="C1227" s="4"/>
    </row>
    <row r="1228" spans="1:3" ht="24" customHeight="1">
      <c r="A1228" s="4" t="str">
        <f ca="1">IFERROR(__xludf.DUMMYFUNCTION("""COMPUTED_VALUE"""),"जलानि या तीरनिखातयूपा वहत्ययोध्यां अनु राजधानीं । तुरंगमेधावभृतवतीर्णैरिक्ष्वाकुभिः पुण्यतरीकृतानि ||")</f>
        <v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||</v>
      </c>
      <c r="B1228" s="4" t="s">
        <v>1</v>
      </c>
      <c r="C1228" s="4"/>
    </row>
    <row r="1229" spans="1:3" ht="24" customHeight="1">
      <c r="A1229" s="4" t="str">
        <f ca="1">IFERROR(__xludf.DUMMYFUNCTION("""COMPUTED_VALUE"""),"यां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||")</f>
        <v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||</v>
      </c>
      <c r="B1229" s="4" t="s">
        <v>1</v>
      </c>
      <c r="C1229" s="4"/>
    </row>
    <row r="1230" spans="1:3" ht="24" customHeight="1">
      <c r="A1230" s="4" t="str">
        <f ca="1">IFERROR(__xludf.DUMMYFUNCTION("""COMPUTED_VALUE"""),"सेयं मदीया जननीव तेन मान्येन राज्ञा सरयूर्वियुक्ता । दूरे वसन्तं शिशिरानिलैर्मां तरङ्गहस्तैरुपगूहतीव ||")</f>
        <v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||</v>
      </c>
      <c r="B1230" s="4" t="s">
        <v>4</v>
      </c>
      <c r="C1230" s="4"/>
    </row>
    <row r="1231" spans="1:3" ht="24" customHeight="1">
      <c r="A1231" s="4" t="str">
        <f ca="1">IFERROR(__xludf.DUMMYFUNCTION("""COMPUTED_VALUE"""),"विरक्तसंध्याकपिशं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||")</f>
        <v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||</v>
      </c>
      <c r="B1231" s="4" t="s">
        <v>5</v>
      </c>
      <c r="C1231" s="4"/>
    </row>
    <row r="1232" spans="1:3" ht="24" customHeight="1">
      <c r="A1232" s="4" t="str">
        <f ca="1">IFERROR(__xludf.DUMMYFUNCTION("""COMPUTED_VALUE"""),"अद्धा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||")</f>
        <v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||</v>
      </c>
      <c r="B1232" s="4" t="s">
        <v>12</v>
      </c>
      <c r="C1232" s="4"/>
    </row>
    <row r="1233" spans="1:3" ht="24" customHeight="1">
      <c r="A1233" s="4" t="str">
        <f ca="1">IFERROR(__xludf.DUMMYFUNCTION("""COMPUTED_VALUE"""),"असौ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||")</f>
        <v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||</v>
      </c>
      <c r="B1233" s="4" t="s">
        <v>2</v>
      </c>
      <c r="C1233" s="4"/>
    </row>
    <row r="1234" spans="1:3" ht="24" customHeight="1">
      <c r="A1234" s="4" t="str">
        <f ca="1">IFERROR(__xludf.DUMMYFUNCTION("""COMPUTED_VALUE"""),"पित्रा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||")</f>
        <v>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||</v>
      </c>
      <c r="B1234" s="4" t="s">
        <v>0</v>
      </c>
      <c r="C1234" s="4"/>
    </row>
    <row r="1235" spans="1:3" ht="24" customHeight="1">
      <c r="A1235" s="4" t="str">
        <f ca="1">IFERROR(__xludf.DUMMYFUNCTION("""COMPUTED_VALUE"""),"एतावदुक्तवति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||")</f>
        <v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||</v>
      </c>
      <c r="B1235" s="4" t="s">
        <v>6</v>
      </c>
      <c r="C1235" s="4"/>
    </row>
    <row r="1236" spans="1:3" ht="24" customHeight="1">
      <c r="A1236" s="4" t="str">
        <f ca="1">IFERROR(__xludf.DUMMYFUNCTION("""COMPUTED_VALUE"""),"तस्मात्पुरःसरविभीषणदर्शितेन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||")</f>
        <v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||</v>
      </c>
      <c r="B1236" s="4" t="s">
        <v>12</v>
      </c>
      <c r="C1236" s="4"/>
    </row>
    <row r="1237" spans="1:3" ht="24" customHeight="1">
      <c r="A1237" s="4" t="str">
        <f ca="1">IFERROR(__xludf.DUMMYFUNCTION("""COMPUTED_VALUE"""),"इक्ष्वाकुवंशगुरवे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||")</f>
        <v>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||</v>
      </c>
      <c r="B1237" s="4" t="s">
        <v>19</v>
      </c>
      <c r="C1237" s="4"/>
    </row>
    <row r="1238" spans="1:3" ht="24" customHeight="1">
      <c r="A1238" s="4" t="str">
        <f ca="1">IFERROR(__xludf.DUMMYFUNCTION("""COMPUTED_VALUE"""),"श्मश्रुप्रवृद्धिजनिताननविक्रियांश्च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||")</f>
        <v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||</v>
      </c>
      <c r="B1238" s="4" t="s">
        <v>16</v>
      </c>
      <c r="C1238" s="4"/>
    </row>
    <row r="1239" spans="1:3" ht="24" customHeight="1">
      <c r="A1239" s="4" t="str">
        <f ca="1">IFERROR(__xludf.DUMMYFUNCTION("""COMPUTED_VALUE"""),"दुर्जातबन्धुरयं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||")</f>
        <v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||</v>
      </c>
      <c r="B1239" s="4" t="s">
        <v>17</v>
      </c>
      <c r="C1239" s="4"/>
    </row>
    <row r="1240" spans="1:3" ht="24" customHeight="1">
      <c r="A1240" s="4" t="str">
        <f ca="1">IFERROR(__xludf.DUMMYFUNCTION("""COMPUTED_VALUE"""),"स्ॐइत्रिणा तदनु संससृजे स चैनं उत्थाप्य नम्रशिरसं भृशं आलिनिङ्ग । रूढेन्द्रजित्प्रहरणव्रणकर्कशेन क्लिश्यन्निवास्य भुजमध्यं उरःस्थलेन ||")</f>
        <v>स्ॐइत्रिणा तदनु संससृजे स चैनं उत्थाप्य नम्रशिरसं भृशं आलिनिङ्ग । रूढेन्द्रजित्प्रहरणव्रणकर्कशेन क्लिश्यन्निवास्य भुजमध्यं उरःस्थलेन ||</v>
      </c>
      <c r="B1240" s="4" t="s">
        <v>1</v>
      </c>
      <c r="C1240" s="4"/>
    </row>
    <row r="1241" spans="1:3" ht="24" customHeight="1">
      <c r="A1241" s="4" t="str">
        <f ca="1">IFERROR(__xludf.DUMMYFUNCTION("""COMPUTED_VALUE"""),"रामाज्ञया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||")</f>
        <v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||</v>
      </c>
      <c r="B1241" s="4" t="s">
        <v>2</v>
      </c>
      <c r="C1241" s="4"/>
    </row>
    <row r="1242" spans="1:3" ht="24" customHeight="1">
      <c r="A1242" s="4" t="str">
        <f ca="1">IFERROR(__xludf.DUMMYFUNCTION("""COMPUTED_VALUE"""),"सानुप्लवः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||")</f>
        <v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||</v>
      </c>
      <c r="B1242" s="4" t="s">
        <v>6</v>
      </c>
      <c r="C1242" s="4"/>
    </row>
    <row r="1243" spans="1:3" ht="24" customHeight="1">
      <c r="A1243" s="4" t="str">
        <f ca="1">IFERROR(__xludf.DUMMYFUNCTION("""COMPUTED_VALUE"""),"भूयस्ततो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||")</f>
        <v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||</v>
      </c>
      <c r="B1243" s="4" t="s">
        <v>17</v>
      </c>
      <c r="C1243" s="4"/>
    </row>
    <row r="1244" spans="1:3" ht="24" customHeight="1">
      <c r="A1244" s="4" t="str">
        <f ca="1">IFERROR(__xludf.DUMMYFUNCTION("""COMPUTED_VALUE"""),"तत्रेश्वरेण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||")</f>
        <v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||</v>
      </c>
      <c r="B1244" s="4" t="s">
        <v>17</v>
      </c>
      <c r="C1244" s="4"/>
    </row>
    <row r="1245" spans="1:3" ht="24" customHeight="1">
      <c r="A1245" s="4" t="str">
        <f ca="1">IFERROR(__xludf.DUMMYFUNCTION("""COMPUTED_VALUE"""),"लङ्केश्वरप्रणतिभङ्गदृढव्रतं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||")</f>
        <v>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||</v>
      </c>
      <c r="B1245" s="4" t="s">
        <v>5</v>
      </c>
      <c r="C1245" s="4"/>
    </row>
    <row r="1246" spans="1:3" ht="24" customHeight="1">
      <c r="A1246" s="4" t="str">
        <f ca="1">IFERROR(__xludf.DUMMYFUNCTION("""COMPUTED_VALUE"""),"क्रोशार्धं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||")</f>
        <v>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||</v>
      </c>
      <c r="B1246" s="4" t="s">
        <v>18</v>
      </c>
      <c r="C1246" s="4"/>
    </row>
    <row r="1247" spans="1:3" ht="24" customHeight="1">
      <c r="A1247" s="4" t="str">
        <f ca="1">IFERROR(__xludf.DUMMYFUNCTION("""COMPUTED_VALUE"""),"उत्तिष्ठ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||")</f>
        <v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||</v>
      </c>
      <c r="B1247" s="4" t="s">
        <v>5</v>
      </c>
      <c r="C1247" s="4"/>
    </row>
    <row r="1248" spans="1:3" ht="24" customHeight="1">
      <c r="A1248" s="4" t="str">
        <f ca="1">IFERROR(__xludf.DUMMYFUNCTION("""COMPUTED_VALUE"""),"उभावुभाभ्यां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||")</f>
        <v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||</v>
      </c>
      <c r="B1248" s="4" t="s">
        <v>6</v>
      </c>
      <c r="C1248" s="4"/>
    </row>
    <row r="1249" spans="1:3" ht="24" customHeight="1">
      <c r="A1249" s="4" t="str">
        <f ca="1">IFERROR(__xludf.DUMMYFUNCTION("""COMPUTED_VALUE"""),"आनन्दजः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||")</f>
        <v>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||</v>
      </c>
      <c r="B1249" s="4" t="s">
        <v>7</v>
      </c>
      <c r="C1249" s="4"/>
    </row>
    <row r="1250" spans="1:3" ht="24" customHeight="1">
      <c r="A1250" s="4" t="str">
        <f ca="1">IFERROR(__xludf.DUMMYFUNCTION("""COMPUTED_VALUE"""),"ते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||")</f>
        <v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||</v>
      </c>
      <c r="B1250" s="4" t="s">
        <v>2</v>
      </c>
      <c r="C1250" s="4"/>
    </row>
    <row r="1251" spans="1:3" ht="24" customHeight="1">
      <c r="A1251" s="4" t="str">
        <f ca="1">IFERROR(__xludf.DUMMYFUNCTION("""COMPUTED_VALUE"""),"क्लेशावहा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||")</f>
        <v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||</v>
      </c>
      <c r="B1251" s="4" t="s">
        <v>17</v>
      </c>
      <c r="C1251" s="4"/>
    </row>
    <row r="1252" spans="1:3" ht="24" customHeight="1">
      <c r="A1252" s="4" t="str">
        <f ca="1">IFERROR(__xludf.DUMMYFUNCTION("""COMPUTED_VALUE"""),"उत्तिष्ठ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||")</f>
        <v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||</v>
      </c>
      <c r="B1252" s="4" t="s">
        <v>5</v>
      </c>
      <c r="C1252" s="4"/>
    </row>
    <row r="1253" spans="1:3" ht="24" customHeight="1">
      <c r="A1253" s="4" t="str">
        <f ca="1">IFERROR(__xludf.DUMMYFUNCTION("""COMPUTED_VALUE"""),"अथाभिषेकं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||")</f>
        <v>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||</v>
      </c>
      <c r="B1253" s="4" t="s">
        <v>5</v>
      </c>
      <c r="C1253" s="4"/>
    </row>
    <row r="1254" spans="1:3" ht="24" customHeight="1">
      <c r="A1254" s="4" t="str">
        <f ca="1">IFERROR(__xludf.DUMMYFUNCTION("""COMPUTED_VALUE"""),"सरित्समुद्रान्सरसीश्च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||")</f>
        <v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||</v>
      </c>
      <c r="B1254" s="4" t="s">
        <v>9</v>
      </c>
      <c r="C1254" s="4"/>
    </row>
    <row r="1255" spans="1:3" ht="24" customHeight="1">
      <c r="A1255" s="4" t="str">
        <f ca="1">IFERROR(__xludf.DUMMYFUNCTION("""COMPUTED_VALUE"""),"तपस्विवेषक्रिययापि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||")</f>
        <v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||</v>
      </c>
      <c r="B1255" s="4" t="s">
        <v>13</v>
      </c>
      <c r="C1255" s="4"/>
    </row>
    <row r="1256" spans="1:3" ht="24" customHeight="1">
      <c r="A1256" s="4" t="str">
        <f ca="1">IFERROR(__xludf.DUMMYFUNCTION("""COMPUTED_VALUE"""),"स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||")</f>
        <v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||</v>
      </c>
      <c r="B1256" s="4" t="s">
        <v>1</v>
      </c>
      <c r="C1256" s="4"/>
    </row>
    <row r="1257" spans="1:3" ht="24" customHeight="1">
      <c r="A1257" s="4" t="str">
        <f ca="1">IFERROR(__xludf.DUMMYFUNCTION("""COMPUTED_VALUE"""),"सौमित्रिणा सावरजेन मन्दं आधूतवालव्यजनो रथस्थः । धृतातपत्रो भरतेन साक्षादुपायसंघात इव प्रवृद्धः ||")</f>
        <v>सौमित्रिणा सावरजेन मन्दं आधूतवालव्यजनो रथस्थः । धृतातपत्रो भरतेन साक्षादुपायसंघात इव प्रवृद्धः ||</v>
      </c>
      <c r="B1257" s="4" t="s">
        <v>20</v>
      </c>
      <c r="C1257" s="4"/>
    </row>
    <row r="1258" spans="1:3" ht="24" customHeight="1">
      <c r="A1258" s="4" t="str">
        <f ca="1">IFERROR(__xludf.DUMMYFUNCTION("""COMPUTED_VALUE"""),"प्रासादकालागुरुधूमराजिस्तस्याः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||")</f>
        <v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||</v>
      </c>
      <c r="B1258" s="4" t="s">
        <v>18</v>
      </c>
      <c r="C1258" s="4"/>
    </row>
    <row r="1259" spans="1:3" ht="24" customHeight="1">
      <c r="A1259" s="4" t="str">
        <f ca="1">IFERROR(__xludf.DUMMYFUNCTION("""COMPUTED_VALUE"""),"श्वश्रूजनानुष्ठितचारुवेषां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||")</f>
        <v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||</v>
      </c>
      <c r="B1259" s="4" t="s">
        <v>12</v>
      </c>
      <c r="C1259" s="4"/>
    </row>
    <row r="1260" spans="1:3" ht="24" customHeight="1">
      <c r="A1260" s="4" t="str">
        <f ca="1">IFERROR(__xludf.DUMMYFUNCTION("""COMPUTED_VALUE"""),"स्फुरत्प्रभामण्डलं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||")</f>
        <v>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||</v>
      </c>
      <c r="B1260" s="4" t="s">
        <v>0</v>
      </c>
      <c r="C1260" s="4"/>
    </row>
    <row r="1261" spans="1:3" ht="24" customHeight="1">
      <c r="A1261" s="4" t="str">
        <f ca="1">IFERROR(__xludf.DUMMYFUNCTION("""COMPUTED_VALUE"""),"वेश्मानि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||")</f>
        <v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||</v>
      </c>
      <c r="B1261" s="4" t="s">
        <v>8</v>
      </c>
      <c r="C1261" s="4"/>
    </row>
    <row r="1262" spans="1:3" ht="24" customHeight="1">
      <c r="A1262" s="4" t="str">
        <f ca="1">IFERROR(__xludf.DUMMYFUNCTION("""COMPUTED_VALUE"""),"कृताञ्जलिस्तत्र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||")</f>
        <v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||</v>
      </c>
      <c r="B1262" s="4" t="s">
        <v>2</v>
      </c>
      <c r="C1262" s="4"/>
    </row>
    <row r="1263" spans="1:3" ht="24" customHeight="1">
      <c r="A1263" s="4" t="str">
        <f ca="1">IFERROR(__xludf.DUMMYFUNCTION("""COMPUTED_VALUE"""),"तथा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||")</f>
        <v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||</v>
      </c>
      <c r="B1263" s="4" t="s">
        <v>1</v>
      </c>
      <c r="C1263" s="4"/>
    </row>
    <row r="1264" spans="1:3" ht="24" customHeight="1">
      <c r="A1264" s="4" t="str">
        <f ca="1">IFERROR(__xludf.DUMMYFUNCTION("""COMPUTED_VALUE"""),"सभाजनायोपगतान्स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||")</f>
        <v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||</v>
      </c>
      <c r="B1264" s="4" t="s">
        <v>1</v>
      </c>
      <c r="C1264" s="4"/>
    </row>
    <row r="1265" spans="1:3" ht="24" customHeight="1">
      <c r="A1265" s="4" t="str">
        <f ca="1">IFERROR(__xludf.DUMMYFUNCTION("""COMPUTED_VALUE"""),"प्रतिप्रयातेषु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||")</f>
        <v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||</v>
      </c>
      <c r="B1265" s="4" t="s">
        <v>12</v>
      </c>
      <c r="C1265" s="4"/>
    </row>
    <row r="1266" spans="1:3" ht="24" customHeight="1">
      <c r="A1266" s="4" t="str">
        <f ca="1">IFERROR(__xludf.DUMMYFUNCTION("""COMPUTED_VALUE"""),"तच्चात्मचिन्तासुलभं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||")</f>
        <v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||</v>
      </c>
      <c r="B1266" s="4" t="s">
        <v>2</v>
      </c>
      <c r="C1266" s="4"/>
    </row>
    <row r="1267" spans="1:3" ht="24" customHeight="1">
      <c r="A1267" s="4" t="str">
        <f ca="1">IFERROR(__xludf.DUMMYFUNCTION("""COMPUTED_VALUE"""),"पितुर्नियोगाद्वनवासं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||")</f>
        <v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||</v>
      </c>
      <c r="B1267" s="4" t="s">
        <v>2</v>
      </c>
      <c r="C1267" s="4"/>
    </row>
    <row r="1268" spans="1:3" ht="24" customHeight="1">
      <c r="A1268" s="4" t="str">
        <f ca="1">IFERROR(__xludf.DUMMYFUNCTION("""COMPUTED_VALUE"""),"सर्वासु मातृष्वपि वत्सलत्वात्स निर्विशेषप्रतिपत्तिरासीथ् । षडाननापीतपयोधरासु नेता चमूनां इव कृत्तिकासु ||")</f>
        <v>सर्वासु मातृष्वपि वत्सलत्वात्स निर्विशेषप्रतिपत्तिरासीथ् । षडाननापीतपयोधरासु नेता चमूनां इव कृत्तिकासु ||</v>
      </c>
      <c r="B1268" s="4" t="s">
        <v>18</v>
      </c>
      <c r="C1268" s="4"/>
    </row>
    <row r="1269" spans="1:3" ht="24" customHeight="1">
      <c r="A1269" s="4" t="str">
        <f ca="1">IFERROR(__xludf.DUMMYFUNCTION("""COMPUTED_VALUE"""),"तेनार्थवांल्लोभपराङ्मुखेन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||")</f>
        <v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||</v>
      </c>
      <c r="B1269" s="4" t="s">
        <v>0</v>
      </c>
      <c r="C1269" s="4"/>
    </row>
    <row r="1270" spans="1:3" ht="24" customHeight="1">
      <c r="A1270" s="4" t="str">
        <f ca="1">IFERROR(__xludf.DUMMYFUNCTION("""COMPUTED_VALUE"""),"स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||")</f>
        <v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||</v>
      </c>
      <c r="B1270" s="4" t="s">
        <v>5</v>
      </c>
      <c r="C1270" s="4"/>
    </row>
    <row r="1271" spans="1:3" ht="24" customHeight="1">
      <c r="A1271" s="4" t="str">
        <f ca="1">IFERROR(__xludf.DUMMYFUNCTION("""COMPUTED_VALUE"""),"तयोर्यथाप्रार्थितं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||")</f>
        <v>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||</v>
      </c>
      <c r="B1271" s="4" t="s">
        <v>4</v>
      </c>
      <c r="C1271" s="4"/>
    </row>
    <row r="1272" spans="1:3" ht="24" customHeight="1">
      <c r="A1272" s="4" t="str">
        <f ca="1">IFERROR(__xludf.DUMMYFUNCTION("""COMPUTED_VALUE"""),"अथाधिकस्निग्धविलोचनेन मुखेन सीता शरपाण्डुरेण । आनन्दयित्री परिणेतुरासीदनक्षरव्यञ्जितदोहदेन ||")</f>
        <v>अथाधिकस्निग्धविलोचनेन मुखेन सीता शरपाण्डुरेण । आनन्दयित्री परिणेतुरासीदनक्षरव्यञ्जितदोहदेन ||</v>
      </c>
      <c r="B1272" s="4" t="s">
        <v>1</v>
      </c>
      <c r="C1272" s="4"/>
    </row>
    <row r="1273" spans="1:3" ht="24" customHeight="1">
      <c r="A1273" s="4" t="str">
        <f ca="1">IFERROR(__xludf.DUMMYFUNCTION("""COMPUTED_VALUE"""),"तां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||")</f>
        <v>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||</v>
      </c>
      <c r="B1273" s="4" t="s">
        <v>13</v>
      </c>
      <c r="C1273" s="4"/>
    </row>
    <row r="1274" spans="1:3" ht="24" customHeight="1">
      <c r="A1274" s="4" t="str">
        <f ca="1">IFERROR(__xludf.DUMMYFUNCTION("""COMPUTED_VALUE"""),"सा दष्टनीवारबलीनिहिंस्रैः संबद्ध वैखानसकन्यकानि । इयेष भूयः कुशवन्ति गन्तुं भागीरथीतीरतपोवनानि ||")</f>
        <v>सा दष्टनीवारबलीनिहिंस्रैः संबद्ध वैखानसकन्यकानि । इयेष भूयः कुशवन्ति गन्तुं भागीरथीतीरतपोवनानि ||</v>
      </c>
      <c r="B1274" s="4" t="s">
        <v>1</v>
      </c>
      <c r="C1274" s="4"/>
    </row>
    <row r="1275" spans="1:3" ht="24" customHeight="1">
      <c r="A1275" s="4" t="str">
        <f ca="1">IFERROR(__xludf.DUMMYFUNCTION("""COMPUTED_VALUE"""),"तस्यै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||")</f>
        <v>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||</v>
      </c>
      <c r="B1275" s="4" t="s">
        <v>24</v>
      </c>
      <c r="C1275" s="4"/>
    </row>
    <row r="1276" spans="1:3" ht="24" customHeight="1">
      <c r="A1276" s="4" t="str">
        <f ca="1">IFERROR(__xludf.DUMMYFUNCTION("""COMPUTED_VALUE"""),"ऋद्धापणं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||")</f>
        <v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||</v>
      </c>
      <c r="B1276" s="4" t="s">
        <v>12</v>
      </c>
      <c r="C1276" s="4"/>
    </row>
    <row r="1277" spans="1:3" ht="24" customHeight="1">
      <c r="A1277" s="4" t="str">
        <f ca="1">IFERROR(__xludf.DUMMYFUNCTION("""COMPUTED_VALUE"""),"स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||")</f>
        <v>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||</v>
      </c>
      <c r="B1277" s="4" t="s">
        <v>0</v>
      </c>
      <c r="C1277" s="4"/>
    </row>
    <row r="1278" spans="1:3" ht="24" customHeight="1">
      <c r="A1278" s="4" t="str">
        <f ca="1">IFERROR(__xludf.DUMMYFUNCTION("""COMPUTED_VALUE"""),"निर्बन्धपृष्टः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||")</f>
        <v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||</v>
      </c>
      <c r="B1278" s="4" t="s">
        <v>5</v>
      </c>
      <c r="C1278" s="4"/>
    </row>
    <row r="1279" spans="1:3" ht="24" customHeight="1">
      <c r="A1279" s="4" t="str">
        <f ca="1">IFERROR(__xludf.DUMMYFUNCTION("""COMPUTED_VALUE"""),"कलत्रनिन्दागुरुणा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||")</f>
        <v>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||</v>
      </c>
      <c r="B1279" s="4" t="s">
        <v>0</v>
      </c>
      <c r="C1279" s="4"/>
    </row>
    <row r="1280" spans="1:3" ht="24" customHeight="1">
      <c r="A1280" s="4" t="str">
        <f ca="1">IFERROR(__xludf.DUMMYFUNCTION("""COMPUTED_VALUE"""),"किं आत्मनिर्वादकथां उपेक्षे जायां अदोषां उत संत्यजामि । इत्येकपक्षाश्रयविक्लवत्वादासीत्स दोलाचलचित्तवृत्तिः ||")</f>
        <v>किं आत्मनिर्वादकथां उपेक्षे जायां अदोषां उत संत्यजामि । इत्येकपक्षाश्रयविक्लवत्वादासीत्स दोलाचलचित्तवृत्तिः ||</v>
      </c>
      <c r="B1280" s="4" t="s">
        <v>2</v>
      </c>
      <c r="C1280" s="4"/>
    </row>
    <row r="1281" spans="1:3" ht="24" customHeight="1">
      <c r="A1281" s="4" t="str">
        <f ca="1">IFERROR(__xludf.DUMMYFUNCTION("""COMPUTED_VALUE"""),"निश्चित्य चानन्यनिवृत्ति वाच्यं त्यागेन पत्न्याः परिमार्ष्टुं ऐच्छथ् । अपि स्वदेहात्किं उतेन्द्रियार्थाद्यशोधनानां हि यशो गरीयः ||")</f>
        <v>निश्चित्य चानन्यनिवृत्ति वाच्यं त्यागेन पत्न्याः परिमार्ष्टुं ऐच्छथ् । अपि स्वदेहात्किं उतेन्द्रियार्थाद्यशोधनानां हि यशो गरीयः ||</v>
      </c>
      <c r="B1281" s="4" t="s">
        <v>5</v>
      </c>
      <c r="C1281" s="4"/>
    </row>
    <row r="1282" spans="1:3" ht="24" customHeight="1">
      <c r="A1282" s="4" t="str">
        <f ca="1">IFERROR(__xludf.DUMMYFUNCTION("""COMPUTED_VALUE"""),"स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||")</f>
        <v>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||</v>
      </c>
      <c r="B1282" s="4" t="s">
        <v>5</v>
      </c>
      <c r="C1282" s="4"/>
    </row>
    <row r="1283" spans="1:3" ht="24" customHeight="1">
      <c r="A1283" s="4" t="str">
        <f ca="1">IFERROR(__xludf.DUMMYFUNCTION("""COMPUTED_VALUE"""),"राजर्षिवंशस्य रविप्रसूतेरुपस्थितः पश्यत कीदृशोऽयं । मत्तः सदाचारशुचेः कलङ्कः पयोदवातादिव दर्पणस्य ||")</f>
        <v>राजर्षिवंशस्य रविप्रसूतेरुपस्थितः पश्यत कीदृशोऽयं । मत्तः सदाचारशुचेः कलङ्कः पयोदवातादिव दर्पणस्य ||</v>
      </c>
      <c r="B1283" s="4" t="s">
        <v>5</v>
      </c>
      <c r="C1283" s="4"/>
    </row>
    <row r="1284" spans="1:3" ht="24" customHeight="1">
      <c r="A1284" s="4" t="str">
        <f ca="1">IFERROR(__xludf.DUMMYFUNCTION("""COMPUTED_VALUE"""),"पौरेषु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||")</f>
        <v>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||</v>
      </c>
      <c r="B1284" s="4" t="s">
        <v>0</v>
      </c>
      <c r="C1284" s="4"/>
    </row>
    <row r="1285" spans="1:3" ht="24" customHeight="1">
      <c r="A1285" s="4" t="str">
        <f ca="1">IFERROR(__xludf.DUMMYFUNCTION("""COMPUTED_VALUE"""),"तस्यापनोदाय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||")</f>
        <v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||</v>
      </c>
      <c r="B1285" s="4" t="s">
        <v>4</v>
      </c>
      <c r="C1285" s="4"/>
    </row>
    <row r="1286" spans="1:3" ht="24" customHeight="1">
      <c r="A1286" s="4" t="str">
        <f ca="1">IFERROR(__xludf.DUMMYFUNCTION("""COMPUTED_VALUE"""),"अवैमि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||")</f>
        <v>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||</v>
      </c>
      <c r="B1286" s="4" t="s">
        <v>6</v>
      </c>
      <c r="C1286" s="4"/>
    </row>
    <row r="1287" spans="1:3" ht="24" customHeight="1">
      <c r="A1287" s="4" t="str">
        <f ca="1">IFERROR(__xludf.DUMMYFUNCTION("""COMPUTED_VALUE"""),"रक्षोवधान्तो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||")</f>
        <v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||</v>
      </c>
      <c r="B1287" s="4" t="s">
        <v>4</v>
      </c>
      <c r="C1287" s="4"/>
    </row>
    <row r="1288" spans="1:3" ht="24" customHeight="1">
      <c r="A1288" s="4" t="str">
        <f ca="1">IFERROR(__xludf.DUMMYFUNCTION("""COMPUTED_VALUE"""),"तदेष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||")</f>
        <v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||</v>
      </c>
      <c r="B1288" s="4" t="s">
        <v>4</v>
      </c>
      <c r="C1288" s="4"/>
    </row>
    <row r="1289" spans="1:3" ht="24" customHeight="1">
      <c r="A1289" s="4" t="str">
        <f ca="1">IFERROR(__xludf.DUMMYFUNCTION("""COMPUTED_VALUE"""),"इत्युक्तवन्तं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||")</f>
        <v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||</v>
      </c>
      <c r="B1289" s="4" t="s">
        <v>4</v>
      </c>
      <c r="C1289" s="4"/>
    </row>
    <row r="1290" spans="1:3" ht="24" customHeight="1">
      <c r="A1290" s="4" t="str">
        <f ca="1">IFERROR(__xludf.DUMMYFUNCTION("""COMPUTED_VALUE"""),"स लक्ष्मणं लक्ष्मणपूर्वजन्मा विलोक्य लोकत्रयगीतकीर्तिः । स्ॐयेति चाभाष्य यथार्थभाषी स्थितं निदेशे पृथगादिदेश ||")</f>
        <v>स लक्ष्मणं लक्ष्मणपूर्वजन्मा विलोक्य लोकत्रयगीतकीर्तिः । स्ॐयेति चाभाष्य यथार्थभाषी स्थितं निदेशे पृथगादिदेश ||</v>
      </c>
      <c r="B1290" s="4" t="s">
        <v>8</v>
      </c>
      <c r="C1290" s="4"/>
    </row>
    <row r="1291" spans="1:3" ht="24" customHeight="1">
      <c r="A1291" s="4" t="str">
        <f ca="1">IFERROR(__xludf.DUMMYFUNCTION("""COMPUTED_VALUE"""),"प्रजावती दोहदशंसिनी ते तपोवनेषु स्पृहयालुरेव । स्ॐयेति चाभाष्य यथार्थभाषी प्रापय्य वाल्मीकिपदं त्यजैनां ||")</f>
        <v>प्रजावती दोहदशंसिनी ते तपोवनेषु स्पृहयालुरेव । स्ॐयेति चाभाष्य यथार्थभाषी प्रापय्य वाल्मीकिपदं त्यजैनां ||</v>
      </c>
      <c r="B1291" s="4" t="s">
        <v>1</v>
      </c>
      <c r="C1291" s="4"/>
    </row>
    <row r="1292" spans="1:3" ht="24" customHeight="1">
      <c r="A1292" s="4" t="str">
        <f ca="1">IFERROR(__xludf.DUMMYFUNCTION("""COMPUTED_VALUE"""),"स शुश्रुवान्मातरि भार्गवेण पितुर्नियोगात्प्रहृतं द्विषद्वथ् । प्रत्यग्रहीदग्रजशासनं तदाज्ञा गुरूणां ह्यविचारणीया ||")</f>
        <v>स शुश्रुवान्मातरि भार्गवेण पितुर्नियोगात्प्रहृतं द्विषद्वथ् । प्रत्यग्रहीदग्रजशासनं तदाज्ञा गुरूणां ह्यविचारणीया ||</v>
      </c>
      <c r="B1292" s="4" t="s">
        <v>5</v>
      </c>
      <c r="C1292" s="4"/>
    </row>
    <row r="1293" spans="1:3" ht="24" customHeight="1">
      <c r="A1293" s="4" t="str">
        <f ca="1">IFERROR(__xludf.DUMMYFUNCTION("""COMPUTED_VALUE"""),"अथानुकूलश्रवणप्रतीतां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||")</f>
        <v>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||</v>
      </c>
      <c r="B1293" s="4" t="s">
        <v>10</v>
      </c>
      <c r="C1293" s="4"/>
    </row>
    <row r="1294" spans="1:3" ht="24" customHeight="1">
      <c r="A1294" s="4" t="str">
        <f ca="1">IFERROR(__xludf.DUMMYFUNCTION("""COMPUTED_VALUE"""),"सा नीयमाना रुचिरान्प्रदेशान्प्रियंकरो मे प्रिय इत्यनन्दथ् । नाबुद्ध कल्पद्रुमतां विहाय जातं तं आत्मन्यसिपत्त्रवृक्षं ||")</f>
        <v>सा नीयमाना रुचिरान्प्रदेशान्प्रियंकरो मे प्रिय इत्यनन्दथ् । नाबुद्ध कल्पद्रुमतां विहाय जातं तं आत्मन्यसिपत्त्रवृक्षं ||</v>
      </c>
      <c r="B1294" s="4" t="s">
        <v>13</v>
      </c>
      <c r="C1294" s="4"/>
    </row>
    <row r="1295" spans="1:3" ht="24" customHeight="1">
      <c r="A1295" s="4" t="str">
        <f ca="1">IFERROR(__xludf.DUMMYFUNCTION("""COMPUTED_VALUE"""),"जुगूह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||")</f>
        <v>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||</v>
      </c>
      <c r="B1295" s="4" t="s">
        <v>1</v>
      </c>
      <c r="C1295" s="4"/>
    </row>
    <row r="1296" spans="1:3" ht="24" customHeight="1">
      <c r="A1296" s="4" t="str">
        <f ca="1">IFERROR(__xludf.DUMMYFUNCTION("""COMPUTED_VALUE"""),"सा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||")</f>
        <v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||</v>
      </c>
      <c r="B1296" s="4" t="s">
        <v>5</v>
      </c>
      <c r="C1296" s="4"/>
    </row>
    <row r="1297" spans="1:3" ht="24" customHeight="1">
      <c r="A1297" s="4" t="str">
        <f ca="1">IFERROR(__xludf.DUMMYFUNCTION("""COMPUTED_VALUE"""),"गुरोर्नियोगाद्वनितां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पुरस्ताथ् ||")</f>
        <v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पुरस्ताथ् ||</v>
      </c>
      <c r="B1297" s="4" t="s">
        <v>2</v>
      </c>
      <c r="C1297" s="4"/>
    </row>
    <row r="1298" spans="1:3" ht="24" customHeight="1">
      <c r="A1298" s="4" t="str">
        <f ca="1">IFERROR(__xludf.DUMMYFUNCTION("""COMPUTED_VALUE"""),"रथात्स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||")</f>
        <v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||</v>
      </c>
      <c r="B1298" s="4" t="s">
        <v>20</v>
      </c>
      <c r="C1298" s="4"/>
    </row>
    <row r="1299" spans="1:3" ht="24" customHeight="1">
      <c r="A1299" s="4" t="str">
        <f ca="1">IFERROR(__xludf.DUMMYFUNCTION("""COMPUTED_VALUE"""),"अथ व्यवस्थापितवाक्कथंचित्स्ॐइत्रिरन्तर्गतबाष्पकण्ठः । औत्पातिको मेघ इवाश्मवर्षं महीपतेः शासनं उज्जगार ||")</f>
        <v>अथ व्यवस्थापितवाक्कथंचित्स्ॐइत्रिरन्तर्गतबाष्पकण्ठः । औत्पातिको मेघ इवाश्मवर्षं महीपतेः शासनं उज्जगार ||</v>
      </c>
      <c r="B1299" s="4" t="s">
        <v>0</v>
      </c>
      <c r="C1299" s="4"/>
    </row>
    <row r="1300" spans="1:3" ht="24" customHeight="1">
      <c r="A1300" s="4" t="str">
        <f ca="1">IFERROR(__xludf.DUMMYFUNCTION("""COMPUTED_VALUE"""),"ततोऽभिषङ्गानिलविप्रविद्धा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||")</f>
        <v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||</v>
      </c>
      <c r="B1300" s="4" t="s">
        <v>12</v>
      </c>
      <c r="C1300" s="4"/>
    </row>
    <row r="1301" spans="1:3" ht="24" customHeight="1">
      <c r="A1301" s="4" t="str">
        <f ca="1">IFERROR(__xludf.DUMMYFUNCTION("""COMPUTED_VALUE"""),"इक्ष्वाकुवंशप्रभवः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तावथ् ||")</f>
        <v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तावथ् ||</v>
      </c>
      <c r="B1301" s="4" t="s">
        <v>4</v>
      </c>
      <c r="C1301" s="4"/>
    </row>
    <row r="1302" spans="1:3" ht="24" customHeight="1">
      <c r="A1302" s="4" t="str">
        <f ca="1">IFERROR(__xludf.DUMMYFUNCTION("""COMPUTED_VALUE"""),"सा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||")</f>
        <v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||</v>
      </c>
      <c r="B1302" s="4" t="s">
        <v>20</v>
      </c>
      <c r="C1302" s="4"/>
    </row>
    <row r="1303" spans="1:3" ht="24" customHeight="1">
      <c r="A1303" s="4" t="str">
        <f ca="1">IFERROR(__xludf.DUMMYFUNCTION("""COMPUTED_VALUE"""),"न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||")</f>
        <v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||</v>
      </c>
      <c r="B1303" s="4" t="s">
        <v>17</v>
      </c>
      <c r="C1303" s="4"/>
    </row>
    <row r="1304" spans="1:3" ht="24" customHeight="1">
      <c r="A1304" s="4" t="str">
        <f ca="1">IFERROR(__xludf.DUMMYFUNCTION("""COMPUTED_VALUE"""),"आश्वास्य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||")</f>
        <v>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||</v>
      </c>
      <c r="B1304" s="4" t="s">
        <v>0</v>
      </c>
      <c r="C1304" s="4"/>
    </row>
    <row r="1305" spans="1:3" ht="24" customHeight="1">
      <c r="A1305" s="4" t="str">
        <f ca="1">IFERROR(__xludf.DUMMYFUNCTION("""COMPUTED_VALUE"""),"सीता समुत्थाप्य जगाद वाक्यं प्रीतास्मि ते स्ॐयचिराय जीव । विडौजसा विष्णुरिवाग्रजेन भ्रात्रा यदित्थं परवानसि त्वं ||")</f>
        <v>सीता समुत्थाप्य जगाद वाक्यं प्रीतास्मि ते स्ॐयचिराय जीव । विडौजसा विष्णुरिवाग्रजेन भ्रात्रा यदित्थं परवानसि त्वं ||</v>
      </c>
      <c r="B1305" s="4" t="s">
        <v>4</v>
      </c>
      <c r="C1305" s="4"/>
    </row>
    <row r="1306" spans="1:3" ht="24" customHeight="1">
      <c r="A1306" s="4" t="str">
        <f ca="1">IFERROR(__xludf.DUMMYFUNCTION("""COMPUTED_VALUE"""),"श्वश्रूजनं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||")</f>
        <v>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||</v>
      </c>
      <c r="B1306" s="4" t="s">
        <v>2</v>
      </c>
      <c r="C1306" s="4"/>
    </row>
    <row r="1307" spans="1:3" ht="24" customHeight="1">
      <c r="A1307" s="4" t="str">
        <f ca="1">IFERROR(__xludf.DUMMYFUNCTION("""COMPUTED_VALUE"""),"वाच्यस्त्वया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||")</f>
        <v>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||</v>
      </c>
      <c r="B1307" s="4" t="s">
        <v>5</v>
      </c>
      <c r="C1307" s="4"/>
    </row>
    <row r="1308" spans="1:3" ht="24" customHeight="1">
      <c r="A1308" s="4" t="str">
        <f ca="1">IFERROR(__xludf.DUMMYFUNCTION("""COMPUTED_VALUE"""),"कल्याणबुद्धेरथ वा तवायं न कामचारो मयि शङ्कनीयः । ममैव जन्मान्तरपातकानां विपाकविस्फूर्जथुरप्रसह्यः ||")</f>
        <v>कल्याणबुद्धेरथ वा तवायं न कामचारो मयि शङ्कनीयः । ममैव जन्मान्तरपातकानां विपाकविस्फूर्जथुरप्रसह्यः ||</v>
      </c>
      <c r="B1308" s="4" t="s">
        <v>5</v>
      </c>
      <c r="C1308" s="4"/>
    </row>
    <row r="1309" spans="1:3" ht="24" customHeight="1">
      <c r="A1309" s="4" t="str">
        <f ca="1">IFERROR(__xludf.DUMMYFUNCTION("""COMPUTED_VALUE"""),"उपस्थितां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||")</f>
        <v>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||</v>
      </c>
      <c r="B1309" s="4" t="s">
        <v>2</v>
      </c>
      <c r="C1309" s="4"/>
    </row>
    <row r="1310" spans="1:3" ht="24" customHeight="1">
      <c r="A1310" s="4" t="str">
        <f ca="1">IFERROR(__xludf.DUMMYFUNCTION("""COMPUTED_VALUE"""),"निशाचरोपप्लुतभर्तृकाणां तपस्विनीनां भवतः प्रसादाथ् । भूत्वा शरण्या शरणार्थं अन्यां कथं प्रपत्स्ये त्वयि दीप्यमाने ||")</f>
        <v>निशाचरोपप्लुतभर्तृकाणां तपस्विनीनां भवतः प्रसादाथ् । भूत्वा शरण्या शरणार्थं अन्यां कथं प्रपत्स्ये त्वयि दीप्यमाने ||</v>
      </c>
      <c r="B1310" s="4" t="s">
        <v>1</v>
      </c>
      <c r="C1310" s="4"/>
    </row>
    <row r="1311" spans="1:3" ht="24" customHeight="1">
      <c r="A1311" s="4" t="str">
        <f ca="1">IFERROR(__xludf.DUMMYFUNCTION("""COMPUTED_VALUE"""),"किं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||")</f>
        <v>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||</v>
      </c>
      <c r="B1311" s="4" t="s">
        <v>5</v>
      </c>
      <c r="C1311" s="4"/>
    </row>
    <row r="1312" spans="1:3" ht="24" customHeight="1">
      <c r="A1312" s="4" t="str">
        <f ca="1">IFERROR(__xludf.DUMMYFUNCTION("""COMPUTED_VALUE"""),"साहं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||")</f>
        <v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||</v>
      </c>
      <c r="B1312" s="4" t="s">
        <v>15</v>
      </c>
      <c r="C1312" s="4"/>
    </row>
    <row r="1313" spans="1:3" ht="24" customHeight="1">
      <c r="A1313" s="4" t="str">
        <f ca="1">IFERROR(__xludf.DUMMYFUNCTION("""COMPUTED_VALUE"""),"नृपस्य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||")</f>
        <v>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||</v>
      </c>
      <c r="B1313" s="4" t="s">
        <v>5</v>
      </c>
      <c r="C1313" s="4"/>
    </row>
    <row r="1314" spans="1:3" ht="24" customHeight="1">
      <c r="A1314" s="4" t="str">
        <f ca="1">IFERROR(__xludf.DUMMYFUNCTION("""COMPUTED_VALUE"""),"तथेति तस्याः प्रतिगृह्य वाचं रामानुजे दृश्टिपथं व्यतीते । सा मुक्तकण्ठं व्यसनातिभाराच्चक्रन्द विग्ना कुररीव भूयः ||")</f>
        <v>तथेति तस्याः प्रतिगृह्य वाचं रामानुजे दृश्टिपथं व्यतीते । सा मुक्तकण्ठं व्यसनातिभाराच्चक्रन्द विग्ना कुररीव भूयः ||</v>
      </c>
      <c r="B1314" s="4" t="s">
        <v>5</v>
      </c>
      <c r="C1314" s="4"/>
    </row>
    <row r="1315" spans="1:3" ht="24" customHeight="1">
      <c r="A1315" s="4" t="str">
        <f ca="1">IFERROR(__xludf.DUMMYFUNCTION("""COMPUTED_VALUE"""),"नृत्यं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||")</f>
        <v>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||</v>
      </c>
      <c r="B1315" s="4" t="s">
        <v>9</v>
      </c>
      <c r="C1315" s="4"/>
    </row>
    <row r="1316" spans="1:3" ht="24" customHeight="1">
      <c r="A1316" s="4" t="str">
        <f ca="1">IFERROR(__xludf.DUMMYFUNCTION("""COMPUTED_VALUE"""),"तां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||")</f>
        <v>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||</v>
      </c>
      <c r="B1316" s="4" t="s">
        <v>19</v>
      </c>
      <c r="C1316" s="4"/>
    </row>
    <row r="1317" spans="1:3" ht="24" customHeight="1">
      <c r="A1317" s="4" t="str">
        <f ca="1">IFERROR(__xludf.DUMMYFUNCTION("""COMPUTED_VALUE"""),"तं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||")</f>
        <v>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||</v>
      </c>
      <c r="B1317" s="4" t="s">
        <v>16</v>
      </c>
      <c r="C1317" s="4"/>
    </row>
    <row r="1318" spans="1:3" ht="24" customHeight="1">
      <c r="A1318" s="4" t="str">
        <f ca="1">IFERROR(__xludf.DUMMYFUNCTION("""COMPUTED_VALUE"""),"जाने विषृश्टां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पितुर्निकेतं ||")</f>
        <v>जाने विषृश्टां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पितुर्निकेतं ||</v>
      </c>
      <c r="B1318" s="4" t="s">
        <v>2</v>
      </c>
      <c r="C1318" s="4"/>
    </row>
    <row r="1319" spans="1:3" ht="24" customHeight="1">
      <c r="A1319" s="4" t="str">
        <f ca="1">IFERROR(__xludf.DUMMYFUNCTION("""COMPUTED_VALUE"""),"उथ्कातलोकत्रयकण्टकेऽपि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||")</f>
        <v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||</v>
      </c>
      <c r="B1319" s="4" t="s">
        <v>12</v>
      </c>
      <c r="C1319" s="4"/>
    </row>
    <row r="1320" spans="1:3" ht="24" customHeight="1">
      <c r="A1320" s="4" t="str">
        <f ca="1">IFERROR(__xludf.DUMMYFUNCTION("""COMPUTED_VALUE"""),"तवेन्दुकीर्तिः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||")</f>
        <v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||</v>
      </c>
      <c r="B1320" s="4" t="s">
        <v>5</v>
      </c>
      <c r="C1320" s="4"/>
    </row>
    <row r="1321" spans="1:3" ht="24" customHeight="1">
      <c r="A1321" s="4" t="str">
        <f ca="1">IFERROR(__xludf.DUMMYFUNCTION("""COMPUTED_VALUE"""),"तपस्विसंसर्गविनितत्सत्त्वे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||")</f>
        <v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||</v>
      </c>
      <c r="B1321" s="4" t="s">
        <v>2</v>
      </c>
      <c r="C1321" s="4"/>
    </row>
    <row r="1322" spans="1:3" ht="24" customHeight="1">
      <c r="A1322" s="4" t="str">
        <f ca="1">IFERROR(__xludf.DUMMYFUNCTION("""COMPUTED_VALUE"""),"अशून्यतीरां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||")</f>
        <v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||</v>
      </c>
      <c r="B1322" s="4" t="s">
        <v>17</v>
      </c>
      <c r="C1322" s="4"/>
    </row>
    <row r="1323" spans="1:3" ht="24" customHeight="1">
      <c r="A1323" s="4" t="str">
        <f ca="1">IFERROR(__xludf.DUMMYFUNCTION("""COMPUTED_VALUE"""),"पुष्पं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||")</f>
        <v>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||</v>
      </c>
      <c r="B1323" s="4" t="s">
        <v>4</v>
      </c>
      <c r="C1323" s="4"/>
    </row>
    <row r="1324" spans="1:3" ht="24" customHeight="1">
      <c r="A1324" s="4" t="str">
        <f ca="1">IFERROR(__xludf.DUMMYFUNCTION("""COMPUTED_VALUE"""),"पयोघटैराश्रमबालवृक्षान्संवर्धयन्ती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||")</f>
        <v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||</v>
      </c>
      <c r="B1324" s="4" t="s">
        <v>4</v>
      </c>
      <c r="C1324" s="4"/>
    </row>
    <row r="1325" spans="1:3" ht="24" customHeight="1">
      <c r="A1325" s="4" t="str">
        <f ca="1">IFERROR(__xludf.DUMMYFUNCTION("""COMPUTED_VALUE"""),"अनुग्रहप्रत्यभिनन्दिनीं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||")</f>
        <v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||</v>
      </c>
      <c r="B1325" s="4" t="s">
        <v>5</v>
      </c>
      <c r="C1325" s="4"/>
    </row>
    <row r="1326" spans="1:3" ht="24" customHeight="1">
      <c r="A1326" s="4" t="str">
        <f ca="1">IFERROR(__xludf.DUMMYFUNCTION("""COMPUTED_VALUE"""),"तां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||")</f>
        <v>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||</v>
      </c>
      <c r="B1326" s="4" t="s">
        <v>13</v>
      </c>
      <c r="C1326" s="4"/>
    </row>
    <row r="1327" spans="1:3" ht="24" customHeight="1">
      <c r="A1327" s="4" t="str">
        <f ca="1">IFERROR(__xludf.DUMMYFUNCTION("""COMPUTED_VALUE"""),"ता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||")</f>
        <v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||</v>
      </c>
      <c r="B1327" s="4" t="s">
        <v>0</v>
      </c>
      <c r="C1327" s="4"/>
    </row>
    <row r="1328" spans="1:3" ht="24" customHeight="1">
      <c r="A1328" s="4" t="str">
        <f ca="1">IFERROR(__xludf.DUMMYFUNCTION("""COMPUTED_VALUE"""),"तत्राभिषेकप्रयता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||")</f>
        <v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||</v>
      </c>
      <c r="B1328" s="4" t="s">
        <v>0</v>
      </c>
      <c r="C1328" s="4"/>
    </row>
    <row r="1329" spans="1:3" ht="24" customHeight="1">
      <c r="A1329" s="4" t="str">
        <f ca="1">IFERROR(__xludf.DUMMYFUNCTION("""COMPUTED_VALUE"""),"अपि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||")</f>
        <v>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||</v>
      </c>
      <c r="B1329" s="4" t="s">
        <v>5</v>
      </c>
      <c r="C1329" s="4"/>
    </row>
    <row r="1330" spans="1:3" ht="24" customHeight="1">
      <c r="A1330" s="4" t="str">
        <f ca="1">IFERROR(__xludf.DUMMYFUNCTION("""COMPUTED_VALUE"""),"बभूव रामः सहसा सबाष्पस्तुषारवर्षीव सहस्यचन्द्रः । कौलीनभीतेन गृहान्निरस्ता न तेन वैदेहसुता मनस्तः ||")</f>
        <v>बभूव रामः सहसा सबाष्पस्तुषारवर्षीव सहस्यचन्द्रः । कौलीनभीतेन गृहान्निरस्ता न तेन वैदेहसुता मनस्तः ||</v>
      </c>
      <c r="B1330" s="4" t="s">
        <v>2</v>
      </c>
      <c r="C1330" s="4"/>
    </row>
    <row r="1331" spans="1:3" ht="24" customHeight="1">
      <c r="A1331" s="4" t="str">
        <f ca="1">IFERROR(__xludf.DUMMYFUNCTION("""COMPUTED_VALUE"""),"निगृह्य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||")</f>
        <v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||</v>
      </c>
      <c r="B1331" s="4" t="s">
        <v>18</v>
      </c>
      <c r="C1331" s="4"/>
    </row>
    <row r="1332" spans="1:3" ht="24" customHeight="1">
      <c r="A1332" s="4" t="str">
        <f ca="1">IFERROR(__xludf.DUMMYFUNCTION("""COMPUTED_VALUE"""),"तां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||")</f>
        <v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||</v>
      </c>
      <c r="B1332" s="4" t="s">
        <v>12</v>
      </c>
      <c r="C1332" s="4"/>
    </row>
    <row r="1333" spans="1:3" ht="24" customHeight="1">
      <c r="A1333" s="4" t="str">
        <f ca="1">IFERROR(__xludf.DUMMYFUNCTION("""COMPUTED_VALUE"""),"सीतां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||")</f>
        <v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||</v>
      </c>
      <c r="B1333" s="4" t="s">
        <v>24</v>
      </c>
      <c r="C1333" s="4"/>
    </row>
    <row r="1334" spans="1:3" ht="24" customHeight="1">
      <c r="A1334" s="4" t="str">
        <f ca="1">IFERROR(__xludf.DUMMYFUNCTION("""COMPUTED_VALUE"""),"कृतसीतापरित्यागः स रत्नाकरमेखलाम् । बुभूजे पृथिवीपालः पृथिवीं एव केवलाम् ||")</f>
        <v>कृतसीतापरित्यागः स रत्नाकरमेखलाम् । बुभूजे पृथिवीपालः पृथिवीं एव केवलाम् ||</v>
      </c>
      <c r="B1334" s="4" t="s">
        <v>11</v>
      </c>
      <c r="C1334" s="4"/>
    </row>
    <row r="1335" spans="1:3" ht="24" customHeight="1">
      <c r="A1335" s="4" t="str">
        <f ca="1">IFERROR(__xludf.DUMMYFUNCTION("""COMPUTED_VALUE"""),"लवणेन विलुप्तेज्यास्तामिस्रेण तं अभ्ययुः । मुनयो यमुनाभाजः शरण्यं शरणार्थिनः ||")</f>
        <v>लवणेन विलुप्तेज्यास्तामिस्रेण तं अभ्ययुः । मुनयो यमुनाभाजः शरण्यं शरणार्थिनः ||</v>
      </c>
      <c r="B1335" s="4" t="s">
        <v>1</v>
      </c>
      <c r="C1335" s="4"/>
    </row>
    <row r="1336" spans="1:3" ht="24" customHeight="1">
      <c r="A1336" s="4" t="str">
        <f ca="1">IFERROR(__xludf.DUMMYFUNCTION("""COMPUTED_VALUE"""),"अवेक्ष्य रामं ते तस्मिन्न प्रजह्रुः स्वतेजसा । त्राणाभावे हि शापास्त्राः कुर्वन्ति तपसो व्ययं ||")</f>
        <v>अवेक्ष्य रामं ते तस्मिन्न प्रजह्रुः स्वतेजसा । त्राणाभावे हि शापास्त्राः कुर्वन्ति तपसो व्ययं ||</v>
      </c>
      <c r="B1336" s="4" t="s">
        <v>5</v>
      </c>
      <c r="C1336" s="4"/>
    </row>
    <row r="1337" spans="1:3" ht="24" customHeight="1">
      <c r="A1337" s="4" t="str">
        <f ca="1">IFERROR(__xludf.DUMMYFUNCTION("""COMPUTED_VALUE"""),"प्रतिशुश्राव काकुत्स्थस्तेभ्यो विघ्नप्रतिक्रियां । धर्मसंरक्षणायैव प्रवृत्तिर्भुवि शार्ङ्गिणः ||")</f>
        <v>प्रतिशुश्राव काकुत्स्थस्तेभ्यो विघ्नप्रतिक्रियां । धर्मसंरक्षणायैव प्रवृत्तिर्भुवि शार्ङ्गिणः ||</v>
      </c>
      <c r="B1337" s="4" t="s">
        <v>7</v>
      </c>
      <c r="C1337" s="4"/>
    </row>
    <row r="1338" spans="1:3" ht="24" customHeight="1">
      <c r="A1338" s="4" t="str">
        <f ca="1">IFERROR(__xludf.DUMMYFUNCTION("""COMPUTED_VALUE"""),"ते रामाय वधोपायं आचख्युर्विबुधविषः । दुर्जयो लवणः शूली विशूलः प्रार्थ्यतां इति ||")</f>
        <v>ते रामाय वधोपायं आचख्युर्विबुधविषः । दुर्जयो लवणः शूली विशूलः प्रार्थ्यतां इति ||</v>
      </c>
      <c r="B1338" s="4" t="s">
        <v>2</v>
      </c>
      <c r="C1338" s="4"/>
    </row>
    <row r="1339" spans="1:3" ht="24" customHeight="1">
      <c r="A1339" s="4" t="str">
        <f ca="1">IFERROR(__xludf.DUMMYFUNCTION("""COMPUTED_VALUE"""),"आदिदेशाथ शत्रुघ्नं तेषां क्षेमाय राघवः । करिष्यन्निव नामास्य यथार्थं अरिनिग्रहाथ् ||")</f>
        <v>आदिदेशाथ शत्रुघ्नं तेषां क्षेमाय राघवः । करिष्यन्निव नामास्य यथार्थं अरिनिग्रहाथ् ||</v>
      </c>
      <c r="B1339" s="4" t="s">
        <v>24</v>
      </c>
      <c r="C1339" s="4"/>
    </row>
    <row r="1340" spans="1:3" ht="24" customHeight="1">
      <c r="A1340" s="4" t="str">
        <f ca="1">IFERROR(__xludf.DUMMYFUNCTION("""COMPUTED_VALUE"""),"यः कश्चन रघूणां हि परं एकः परंतपः । अपवाद इवोत्सर्गं व्यावर्तयितुं ईश्वरः ||")</f>
        <v>यः कश्चन रघूणां हि परं एकः परंतपः । अपवाद इवोत्सर्गं व्यावर्तयितुं ईश्वरः ||</v>
      </c>
      <c r="B1340" s="4" t="s">
        <v>0</v>
      </c>
      <c r="C1340" s="4"/>
    </row>
    <row r="1341" spans="1:3" ht="24" customHeight="1">
      <c r="A1341" s="4" t="str">
        <f ca="1">IFERROR(__xludf.DUMMYFUNCTION("""COMPUTED_VALUE"""),"अग्रजेन प्रयुक्ताशीस्तदा दाशरथी रथी । ययौ वन्स्तह्लिः पश्यन्पुष्पिताः सुरभीरभीः ||")</f>
        <v>अग्रजेन प्रयुक्ताशीस्तदा दाशरथी रथी । ययौ वन्स्तह्लिः पश्यन्पुष्पिताः सुरभीरभीः ||</v>
      </c>
      <c r="B1341" s="4" t="s">
        <v>6</v>
      </c>
      <c r="C1341" s="4"/>
    </row>
    <row r="1342" spans="1:3" ht="24" customHeight="1">
      <c r="A1342" s="4" t="str">
        <f ca="1">IFERROR(__xludf.DUMMYFUNCTION("""COMPUTED_VALUE"""),"रामादेशादनुपदं सेनाङ्गं तस्य सिद्धये । पश्चादध्ययनार्थस्य धातोरधिरिवाभवथ् ||")</f>
        <v>रामादेशादनुपदं सेनाङ्गं तस्य सिद्धये । पश्चादध्ययनार्थस्य धातोरधिरिवाभवथ् ||</v>
      </c>
      <c r="B1342" s="4" t="s">
        <v>4</v>
      </c>
      <c r="C1342" s="4"/>
    </row>
    <row r="1343" spans="1:3" ht="24" customHeight="1">
      <c r="A1343" s="4" t="str">
        <f ca="1">IFERROR(__xludf.DUMMYFUNCTION("""COMPUTED_VALUE"""),"आदिष्टवर्त्मा मुनिभिः स गच्छंस्तपतां वरः । विरराज रथपृष्ठैर्वालखिल्यैरिवांशुमान् ||")</f>
        <v>आदिष्टवर्त्मा मुनिभिः स गच्छंस्तपतां वरः । विरराज रथपृष्ठैर्वालखिल्यैरिवांशुमान् ||</v>
      </c>
      <c r="B1343" s="4" t="s">
        <v>12</v>
      </c>
      <c r="C1343" s="4"/>
    </row>
    <row r="1344" spans="1:3" ht="24" customHeight="1">
      <c r="A1344" s="4" t="str">
        <f ca="1">IFERROR(__xludf.DUMMYFUNCTION("""COMPUTED_VALUE"""),"तस्य मार्गवशादेका बभूव वसतिर्यतः । रथस्वनोत्कण्ठमृगे वाल्मीकीये तपोवने ||")</f>
        <v>तस्य मार्गवशादेका बभूव वसतिर्यतः । रथस्वनोत्कण्ठमृगे वाल्मीकीये तपोवने ||</v>
      </c>
      <c r="B1344" s="4" t="s">
        <v>1</v>
      </c>
      <c r="C1344" s="4"/>
    </row>
    <row r="1345" spans="1:3" ht="24" customHeight="1">
      <c r="A1345" s="4" t="str">
        <f ca="1">IFERROR(__xludf.DUMMYFUNCTION("""COMPUTED_VALUE"""),"तं ऋषिः पूजयां आस कुमारं क्लान्तवाहनं । तपःप्रभावसिद्धाभिर्विशेषप्रतिपत्तिभिः ||")</f>
        <v>तं ऋषिः पूजयां आस कुमारं क्लान्तवाहनं । तपःप्रभावसिद्धाभिर्विशेषप्रतिपत्तिभिः ||</v>
      </c>
      <c r="B1345" s="4" t="s">
        <v>6</v>
      </c>
      <c r="C1345" s="4"/>
    </row>
    <row r="1346" spans="1:3" ht="24" customHeight="1">
      <c r="A1346" s="4" t="str">
        <f ca="1">IFERROR(__xludf.DUMMYFUNCTION("""COMPUTED_VALUE"""),"तस्यां एवास्य यामिन्यां अन्तर्वत्नी प्रजावती । सुतावसूत संपन्नौ कोशदण्डाविव क्षितिः ||")</f>
        <v>तस्यां एवास्य यामिन्यां अन्तर्वत्नी प्रजावती । सुतावसूत संपन्नौ कोशदण्डाविव क्षितिः ||</v>
      </c>
      <c r="B1346" s="4" t="s">
        <v>2</v>
      </c>
      <c r="C1346" s="4"/>
    </row>
    <row r="1347" spans="1:3" ht="24" customHeight="1">
      <c r="A1347" s="4" t="str">
        <f ca="1">IFERROR(__xludf.DUMMYFUNCTION("""COMPUTED_VALUE"""),"संतानश्रवणाद्भ्रातुः स्ॐइत्रिः स्ॐअनस्यवान् । प्राञ्जलिर्मुनिं आमन्त्र्य प्रातर्युक्तरथो ययौ ||")</f>
        <v>संतानश्रवणाद्भ्रातुः स्ॐइत्रिः स्ॐअनस्यवान् । प्राञ्जलिर्मुनिं आमन्त्र्य प्रातर्युक्तरथो ययौ ||</v>
      </c>
      <c r="B1347" s="4" t="s">
        <v>5</v>
      </c>
      <c r="C1347" s="4"/>
    </row>
    <row r="1348" spans="1:3" ht="24" customHeight="1">
      <c r="A1348" s="4" t="str">
        <f ca="1">IFERROR(__xludf.DUMMYFUNCTION("""COMPUTED_VALUE"""),"स च प्राप मधूपघ्नं कुम्भीनस्याश्च कुक्षिजः । वनात्करं इवादाय सत्त्वराशिं उपस्थितः ||")</f>
        <v>स च प्राप मधूपघ्नं कुम्भीनस्याश्च कुक्षिजः । वनात्करं इवादाय सत्त्वराशिं उपस्थितः ||</v>
      </c>
      <c r="B1348" s="4" t="s">
        <v>2</v>
      </c>
      <c r="C1348" s="4"/>
    </row>
    <row r="1349" spans="1:3" ht="24" customHeight="1">
      <c r="A1349" s="4" t="str">
        <f ca="1">IFERROR(__xludf.DUMMYFUNCTION("""COMPUTED_VALUE"""),"धूमधूम्रो वसाघन्धी ज्वालाबभ्रुशिरोरुहः । क्रव्याद्गणपरीवारश्चिताग्निरिव जङ्गमः ||")</f>
        <v>धूमधूम्रो वसाघन्धी ज्वालाबभ्रुशिरोरुहः । क्रव्याद्गणपरीवारश्चिताग्निरिव जङ्गमः ||</v>
      </c>
      <c r="B1349" s="4" t="s">
        <v>12</v>
      </c>
      <c r="C1349" s="4"/>
    </row>
    <row r="1350" spans="1:3" ht="24" customHeight="1">
      <c r="A1350" s="4" t="str">
        <f ca="1">IFERROR(__xludf.DUMMYFUNCTION("""COMPUTED_VALUE"""),"अपशुलं तं आसाद्य लवणं लक्ष्मणानुजः । रुरोध संमुखीनो हि जयो रन्ध्रप्रहारिणां ||")</f>
        <v>अपशुलं तं आसाद्य लवणं लक्ष्मणानुजः । रुरोध संमुखीनो हि जयो रन्ध्रप्रहारिणां ||</v>
      </c>
      <c r="B1350" s="4" t="s">
        <v>7</v>
      </c>
      <c r="C1350" s="4"/>
    </row>
    <row r="1351" spans="1:3" ht="24" customHeight="1">
      <c r="A1351" s="4" t="str">
        <f ca="1">IFERROR(__xludf.DUMMYFUNCTION("""COMPUTED_VALUE"""),"नातिपर्याप्तं आलक्ष्य मत्कुक्षेरद्य भोजनं । दिष्ट्या त्वं असि मे धात्रा भीग्तेनेवोपपादितः ||")</f>
        <v>नातिपर्याप्तं आलक्ष्य मत्कुक्षेरद्य भोजनं । दिष्ट्या त्वं असि मे धात्रा भीग्तेनेवोपपादितः ||</v>
      </c>
      <c r="B1351" s="4" t="s">
        <v>2</v>
      </c>
      <c r="C1351" s="4"/>
    </row>
    <row r="1352" spans="1:3" ht="24" customHeight="1">
      <c r="A1352" s="4" t="str">
        <f ca="1">IFERROR(__xludf.DUMMYFUNCTION("""COMPUTED_VALUE"""),"इति संतर्ज्य शत्रुघ्नं राक्षसस्तज्जिघांसया । प्रांशुं उत्पाटयां आस मुस्तास्तम्बं इव द्रुमं ||")</f>
        <v>इति संतर्ज्य शत्रुघ्नं राक्षसस्तज्जिघांसया । प्रांशुं उत्पाटयां आस मुस्तास्तम्बं इव द्रुमं ||</v>
      </c>
      <c r="B1352" s="4" t="s">
        <v>12</v>
      </c>
      <c r="C1352" s="4"/>
    </row>
    <row r="1353" spans="1:3" ht="24" customHeight="1">
      <c r="A1353" s="4" t="str">
        <f ca="1">IFERROR(__xludf.DUMMYFUNCTION("""COMPUTED_VALUE"""),"स्ॐइत्रेर्निशितैर्बाणैरन्तरा शकलीकृतः । गात्रं पुष्परजः प्राप न शाखी नैरृतेरितः ||")</f>
        <v>स्ॐइत्रेर्निशितैर्बाणैरन्तरा शकलीकृतः । गात्रं पुष्परजः प्राप न शाखी नैरृतेरितः ||</v>
      </c>
      <c r="B1353" s="4" t="s">
        <v>2</v>
      </c>
      <c r="C1353" s="4"/>
    </row>
    <row r="1354" spans="1:3" ht="24" customHeight="1">
      <c r="A1354" s="4" t="str">
        <f ca="1">IFERROR(__xludf.DUMMYFUNCTION("""COMPUTED_VALUE"""),"विनाशात्तस्य वृक्षस्य रक्षस्तस्मै महोपलं । प्रजिघाय कृतान्तस्य मुष्टिं पृथगिव स्थितं ||")</f>
        <v>विनाशात्तस्य वृक्षस्य रक्षस्तस्मै महोपलं । प्रजिघाय कृतान्तस्य मुष्टिं पृथगिव स्थितं ||</v>
      </c>
      <c r="B1354" s="4" t="s">
        <v>2</v>
      </c>
      <c r="C1354" s="4"/>
    </row>
    <row r="1355" spans="1:3" ht="24" customHeight="1">
      <c r="A1355" s="4" t="str">
        <f ca="1">IFERROR(__xludf.DUMMYFUNCTION("""COMPUTED_VALUE"""),"ऐन्द्रं अस्त्रं उपादाय शत्रुघ्नेन स ताडितः । सिकताभ्योऽपि हि परां प्रपेदे परमाणुतां ||")</f>
        <v>ऐन्द्रं अस्त्रं उपादाय शत्रुघ्नेन स ताडितः । सिकताभ्योऽपि हि परां प्रपेदे परमाणुतां ||</v>
      </c>
      <c r="B1355" s="4" t="s">
        <v>2</v>
      </c>
      <c r="C1355" s="4"/>
    </row>
    <row r="1356" spans="1:3" ht="24" customHeight="1">
      <c r="A1356" s="4" t="str">
        <f ca="1">IFERROR(__xludf.DUMMYFUNCTION("""COMPUTED_VALUE"""),"दक्षिणं दोषं उद्यम्य राक्षसस्तं उपाद्रवथ् । एकताल इवोपातपवनप्रेरितो गिरिः ||")</f>
        <v>दक्षिणं दोषं उद्यम्य राक्षसस्तं उपाद्रवथ् । एकताल इवोपातपवनप्रेरितो गिरिः ||</v>
      </c>
      <c r="B1356" s="4" t="s">
        <v>0</v>
      </c>
      <c r="C1356" s="4"/>
    </row>
    <row r="1357" spans="1:3" ht="24" customHeight="1">
      <c r="A1357" s="4" t="str">
        <f ca="1">IFERROR(__xludf.DUMMYFUNCTION("""COMPUTED_VALUE"""),"कार्ष्नेन पत्त्रिना शत्रुः स भिन्नर्हृदयः पतन् । आनिनाय भुवः कम्पं जहाराश्रमवासिनां ||")</f>
        <v>कार्ष्नेन पत्त्रिना शत्रुः स भिन्नर्हृदयः पतन् । आनिनाय भुवः कम्पं जहाराश्रमवासिनां ||</v>
      </c>
      <c r="B1357" s="4" t="s">
        <v>1</v>
      </c>
      <c r="C1357" s="4"/>
    </row>
    <row r="1358" spans="1:3" ht="24" customHeight="1">
      <c r="A1358" s="4" t="str">
        <f ca="1">IFERROR(__xludf.DUMMYFUNCTION("""COMPUTED_VALUE"""),"वयसां पङ्क्तयः पेतुर्हतस्योपरि रक्षसः । तत्प्रतिद्वन्दिनो मूर्ध्नि दिव्याः कुसुमवृष्टयः ||")</f>
        <v>वयसां पङ्क्तयः पेतुर्हतस्योपरि रक्षसः । तत्प्रतिद्वन्दिनो मूर्ध्नि दिव्याः कुसुमवृष्टयः ||</v>
      </c>
      <c r="B1358" s="4" t="s">
        <v>5</v>
      </c>
      <c r="C1358" s="4"/>
    </row>
    <row r="1359" spans="1:3" ht="24" customHeight="1">
      <c r="A1359" s="4" t="str">
        <f ca="1">IFERROR(__xludf.DUMMYFUNCTION("""COMPUTED_VALUE"""),"स हत्वा लवणं वीरस्तदा मेने महौजसः । भ्रातुः सोदर्यं आत्मानं इन्द्रजिद्वधशोभिनः ||")</f>
        <v>स हत्वा लवणं वीरस्तदा मेने महौजसः । भ्रातुः सोदर्यं आत्मानं इन्द्रजिद्वधशोभिनः ||</v>
      </c>
      <c r="B1359" s="4" t="s">
        <v>1</v>
      </c>
      <c r="C1359" s="4"/>
    </row>
    <row r="1360" spans="1:3" ht="24" customHeight="1">
      <c r="A1360" s="4" t="str">
        <f ca="1">IFERROR(__xludf.DUMMYFUNCTION("""COMPUTED_VALUE"""),"तस्य संस्तूयमानस्य चरितार्थैस्तपस्विभिः । शुशुभे विक्रमोदग्रं व्रीडयावनतं शिरः ||")</f>
        <v>तस्य संस्तूयमानस्य चरितार्थैस्तपस्विभिः । शुशुभे विक्रमोदग्रं व्रीडयावनतं शिरः ||</v>
      </c>
      <c r="B1360" s="4" t="s">
        <v>0</v>
      </c>
      <c r="C1360" s="4"/>
    </row>
    <row r="1361" spans="1:3" ht="24" customHeight="1">
      <c r="A1361" s="4" t="str">
        <f ca="1">IFERROR(__xludf.DUMMYFUNCTION("""COMPUTED_VALUE"""),"उपकूलं स कालिन्द्याः पुरीं पौरुषभूषणः । निर्ममे निर्ममोऽर्थेषु मथुरां मधुराकृतिः ||")</f>
        <v>उपकूलं स कालिन्द्याः पुरीं पौरुषभूषणः । निर्ममे निर्ममोऽर्थेषु मथुरां मधुराकृतिः ||</v>
      </c>
      <c r="B1361" s="4" t="s">
        <v>2</v>
      </c>
      <c r="C1361" s="4"/>
    </row>
    <row r="1362" spans="1:3" ht="24" customHeight="1">
      <c r="A1362" s="4" t="str">
        <f ca="1">IFERROR(__xludf.DUMMYFUNCTION("""COMPUTED_VALUE"""),"या सौराज्यप्रकाशाभिर्बभौ पौरविभूतिभिः । स्वर्गाभिष्यन्दवमनं कृत्वेवोपनिवेशिता ||")</f>
        <v>या सौराज्यप्रकाशाभिर्बभौ पौरविभूतिभिः । स्वर्गाभिष्यन्दवमनं कृत्वेवोपनिवेशिता ||</v>
      </c>
      <c r="B1362" s="4" t="s">
        <v>2</v>
      </c>
      <c r="C1362" s="4"/>
    </row>
    <row r="1363" spans="1:3" ht="24" customHeight="1">
      <c r="A1363" s="4" t="str">
        <f ca="1">IFERROR(__xludf.DUMMYFUNCTION("""COMPUTED_VALUE"""),"तत्र सौधगतः पश्यन्यमुनां चक्रवाकिनीं । हेम भक्तिमतीं भूमेः प्रवेणीं इव प्रिपिये ||")</f>
        <v>तत्र सौधगतः पश्यन्यमुनां चक्रवाकिनीं । हेम भक्तिमतीं भूमेः प्रवेणीं इव प्रिपिये ||</v>
      </c>
      <c r="B1363" s="4" t="s">
        <v>5</v>
      </c>
      <c r="C1363" s="4"/>
    </row>
    <row r="1364" spans="1:3" ht="24" customHeight="1">
      <c r="A1364" s="4" t="str">
        <f ca="1">IFERROR(__xludf.DUMMYFUNCTION("""COMPUTED_VALUE"""),"सखा दशरथस्याथ जनकस्य च मन्त्रकृथ् । संचस्कारोभयप्रीत्या मैथिलेयौ यथाविधि ||")</f>
        <v>सखा दशरथस्याथ जनकस्य च मन्त्रकृथ् । संचस्कारोभयप्रीत्या मैथिलेयौ यथाविधि ||</v>
      </c>
      <c r="B1364" s="4" t="s">
        <v>20</v>
      </c>
      <c r="C1364" s="4"/>
    </row>
    <row r="1365" spans="1:3" ht="24" customHeight="1">
      <c r="A1365" s="4" t="str">
        <f ca="1">IFERROR(__xludf.DUMMYFUNCTION("""COMPUTED_VALUE"""),"स तौ कुशलवोन्मृष्टगर्भक्लेदौ तदाख्यया । कविः कुशलवावेव चकार किल नामतः ||")</f>
        <v>स तौ कुशलवोन्मृष्टगर्भक्लेदौ तदाख्यया । कविः कुशलवावेव चकार किल नामतः ||</v>
      </c>
      <c r="B1365" s="4" t="s">
        <v>2</v>
      </c>
      <c r="C1365" s="4"/>
    </row>
    <row r="1366" spans="1:3" ht="24" customHeight="1">
      <c r="A1366" s="4" t="str">
        <f ca="1">IFERROR(__xludf.DUMMYFUNCTION("""COMPUTED_VALUE"""),"साङ्गं च वेदं अध्याप्य किंचिदुत्क्रान्तशैशवौ । स्वकृतिं गापयां आस कविप्रथमपद्धतिं ||")</f>
        <v>साङ्गं च वेदं अध्याप्य किंचिदुत्क्रान्तशैशवौ । स्वकृतिं गापयां आस कविप्रथमपद्धतिं ||</v>
      </c>
      <c r="B1366" s="4" t="s">
        <v>2</v>
      </c>
      <c r="C1366" s="4"/>
    </row>
    <row r="1367" spans="1:3" ht="24" customHeight="1">
      <c r="A1367" s="4" t="str">
        <f ca="1">IFERROR(__xludf.DUMMYFUNCTION("""COMPUTED_VALUE"""),"रामस्य मधुरं वृत्तं गायन्तौ मातुरग्रतः । तद्वियोगव्यथां किंचिच्छिथिलीचक्रतुः सुतौ ||")</f>
        <v>रामस्य मधुरं वृत्तं गायन्तौ मातुरग्रतः । तद्वियोगव्यथां किंचिच्छिथिलीचक्रतुः सुतौ ||</v>
      </c>
      <c r="B1367" s="4" t="s">
        <v>2</v>
      </c>
      <c r="C1367" s="4"/>
    </row>
    <row r="1368" spans="1:3" ht="24" customHeight="1">
      <c r="A1368" s="4" t="str">
        <f ca="1">IFERROR(__xludf.DUMMYFUNCTION("""COMPUTED_VALUE"""),"इतरेऽपि रघोर्वंश्यास्त्रयस्त्रेताग्नितेजसः । तद्योगात्पतिवत्नीषु पत्नीष्वासन्द्विसूनवः ||")</f>
        <v>इतरेऽपि रघोर्वंश्यास्त्रयस्त्रेताग्नितेजसः । तद्योगात्पतिवत्नीषु पत्नीष्वासन्द्विसूनवः ||</v>
      </c>
      <c r="B1368" s="4" t="s">
        <v>4</v>
      </c>
      <c r="C1368" s="4"/>
    </row>
    <row r="1369" spans="1:3" ht="24" customHeight="1">
      <c r="A1369" s="4" t="str">
        <f ca="1">IFERROR(__xludf.DUMMYFUNCTION("""COMPUTED_VALUE"""),"शत्रुघातिनि शत्रुघ्नः सुबाहौ च बहुश्रुते । मथुराविदिशे सून्वोर्निदधे पूर्वजोत्सुकः ||")</f>
        <v>शत्रुघातिनि शत्रुघ्नः सुबाहौ च बहुश्रुते । मथुराविदिशे सून्वोर्निदधे पूर्वजोत्सुकः ||</v>
      </c>
      <c r="B1369" s="4" t="s">
        <v>19</v>
      </c>
      <c r="C1369" s="4"/>
    </row>
    <row r="1370" spans="1:3" ht="24" customHeight="1">
      <c r="A1370" s="4" t="str">
        <f ca="1">IFERROR(__xludf.DUMMYFUNCTION("""COMPUTED_VALUE"""),"भूयस्तपोव्ययो मा भूद्वाल्मीकेरिति सोऽत्यगाथ् । मैथिलीतनयोद्गीतनिष्पन्दमृगं आश्रमं ||")</f>
        <v>भूयस्तपोव्ययो मा भूद्वाल्मीकेरिति सोऽत्यगाथ् । मैथिलीतनयोद्गीतनिष्पन्दमृगं आश्रमं ||</v>
      </c>
      <c r="B1370" s="4" t="s">
        <v>12</v>
      </c>
      <c r="C1370" s="4"/>
    </row>
    <row r="1371" spans="1:3" ht="24" customHeight="1">
      <c r="A1371" s="4" t="str">
        <f ca="1">IFERROR(__xludf.DUMMYFUNCTION("""COMPUTED_VALUE"""),"वशी विवेश चायोध्यां रथ्यासंस्कारशोभिनीं । लवणस्य वधात्पौरैरतिगौरवं ईक्षितः ||")</f>
        <v>वशी विवेश चायोध्यां रथ्यासंस्कारशोभिनीं । लवणस्य वधात्पौरैरतिगौरवं ईक्षितः ||</v>
      </c>
      <c r="B1371" s="4" t="s">
        <v>2</v>
      </c>
      <c r="C1371" s="4"/>
    </row>
    <row r="1372" spans="1:3" ht="24" customHeight="1">
      <c r="A1372" s="4" t="str">
        <f ca="1">IFERROR(__xludf.DUMMYFUNCTION("""COMPUTED_VALUE"""),"स ददर्श सभामध्ये सभासद्भिरुपस्थितं । रामं सीतापरित्यागादसामण्यपतिं भुवः ||")</f>
        <v>स ददर्श सभामध्ये सभासद्भिरुपस्थितं । रामं सीतापरित्यागादसामण्यपतिं भुवः ||</v>
      </c>
      <c r="B1372" s="4" t="s">
        <v>4</v>
      </c>
      <c r="C1372" s="4"/>
    </row>
    <row r="1373" spans="1:3" ht="24" customHeight="1">
      <c r="A1373" s="4" t="str">
        <f ca="1">IFERROR(__xludf.DUMMYFUNCTION("""COMPUTED_VALUE"""),"तं अभ्यनन्दत्प्रणतं लवणान्तकं अग्रजः । कालनेमिवधात्प्रीतस्तुराषाडिव शार्ङ्गिणं ||")</f>
        <v>तं अभ्यनन्दत्प्रणतं लवणान्तकं अग्रजः । कालनेमिवधात्प्रीतस्तुराषाडिव शार्ङ्गिणं ||</v>
      </c>
      <c r="B1373" s="4" t="s">
        <v>7</v>
      </c>
      <c r="C1373" s="4"/>
    </row>
    <row r="1374" spans="1:3" ht="24" customHeight="1">
      <c r="A1374" s="4" t="str">
        <f ca="1">IFERROR(__xludf.DUMMYFUNCTION("""COMPUTED_VALUE"""),"स पृष्टः सर्वतो वार्त्तां आख्याद्राज्ञे न संततिं । प्रत्यर्पयिष्यतः काले कवेराद्यस्य शासनाथ् ||")</f>
        <v>स पृष्टः सर्वतो वार्त्तां आख्याद्राज्ञे न संततिं । प्रत्यर्पयिष्यतः काले कवेराद्यस्य शासनाथ् ||</v>
      </c>
      <c r="B1374" s="4" t="s">
        <v>1</v>
      </c>
      <c r="C1374" s="4"/>
    </row>
    <row r="1375" spans="1:3" ht="24" customHeight="1">
      <c r="A1375" s="4" t="str">
        <f ca="1">IFERROR(__xludf.DUMMYFUNCTION("""COMPUTED_VALUE"""),"अथ जानपदो विप्रः शिशुं अप्राप्तयौवनं । अवतार्य्ऽ आङ्कशय्यास्थं द्वारि चक्रन्द भूपतेः ||")</f>
        <v>अथ जानपदो विप्रः शिशुं अप्राप्तयौवनं । अवतार्य्ऽ आङ्कशय्यास्थं द्वारि चक्रन्द भूपतेः ||</v>
      </c>
      <c r="B1375" s="4" t="s">
        <v>2</v>
      </c>
      <c r="C1375" s="4"/>
    </row>
    <row r="1376" spans="1:3" ht="24" customHeight="1">
      <c r="A1376" s="4" t="str">
        <f ca="1">IFERROR(__xludf.DUMMYFUNCTION("""COMPUTED_VALUE"""),"शोचनीयासि वसुधे या त्वं दशरथाच्च्युता । रामहस्तं अनुप्राप्य कष्टात्कष्टतरं गता ||")</f>
        <v>शोचनीयासि वसुधे या त्वं दशरथाच्च्युता । रामहस्तं अनुप्राप्य कष्टात्कष्टतरं गता ||</v>
      </c>
      <c r="B1376" s="4" t="s">
        <v>2</v>
      </c>
      <c r="C1376" s="4"/>
    </row>
    <row r="1377" spans="1:3" ht="24" customHeight="1">
      <c r="A1377" s="4" t="str">
        <f ca="1">IFERROR(__xludf.DUMMYFUNCTION("""COMPUTED_VALUE"""),"श्रुत्वा तस्य शुचो हेतुं गोप्ता जिह्राय राघवः । न ह्यकालभवो मृत्युरिक्ष्वाकुपदं अस्पृशथ् ||")</f>
        <v>श्रुत्वा तस्य शुचो हेतुं गोप्ता जिह्राय राघवः । न ह्यकालभवो मृत्युरिक्ष्वाकुपदं अस्पृशथ् ||</v>
      </c>
      <c r="B1377" s="4" t="s">
        <v>8</v>
      </c>
      <c r="C1377" s="4"/>
    </row>
    <row r="1378" spans="1:3" ht="24" customHeight="1">
      <c r="A1378" s="4" t="str">
        <f ca="1">IFERROR(__xludf.DUMMYFUNCTION("""COMPUTED_VALUE"""),"स मुहूर्तं सहस्वेति द्विजं आश्वास्य दुःखितं । यानं सस्मार कौबेरं वैवस्वतजिगीषया ||")</f>
        <v>स मुहूर्तं सहस्वेति द्विजं आश्वास्य दुःखितं । यानं सस्मार कौबेरं वैवस्वतजिगीषया ||</v>
      </c>
      <c r="B1378" s="4" t="s">
        <v>5</v>
      </c>
      <c r="C1378" s="4"/>
    </row>
    <row r="1379" spans="1:3" ht="24" customHeight="1">
      <c r="A1379" s="4" t="str">
        <f ca="1">IFERROR(__xludf.DUMMYFUNCTION("""COMPUTED_VALUE"""),"आत्तशस्त्रस्तदध्यास्य प्रतिस्थः स रघूद्वहः । उच्चचार पुरस्तस्य गूढरूपा सरस्वती ||")</f>
        <v>आत्तशस्त्रस्तदध्यास्य प्रतिस्थः स रघूद्वहः । उच्चचार पुरस्तस्य गूढरूपा सरस्वती ||</v>
      </c>
      <c r="B1379" s="4" t="s">
        <v>2</v>
      </c>
      <c r="C1379" s="4"/>
    </row>
    <row r="1380" spans="1:3" ht="24" customHeight="1">
      <c r="A1380" s="4" t="str">
        <f ca="1">IFERROR(__xludf.DUMMYFUNCTION("""COMPUTED_VALUE"""),"राजन्प्रजासु ते कश्चिदपचारः प्रवर्तते । तं अन्विष्य प्रशमयेर्भवितासि ततः कृती ||")</f>
        <v>राजन्प्रजासु ते कश्चिदपचारः प्रवर्तते । तं अन्विष्य प्रशमयेर्भवितासि ततः कृती ||</v>
      </c>
      <c r="B1380" s="4" t="s">
        <v>2</v>
      </c>
      <c r="C1380" s="4"/>
    </row>
    <row r="1381" spans="1:3" ht="24" customHeight="1">
      <c r="A1381" s="4" t="str">
        <f ca="1">IFERROR(__xludf.DUMMYFUNCTION("""COMPUTED_VALUE"""),"इत्याप्तवचनाद्रामो विनेष्यन्वर्णविक्रियां । दिशः पपात पत्त्रेण वेगनिष्कम्पकेतुना ||")</f>
        <v>इत्याप्तवचनाद्रामो विनेष्यन्वर्णविक्रियां । दिशः पपात पत्त्रेण वेगनिष्कम्पकेतुना ||</v>
      </c>
      <c r="B1381" s="4" t="s">
        <v>1</v>
      </c>
      <c r="C1381" s="4"/>
    </row>
    <row r="1382" spans="1:3" ht="24" customHeight="1">
      <c r="A1382" s="4" t="str">
        <f ca="1">IFERROR(__xludf.DUMMYFUNCTION("""COMPUTED_VALUE"""),"अथ धूमाभिताम्राक्षं वृक्षाखावलम्बिनं । ददर्श कंचिदैक्श्वाकस्तपस्यन्तं अध्ॐउखं ||")</f>
        <v>अथ धूमाभिताम्राक्षं वृक्षाखावलम्बिनं । ददर्श कंचिदैक्श्वाकस्तपस्यन्तं अध्ॐउखं ||</v>
      </c>
      <c r="B1382" s="4" t="s">
        <v>14</v>
      </c>
      <c r="C1382" s="4"/>
    </row>
    <row r="1383" spans="1:3" ht="24" customHeight="1">
      <c r="A1383" s="4" t="str">
        <f ca="1">IFERROR(__xludf.DUMMYFUNCTION("""COMPUTED_VALUE"""),"पृष्टनामान्वयो राज्ञा स किलाचष्ट धूमपः । आत्मानं शम्बुकं नाम शूद्रं सुरपदार्थिनं ||")</f>
        <v>पृष्टनामान्वयो राज्ञा स किलाचष्ट धूमपः । आत्मानं शम्बुकं नाम शूद्रं सुरपदार्थिनं ||</v>
      </c>
      <c r="B1383" s="4" t="s">
        <v>1</v>
      </c>
      <c r="C1383" s="4"/>
    </row>
    <row r="1384" spans="1:3" ht="24" customHeight="1">
      <c r="A1384" s="4" t="str">
        <f ca="1">IFERROR(__xludf.DUMMYFUNCTION("""COMPUTED_VALUE"""),"तपस्यनधिकारित्वात्प्रजानां तं अघावहं । शीर्षच्छेद्यं परिच्छिद्य नियन्ता शस्त्रं आददे ||")</f>
        <v>तपस्यनधिकारित्वात्प्रजानां तं अघावहं । शीर्षच्छेद्यं परिच्छिद्य नियन्ता शस्त्रं आददे ||</v>
      </c>
      <c r="B1384" s="4" t="s">
        <v>17</v>
      </c>
      <c r="C1384" s="4"/>
    </row>
    <row r="1385" spans="1:3" ht="24" customHeight="1">
      <c r="A1385" s="4" t="str">
        <f ca="1">IFERROR(__xludf.DUMMYFUNCTION("""COMPUTED_VALUE"""),"स तद्वक्त्रं हिमक्लिष्टकिञ्जल्कं इव पङ्कजं । ज्योतिष्कणाहतश्मश्रु कण्ठनालादपाहरथ् ||")</f>
        <v>स तद्वक्त्रं हिमक्लिष्टकिञ्जल्कं इव पङ्कजं । ज्योतिष्कणाहतश्मश्रु कण्ठनालादपाहरथ् ||</v>
      </c>
      <c r="B1385" s="4" t="s">
        <v>0</v>
      </c>
      <c r="C1385" s="4"/>
    </row>
    <row r="1386" spans="1:3" ht="24" customHeight="1">
      <c r="A1386" s="4" t="str">
        <f ca="1">IFERROR(__xludf.DUMMYFUNCTION("""COMPUTED_VALUE"""),"कृतण्डः स्वयं राज्ञा लेभे शूद्रः सतां गतिं । तपसा दुश्चरेणापि न स्वमार्गविलङ्घिना ||")</f>
        <v>कृतण्डः स्वयं राज्ञा लेभे शूद्रः सतां गतिं । तपसा दुश्चरेणापि न स्वमार्गविलङ्घिना ||</v>
      </c>
      <c r="B1386" s="4" t="s">
        <v>1</v>
      </c>
      <c r="C1386" s="4"/>
    </row>
    <row r="1387" spans="1:3" ht="24" customHeight="1">
      <c r="A1387" s="4" t="str">
        <f ca="1">IFERROR(__xludf.DUMMYFUNCTION("""COMPUTED_VALUE"""),"रघुनाथोऽप्यगस्त्येन मार्गसंदर्शितात्मना । महौजसा संयुयुजे शरत्काल इवेन्दुना ||")</f>
        <v>रघुनाथोऽप्यगस्त्येन मार्गसंदर्शितात्मना । महौजसा संयुयुजे शरत्काल इवेन्दुना ||</v>
      </c>
      <c r="B1387" s="4" t="s">
        <v>1</v>
      </c>
      <c r="C1387" s="4"/>
    </row>
    <row r="1388" spans="1:3" ht="24" customHeight="1">
      <c r="A1388" s="4" t="str">
        <f ca="1">IFERROR(__xludf.DUMMYFUNCTION("""COMPUTED_VALUE"""),"कुम्भयोनिरलंकारं तस्मै दिव्यपरिग्रहं । ददौ दत्तं समुद्रेण पीतेनेवात्मनिष्क्रयं ||")</f>
        <v>कुम्भयोनिरलंकारं तस्मै दिव्यपरिग्रहं । ददौ दत्तं समुद्रेण पीतेनेवात्मनिष्क्रयं ||</v>
      </c>
      <c r="B1388" s="4" t="s">
        <v>5</v>
      </c>
      <c r="C1388" s="4"/>
    </row>
    <row r="1389" spans="1:3" ht="24" customHeight="1">
      <c r="A1389" s="4" t="str">
        <f ca="1">IFERROR(__xludf.DUMMYFUNCTION("""COMPUTED_VALUE"""),"तं दधन्मैथिलीकण्ठनिर्व्यापारेण बाहुना । पश्चान्निववृते रामः प्राक्परासुर्द्विजात्मजः ||")</f>
        <v>तं दधन्मैथिलीकण्ठनिर्व्यापारेण बाहुना । पश्चान्निववृते रामः प्राक्परासुर्द्विजात्मजः ||</v>
      </c>
      <c r="B1389" s="4" t="s">
        <v>3</v>
      </c>
      <c r="C1389" s="4"/>
    </row>
    <row r="1390" spans="1:3" ht="24" customHeight="1">
      <c r="A1390" s="4" t="str">
        <f ca="1">IFERROR(__xludf.DUMMYFUNCTION("""COMPUTED_VALUE"""),"तस्य पूर्वोदितां निन्दां द्विजः पुत्रसमागतः । स्तुत्या निवर्तयां आस त्रातुर्वैवस्वतादपि ||")</f>
        <v>तस्य पूर्वोदितां निन्दां द्विजः पुत्रसमागतः । स्तुत्या निवर्तयां आस त्रातुर्वैवस्वतादपि ||</v>
      </c>
      <c r="B1390" s="4" t="s">
        <v>9</v>
      </c>
      <c r="C1390" s="4"/>
    </row>
    <row r="1391" spans="1:3" ht="24" customHeight="1">
      <c r="A1391" s="4" t="str">
        <f ca="1">IFERROR(__xludf.DUMMYFUNCTION("""COMPUTED_VALUE"""),"तं अध्वराय मुक्ताश्वं रक्षःकपिनरेश्वराः । मेघाः सस्यं इवाम्भोभिरभ्यवर्षन्नुपायनैः ||")</f>
        <v>तं अध्वराय मुक्ताश्वं रक्षःकपिनरेश्वराः । मेघाः सस्यं इवाम्भोभिरभ्यवर्षन्नुपायनैः ||</v>
      </c>
      <c r="B1391" s="4" t="s">
        <v>1</v>
      </c>
      <c r="C1391" s="4"/>
    </row>
    <row r="1392" spans="1:3" ht="24" customHeight="1">
      <c r="A1392" s="4" t="str">
        <f ca="1">IFERROR(__xludf.DUMMYFUNCTION("""COMPUTED_VALUE"""),"दिग्भ्यो निमन्त्रिताश्चैनं अभिजग्मुर्महर्षयः । न भ्ॐआन्येव धिष्ण्यानि हित्वा ज्योतिर्मयान्यपि ||")</f>
        <v>दिग्भ्यो निमन्त्रिताश्चैनं अभिजग्मुर्महर्षयः । न भ्ॐआन्येव धिष्ण्यानि हित्वा ज्योतिर्मयान्यपि ||</v>
      </c>
      <c r="B1392" s="4" t="s">
        <v>9</v>
      </c>
      <c r="C1392" s="4"/>
    </row>
    <row r="1393" spans="1:3" ht="24" customHeight="1">
      <c r="A1393" s="4" t="str">
        <f ca="1">IFERROR(__xludf.DUMMYFUNCTION("""COMPUTED_VALUE"""),"उपशल्यनिविष्टैस्तैश्चतुर्द्वारमुखी बभौ । अयोध्या सृष्टलोकेव सद्यः पैतामही तनुः ||")</f>
        <v>उपशल्यनिविष्टैस्तैश्चतुर्द्वारमुखी बभौ । अयोध्या सृष्टलोकेव सद्यः पैतामही तनुः ||</v>
      </c>
      <c r="B1393" s="4" t="s">
        <v>1</v>
      </c>
      <c r="C1393" s="4"/>
    </row>
    <row r="1394" spans="1:3" ht="24" customHeight="1">
      <c r="A1394" s="4" t="str">
        <f ca="1">IFERROR(__xludf.DUMMYFUNCTION("""COMPUTED_VALUE"""),"श्लाघ्यस्त्यागोऽपि वैदेह्याः पत्युः प्राग्वंशवासिनः । अनन्यहानेः तस्यासीत्सैव जाया हिरण्मयी ||")</f>
        <v>श्लाघ्यस्त्यागोऽपि वैदेह्याः पत्युः प्राग्वंशवासिनः । अनन्यहानेः तस्यासीत्सैव जाया हिरण्मयी ||</v>
      </c>
      <c r="B1394" s="4" t="s">
        <v>5</v>
      </c>
      <c r="C1394" s="4"/>
    </row>
    <row r="1395" spans="1:3" ht="24" customHeight="1">
      <c r="A1395" s="4" t="str">
        <f ca="1">IFERROR(__xludf.DUMMYFUNCTION("""COMPUTED_VALUE"""),"विधेरधिकसंभारस्ततः प्रववृते मखः । आसन्यत्र क्रियाविघ्ना राक्षसा एव रक्षिणः ||")</f>
        <v>विधेरधिकसंभारस्ततः प्रववृते मखः । आसन्यत्र क्रियाविघ्ना राक्षसा एव रक्षिणः ||</v>
      </c>
      <c r="B1395" s="4" t="s">
        <v>7</v>
      </c>
      <c r="C1395" s="4"/>
    </row>
    <row r="1396" spans="1:3" ht="24" customHeight="1">
      <c r="A1396" s="4" t="str">
        <f ca="1">IFERROR(__xludf.DUMMYFUNCTION("""COMPUTED_VALUE"""),"अथ प्राचेतसोपज्ञं रामायणं इतस्ततः । मैथिलेयौ कुशलवौ जगतुर्गुरुचोदितौ ||")</f>
        <v>अथ प्राचेतसोपज्ञं रामायणं इतस्ततः । मैथिलेयौ कुशलवौ जगतुर्गुरुचोदितौ ||</v>
      </c>
      <c r="B1396" s="4" t="s">
        <v>2</v>
      </c>
      <c r="C1396" s="4"/>
    </row>
    <row r="1397" spans="1:3" ht="24" customHeight="1">
      <c r="A1397" s="4" t="str">
        <f ca="1">IFERROR(__xludf.DUMMYFUNCTION("""COMPUTED_VALUE"""),"वृत्तं रामस्य वाल्मीकेः कृतिस्तौ किंनरस्वनौ । किं तद्येन मनो हर्तुं अलं स्यातां न शृण्वतां ||")</f>
        <v>वृत्तं रामस्य वाल्मीकेः कृतिस्तौ किंनरस्वनौ । किं तद्येन मनो हर्तुं अलं स्यातां न शृण्वतां ||</v>
      </c>
      <c r="B1397" s="4" t="s">
        <v>2</v>
      </c>
      <c r="C1397" s="4"/>
    </row>
    <row r="1398" spans="1:3" ht="24" customHeight="1">
      <c r="A1398" s="4" t="str">
        <f ca="1">IFERROR(__xludf.DUMMYFUNCTION("""COMPUTED_VALUE"""),"रूपे गीते च माधुर्यं तयोस्तज्ज्ञैर्निवेदितं । ददर्श सानुजो रामः शुश्राव च कुतूहली ||")</f>
        <v>रूपे गीते च माधुर्यं तयोस्तज्ज्ञैर्निवेदितं । ददर्श सानुजो रामः शुश्राव च कुतूहली ||</v>
      </c>
      <c r="B1398" s="4" t="s">
        <v>11</v>
      </c>
      <c r="C1398" s="4"/>
    </row>
    <row r="1399" spans="1:3" ht="24" customHeight="1">
      <c r="A1399" s="4" t="str">
        <f ca="1">IFERROR(__xludf.DUMMYFUNCTION("""COMPUTED_VALUE"""),"तद्गीतश्रवणैकाग्रा संसदश्रुमुखी बभौ । हिमनिस्यन्दिनी प्रातर्निवाग्तेव वनस्थली ||")</f>
        <v>तद्गीतश्रवणैकाग्रा संसदश्रुमुखी बभौ । हिमनिस्यन्दिनी प्रातर्निवाग्तेव वनस्थली ||</v>
      </c>
      <c r="B1399" s="4" t="s">
        <v>11</v>
      </c>
      <c r="C1399" s="4"/>
    </row>
    <row r="1400" spans="1:3" ht="24" customHeight="1">
      <c r="A1400" s="4" t="str">
        <f ca="1">IFERROR(__xludf.DUMMYFUNCTION("""COMPUTED_VALUE"""),"वयोवेषविसंवादि रामस्य च तयोश्च सा । जनता प्रेक्ष्य सादृश्यं नाक्शिकम्पं व्यतिष्ठत ||")</f>
        <v>वयोवेषविसंवादि रामस्य च तयोश्च सा । जनता प्रेक्ष्य सादृश्यं नाक्शिकम्पं व्यतिष्ठत ||</v>
      </c>
      <c r="B1400" s="4" t="s">
        <v>2</v>
      </c>
      <c r="C1400" s="4"/>
    </row>
    <row r="1401" spans="1:3" ht="24" customHeight="1">
      <c r="A1401" s="4" t="str">
        <f ca="1">IFERROR(__xludf.DUMMYFUNCTION("""COMPUTED_VALUE"""),"उभयोर्न तथा लोकः प्रावीण्येन विसिष्मिये । नृपतेः प्रीतिदानेषु वीतस्पृहतया यथा ||")</f>
        <v>उभयोर्न तथा लोकः प्रावीण्येन विसिष्मिये । नृपतेः प्रीतिदानेषु वीतस्पृहतया यथा ||</v>
      </c>
      <c r="B1401" s="4" t="s">
        <v>10</v>
      </c>
      <c r="C1401" s="4"/>
    </row>
    <row r="1402" spans="1:3" ht="24" customHeight="1">
      <c r="A1402" s="4" t="str">
        <f ca="1">IFERROR(__xludf.DUMMYFUNCTION("""COMPUTED_VALUE"""),"गेये केन विनीतौ वां कस्य चेयं कवेः कृतिः । इति राज्ञा स्वयं पृष्टौ तौ वाल्मीकिं अशंसतां ||")</f>
        <v>गेये केन विनीतौ वां कस्य चेयं कवेः कृतिः । इति राज्ञा स्वयं पृष्टौ तौ वाल्मीकिं अशंसतां ||</v>
      </c>
      <c r="B1402" s="4" t="s">
        <v>2</v>
      </c>
      <c r="C1402" s="4"/>
    </row>
    <row r="1403" spans="1:3" ht="24" customHeight="1">
      <c r="A1403" s="4" t="str">
        <f ca="1">IFERROR(__xludf.DUMMYFUNCTION("""COMPUTED_VALUE"""),"अथ सावरजो रामः प्राचेतसं उपेयिवान् । उरिक्र्त्यात्मनो देहं राज्यं अस्मै न्यवेदयथ् ||")</f>
        <v>अथ सावरजो रामः प्राचेतसं उपेयिवान् । उरिक्र्त्यात्मनो देहं राज्यं अस्मै न्यवेदयथ् ||</v>
      </c>
      <c r="B1403" s="4" t="s">
        <v>5</v>
      </c>
      <c r="C1403" s="4"/>
    </row>
    <row r="1404" spans="1:3" ht="24" customHeight="1">
      <c r="A1404" s="4" t="str">
        <f ca="1">IFERROR(__xludf.DUMMYFUNCTION("""COMPUTED_VALUE"""),"स तावाख्याय रामाय मैथिलेयौ तदात्मजौ । कविः कारुणिको वव्रे सीतायाः संपरिग्रहं ||")</f>
        <v>स तावाख्याय रामाय मैथिलेयौ तदात्मजौ । कविः कारुणिको वव्रे सीतायाः संपरिग्रहं ||</v>
      </c>
      <c r="B1404" s="4" t="s">
        <v>24</v>
      </c>
      <c r="C1404" s="4"/>
    </row>
    <row r="1405" spans="1:3" ht="24" customHeight="1">
      <c r="A1405" s="4" t="str">
        <f ca="1">IFERROR(__xludf.DUMMYFUNCTION("""COMPUTED_VALUE"""),"तात शुद्धा समक्षं नः स्नुषा ते जातवेदसि । दौरात्म्याद्रक्षसस्तां तु नात्रत्याः श्रद्दधुः प्रजाः ||")</f>
        <v>तात शुद्धा समक्षं नः स्नुषा ते जातवेदसि । दौरात्म्याद्रक्षसस्तां तु नात्रत्याः श्रद्दधुः प्रजाः ||</v>
      </c>
      <c r="B1405" s="4" t="s">
        <v>3</v>
      </c>
      <c r="C1405" s="4"/>
    </row>
    <row r="1406" spans="1:3" ht="24" customHeight="1">
      <c r="A1406" s="4" t="str">
        <f ca="1">IFERROR(__xludf.DUMMYFUNCTION("""COMPUTED_VALUE"""),"ताः स्वचारित्रं उद्दिश्य प्रत्याययतु मैथिली । ततः पुत्रवतीं एनां प्रतिपत्स्ये तदाज्ञया ||")</f>
        <v>ताः स्वचारित्रं उद्दिश्य प्रत्याययतु मैथिली । ततः पुत्रवतीं एनां प्रतिपत्स्ये तदाज्ञया ||</v>
      </c>
      <c r="B1406" s="4" t="s">
        <v>5</v>
      </c>
      <c r="C1406" s="4"/>
    </row>
    <row r="1407" spans="1:3" ht="24" customHeight="1">
      <c r="A1407" s="4" t="str">
        <f ca="1">IFERROR(__xludf.DUMMYFUNCTION("""COMPUTED_VALUE"""),"इति प्रतिश्रुते राज्ञा जानकीं आस्रमान्मुनिः । शिष्यैरानाययां आस स्वसिद्धिं नियमैरिव ||")</f>
        <v>इति प्रतिश्रुते राज्ञा जानकीं आस्रमान्मुनिः । शिष्यैरानाययां आस स्वसिद्धिं नियमैरिव ||</v>
      </c>
      <c r="B1407" s="4" t="s">
        <v>4</v>
      </c>
      <c r="C1407" s="4"/>
    </row>
    <row r="1408" spans="1:3" ht="24" customHeight="1">
      <c r="A1408" s="4" t="str">
        <f ca="1">IFERROR(__xludf.DUMMYFUNCTION("""COMPUTED_VALUE"""),"अन्येद्युरथ काकुत्स्थः संनिपात्य पुरौकसः । कविं आह्वाययां आस प्रस्तुतप्रतिपत्तये ||")</f>
        <v>अन्येद्युरथ काकुत्स्थः संनिपात्य पुरौकसः । कविं आह्वाययां आस प्रस्तुतप्रतिपत्तये ||</v>
      </c>
      <c r="B1408" s="4" t="s">
        <v>5</v>
      </c>
      <c r="C1408" s="4"/>
    </row>
    <row r="1409" spans="1:3" ht="24" customHeight="1">
      <c r="A1409" s="4" t="str">
        <f ca="1">IFERROR(__xludf.DUMMYFUNCTION("""COMPUTED_VALUE"""),"स्वरसंस्कारवत्येव पुत्राभ्यां सह सीतया । ऋचेवोदर्चिषं सूर्यं रामं मुनिरुपस्थितः ||")</f>
        <v>स्वरसंस्कारवत्येव पुत्राभ्यां सह सीतया । ऋचेवोदर्चिषं सूर्यं रामं मुनिरुपस्थितः ||</v>
      </c>
      <c r="B1409" s="4" t="s">
        <v>2</v>
      </c>
      <c r="C1409" s="4"/>
    </row>
    <row r="1410" spans="1:3" ht="24" customHeight="1">
      <c r="A1410" s="4" t="str">
        <f ca="1">IFERROR(__xludf.DUMMYFUNCTION("""COMPUTED_VALUE"""),"काषायपरिवीतेन स्वपदार्पितचक्षुषा । कविं आह्वाययां आस शान्तेन वपुषैव सा ||")</f>
        <v>काषायपरिवीतेन स्वपदार्पितचक्षुषा । कविं आह्वाययां आस शान्तेन वपुषैव सा ||</v>
      </c>
      <c r="B1410" s="4" t="s">
        <v>18</v>
      </c>
      <c r="C1410" s="4"/>
    </row>
    <row r="1411" spans="1:3" ht="24" customHeight="1">
      <c r="A1411" s="4" t="str">
        <f ca="1">IFERROR(__xludf.DUMMYFUNCTION("""COMPUTED_VALUE"""),"जनास्तदालोकपथात्प्रतिसंहृतचक्षुषः । तस्थुस्तेऽवाङ्मुखाः सर्वे फलिता इव सालयः ||")</f>
        <v>जनास्तदालोकपथात्प्रतिसंहृतचक्षुषः । तस्थुस्तेऽवाङ्मुखाः सर्वे फलिता इव सालयः ||</v>
      </c>
      <c r="B1411" s="4" t="s">
        <v>5</v>
      </c>
      <c r="C1411" s="4"/>
    </row>
    <row r="1412" spans="1:3" ht="24" customHeight="1">
      <c r="A1412" s="4" t="str">
        <f ca="1">IFERROR(__xludf.DUMMYFUNCTION("""COMPUTED_VALUE"""),"तां दृष्टिविषये भर्तुर्मुनिरास्थितविष्टरः । कुरु निःसंशयं वत्से स्ववृत्ते लोकं इत्यशाथ् ||")</f>
        <v>तां दृष्टिविषये भर्तुर्मुनिरास्थितविष्टरः । कुरु निःसंशयं वत्से स्ववृत्ते लोकं इत्यशाथ् ||</v>
      </c>
      <c r="B1412" s="4" t="s">
        <v>8</v>
      </c>
      <c r="C1412" s="4"/>
    </row>
    <row r="1413" spans="1:3" ht="24" customHeight="1">
      <c r="A1413" s="4" t="str">
        <f ca="1">IFERROR(__xludf.DUMMYFUNCTION("""COMPUTED_VALUE"""),"अथ वाल्मीक्शिष्येण पुण्यं आवर्जितं पयः । आचम्योदीरयां आस सीता सत्यां सरस्वतीं ||")</f>
        <v>अथ वाल्मीक्शिष्येण पुण्यं आवर्जितं पयः । आचम्योदीरयां आस सीता सत्यां सरस्वतीं ||</v>
      </c>
      <c r="B1413" s="4" t="s">
        <v>2</v>
      </c>
      <c r="C1413" s="4"/>
    </row>
    <row r="1414" spans="1:3" ht="24" customHeight="1">
      <c r="A1414" s="4" t="str">
        <f ca="1">IFERROR(__xludf.DUMMYFUNCTION("""COMPUTED_VALUE"""),"वाङ्मनःकर्मभिः पत्यौ व्यभिचारो यथा न मे । तथा विश्वंभरे देवि मां अन्तर्धातुं अर्हसि ||")</f>
        <v>वाङ्मनःकर्मभिः पत्यौ व्यभिचारो यथा न मे । तथा विश्वंभरे देवि मां अन्तर्धातुं अर्हसि ||</v>
      </c>
      <c r="B1414" s="4" t="s">
        <v>18</v>
      </c>
      <c r="C1414" s="4"/>
    </row>
    <row r="1415" spans="1:3" ht="24" customHeight="1">
      <c r="A1415" s="4" t="str">
        <f ca="1">IFERROR(__xludf.DUMMYFUNCTION("""COMPUTED_VALUE"""),"एवं उक्ते तया साध्व्या रन्ध्रात्सद्योभवाद्भुवः । शातह्रदं इव ज्योतिः प्रभामण्डलं उद्ययौ ||")</f>
        <v>एवं उक्ते तया साध्व्या रन्ध्रात्सद्योभवाद्भुवः । शातह्रदं इव ज्योतिः प्रभामण्डलं उद्ययौ ||</v>
      </c>
      <c r="B1415" s="4" t="s">
        <v>5</v>
      </c>
      <c r="C1415" s="4"/>
    </row>
    <row r="1416" spans="1:3" ht="24" customHeight="1">
      <c r="A1416" s="4" t="str">
        <f ca="1">IFERROR(__xludf.DUMMYFUNCTION("""COMPUTED_VALUE"""),"तत्र नागफणोत्क्षिप्तसिंहासननिषेदुषी । समुद्ररशना साक्षात्प्रादुरासीद्वसुंधरा ||")</f>
        <v>तत्र नागफणोत्क्षिप्तसिंहासननिषेदुषी । समुद्ररशना साक्षात्प्रादुरासीद्वसुंधरा ||</v>
      </c>
      <c r="B1416" s="4" t="s">
        <v>0</v>
      </c>
      <c r="C1416" s="4"/>
    </row>
    <row r="1417" spans="1:3" ht="24" customHeight="1">
      <c r="A1417" s="4" t="str">
        <f ca="1">IFERROR(__xludf.DUMMYFUNCTION("""COMPUTED_VALUE"""),"सा सीतां अङ्कं आरोप्य भर्तरि प्रहितेक्षणां । मा मेति व्याहरत्येव तस्मिन्पातालं अभ्यगाथ् ||")</f>
        <v>सा सीतां अङ्कं आरोप्य भर्तरि प्रहितेक्षणां । मा मेति व्याहरत्येव तस्मिन्पातालं अभ्यगाथ् ||</v>
      </c>
      <c r="B1417" s="4" t="s">
        <v>15</v>
      </c>
      <c r="C1417" s="4"/>
    </row>
    <row r="1418" spans="1:3" ht="24" customHeight="1">
      <c r="A1418" s="4" t="str">
        <f ca="1">IFERROR(__xludf.DUMMYFUNCTION("""COMPUTED_VALUE"""),"धरायां तस्य संरम्भं सीताप्रत्यर्पणैषिणैः । गुरुर्विधिबलापेक्षी शमयां आस धन्विनः ||")</f>
        <v>धरायां तस्य संरम्भं सीताप्रत्यर्पणैषिणैः । गुरुर्विधिबलापेक्षी शमयां आस धन्विनः ||</v>
      </c>
      <c r="B1418" s="4" t="s">
        <v>1</v>
      </c>
      <c r="C1418" s="4"/>
    </row>
    <row r="1419" spans="1:3" ht="24" customHeight="1">
      <c r="A1419" s="4" t="str">
        <f ca="1">IFERROR(__xludf.DUMMYFUNCTION("""COMPUTED_VALUE"""),"ऋषीन्विसृज्य यज्ञान्ते सुहृदश्च पुरस्कृतान् । रामः सीतागतं स्नेहं निदधे तदपत्ययोः ||")</f>
        <v>ऋषीन्विसृज्य यज्ञान्ते सुहृदश्च पुरस्कृतान् । रामः सीतागतं स्नेहं निदधे तदपत्ययोः ||</v>
      </c>
      <c r="B1419" s="4" t="s">
        <v>5</v>
      </c>
      <c r="C1419" s="4"/>
    </row>
    <row r="1420" spans="1:3" ht="24" customHeight="1">
      <c r="A1420" s="4" t="str">
        <f ca="1">IFERROR(__xludf.DUMMYFUNCTION("""COMPUTED_VALUE"""),"युधाजितस्तु संदेशात्स देश सिन्धुनामकं । ददौ दत्तप्रभावाय भरताय धृतप्रजः ||")</f>
        <v>युधाजितस्तु संदेशात्स देश सिन्धुनामकं । ददौ दत्तप्रभावाय भरताय धृतप्रजः ||</v>
      </c>
      <c r="B1420" s="4" t="s">
        <v>3</v>
      </c>
      <c r="C1420" s="4"/>
    </row>
    <row r="1421" spans="1:3" ht="24" customHeight="1">
      <c r="A1421" s="4" t="str">
        <f ca="1">IFERROR(__xludf.DUMMYFUNCTION("""COMPUTED_VALUE"""),"भरतस्तत्र गन्धर्वान्युधि निजित्य केवलं । आतोद्यं ग्राहयां आस समत्याजयदायुधं ||")</f>
        <v>भरतस्तत्र गन्धर्वान्युधि निजित्य केवलं । आतोद्यं ग्राहयां आस समत्याजयदायुधं ||</v>
      </c>
      <c r="B1421" s="4" t="s">
        <v>20</v>
      </c>
      <c r="C1421" s="4"/>
    </row>
    <row r="1422" spans="1:3" ht="24" customHeight="1">
      <c r="A1422" s="4" t="str">
        <f ca="1">IFERROR(__xludf.DUMMYFUNCTION("""COMPUTED_VALUE"""),"स तक्षपुष्कलौ पुत्रौ राजधान्योस्तदाख्ययोः । अभिषिच्याभिषेकार्हौ रामान्तिकं अगात्पुनः ||")</f>
        <v>स तक्षपुष्कलौ पुत्रौ राजधान्योस्तदाख्ययोः । अभिषिच्याभिषेकार्हौ रामान्तिकं अगात्पुनः ||</v>
      </c>
      <c r="B1422" s="4" t="s">
        <v>1</v>
      </c>
      <c r="C1422" s="4"/>
    </row>
    <row r="1423" spans="1:3" ht="24" customHeight="1">
      <c r="A1423" s="4" t="str">
        <f ca="1">IFERROR(__xludf.DUMMYFUNCTION("""COMPUTED_VALUE"""),"अङ्गदं चन्द्रकेतुं च लक्ष्मणोऽप्यात्मसंभवौ । शासनाद्रघुनाथस्य चक्रे कारापथेशावरौ ||")</f>
        <v>अङ्गदं चन्द्रकेतुं च लक्ष्मणोऽप्यात्मसंभवौ । शासनाद्रघुनाथस्य चक्रे कारापथेशावरौ ||</v>
      </c>
      <c r="B1423" s="4" t="s">
        <v>0</v>
      </c>
      <c r="C1423" s="4"/>
    </row>
    <row r="1424" spans="1:3" ht="24" customHeight="1">
      <c r="A1424" s="4" t="str">
        <f ca="1">IFERROR(__xludf.DUMMYFUNCTION("""COMPUTED_VALUE"""),"इत्यारोपितपुत्रास्ते जननीनां जनेश्वराः । भर्तृलोकप्रपन्नानां निवापान्विदधुः क्रमाथ् ||")</f>
        <v>इत्यारोपितपुत्रास्ते जननीनां जनेश्वराः । भर्तृलोकप्रपन्नानां निवापान्विदधुः क्रमाथ् ||</v>
      </c>
      <c r="B1424" s="4" t="s">
        <v>12</v>
      </c>
      <c r="C1424" s="4"/>
    </row>
    <row r="1425" spans="1:3" ht="24" customHeight="1">
      <c r="A1425" s="4" t="str">
        <f ca="1">IFERROR(__xludf.DUMMYFUNCTION("""COMPUTED_VALUE"""),"उपेत्य मुनिवेषोऽथ कालः प्रोवाच राघवं । रहःसंवादिनौ पास्येदावां यस्तं त्यजेरिति ||")</f>
        <v>उपेत्य मुनिवेषोऽथ कालः प्रोवाच राघवं । रहःसंवादिनौ पास्येदावां यस्तं त्यजेरिति ||</v>
      </c>
      <c r="B1425" s="4" t="s">
        <v>2</v>
      </c>
      <c r="C1425" s="4"/>
    </row>
    <row r="1426" spans="1:3" ht="24" customHeight="1">
      <c r="A1426" s="4" t="str">
        <f ca="1">IFERROR(__xludf.DUMMYFUNCTION("""COMPUTED_VALUE"""),"तथेति प्रतिपन्नाय विवृतात्मा नृपाय सः । आचख्यौ दिवं अध्यास्व शासनात्परमेष्ठिनः ||")</f>
        <v>तथेति प्रतिपन्नाय विवृतात्मा नृपाय सः । आचख्यौ दिवं अध्यास्व शासनात्परमेष्ठिनः ||</v>
      </c>
      <c r="B1426" s="4" t="s">
        <v>1</v>
      </c>
      <c r="C1426" s="4"/>
    </row>
    <row r="1427" spans="1:3" ht="24" customHeight="1">
      <c r="A1427" s="4" t="str">
        <f ca="1">IFERROR(__xludf.DUMMYFUNCTION("""COMPUTED_VALUE"""),"विद्वानपि तयोर्द्वाःस्तहः समयं लक्ष्मणोऽभिनथ् । भीतो दुर्वाससः शापाद्रामसंदर्शनार्थिनः ||")</f>
        <v>विद्वानपि तयोर्द्वाःस्तहः समयं लक्ष्मणोऽभिनथ् । भीतो दुर्वाससः शापाद्रामसंदर्शनार्थिनः ||</v>
      </c>
      <c r="B1427" s="4" t="s">
        <v>1</v>
      </c>
      <c r="C1427" s="4"/>
    </row>
    <row r="1428" spans="1:3" ht="24" customHeight="1">
      <c r="A1428" s="4" t="str">
        <f ca="1">IFERROR(__xludf.DUMMYFUNCTION("""COMPUTED_VALUE"""),"स गत्वा सरयूतीरं देहत्यागेन योगविथ् । चकार वितथां भ्रातुः प्रतिज्ञां पूर्वजन्मनः ||")</f>
        <v>स गत्वा सरयूतीरं देहत्यागेन योगविथ् । चकार वितथां भ्रातुः प्रतिज्ञां पूर्वजन्मनः ||</v>
      </c>
      <c r="B1428" s="4" t="s">
        <v>1</v>
      </c>
      <c r="C1428" s="4"/>
    </row>
    <row r="1429" spans="1:3" ht="24" customHeight="1">
      <c r="A1429" s="4" t="str">
        <f ca="1">IFERROR(__xludf.DUMMYFUNCTION("""COMPUTED_VALUE"""),"तस्मिन्नात्मचतुर्भागे प्राङ्नाकं अधितस्थुषि । राघवः शिथिलं तस्थौ भुवि धर्मस्त्रिपादिव ||")</f>
        <v>तस्मिन्नात्मचतुर्भागे प्राङ्नाकं अधितस्थुषि । राघवः शिथिलं तस्थौ भुवि धर्मस्त्रिपादिव ||</v>
      </c>
      <c r="B1429" s="4" t="s">
        <v>4</v>
      </c>
      <c r="C1429" s="4"/>
    </row>
    <row r="1430" spans="1:3" ht="24" customHeight="1">
      <c r="A1430" s="4" t="str">
        <f ca="1">IFERROR(__xludf.DUMMYFUNCTION("""COMPUTED_VALUE"""),"स निवेश्य कुशावत्यां रिपुनागाङ्कुषं कुशं । शरावत्यां सतां सूक्तैर्जनिताश्रुलवं लवं ||")</f>
        <v>स निवेश्य कुशावत्यां रिपुनागाङ्कुषं कुशं । शरावत्यां सतां सूक्तैर्जनिताश्रुलवं लवं ||</v>
      </c>
      <c r="B1430" s="4" t="s">
        <v>4</v>
      </c>
      <c r="C1430" s="4"/>
    </row>
    <row r="1431" spans="1:3" ht="24" customHeight="1">
      <c r="A1431" s="4" t="str">
        <f ca="1">IFERROR(__xludf.DUMMYFUNCTION("""COMPUTED_VALUE"""),"उदक्प्रतस्थे स्थिरधीः सानुजोऽग्निपुरःसरः । अन्वितः पतिवात्सल्याद्गृहवर्जं अयोध्यया ||")</f>
        <v>उदक्प्रतस्थे स्थिरधीः सानुजोऽग्निपुरःसरः । अन्वितः पतिवात्सल्याद्गृहवर्जं अयोध्यया ||</v>
      </c>
      <c r="B1431" s="4" t="s">
        <v>5</v>
      </c>
      <c r="C1431" s="4"/>
    </row>
    <row r="1432" spans="1:3" ht="24" customHeight="1">
      <c r="A1432" s="4" t="str">
        <f ca="1">IFERROR(__xludf.DUMMYFUNCTION("""COMPUTED_VALUE"""),"जगृहुस्तस्य चित्तज्ञाः पदवीं हरिराक्षसाः । कदम्बमुकुलस्थूलैरभिवृष्टं प्रजाश्रुभिः ||")</f>
        <v>जगृहुस्तस्य चित्तज्ञाः पदवीं हरिराक्षसाः । कदम्बमुकुलस्थूलैरभिवृष्टं प्रजाश्रुभिः ||</v>
      </c>
      <c r="B1432" s="4" t="s">
        <v>6</v>
      </c>
      <c r="C1432" s="4"/>
    </row>
    <row r="1433" spans="1:3" ht="24" customHeight="1">
      <c r="A1433" s="4" t="str">
        <f ca="1">IFERROR(__xludf.DUMMYFUNCTION("""COMPUTED_VALUE"""),"उपस्थितविमानेन तेन भक्तानुकम्पिना । चक्रे त्रिदिवनिःष्रेणिः सरयूरनुयायिनां ||")</f>
        <v>उपस्थितविमानेन तेन भक्तानुकम्पिना । चक्रे त्रिदिवनिःष्रेणिः सरयूरनुयायिनां ||</v>
      </c>
      <c r="B1433" s="4" t="s">
        <v>1</v>
      </c>
      <c r="C1433" s="4"/>
    </row>
    <row r="1434" spans="1:3" ht="24" customHeight="1">
      <c r="A1434" s="4" t="str">
        <f ca="1">IFERROR(__xludf.DUMMYFUNCTION("""COMPUTED_VALUE"""),"यद्गोप्रतरकल्पोऽभुत्संमर्दस्तत्र मज्जतां । अतस्तदाख्यया तीर्थं पावनं भुवि पप्रथे ||")</f>
        <v>यद्गोप्रतरकल्पोऽभुत्संमर्दस्तत्र मज्जतां । अतस्तदाख्यया तीर्थं पावनं भुवि पप्रथे ||</v>
      </c>
      <c r="B1434" s="4" t="s">
        <v>10</v>
      </c>
      <c r="C1434" s="4"/>
    </row>
    <row r="1435" spans="1:3" ht="24" customHeight="1">
      <c r="A1435" s="4" t="str">
        <f ca="1">IFERROR(__xludf.DUMMYFUNCTION("""COMPUTED_VALUE"""),"स विभुर्विबुधांशेषु प्रतिपन्नात्ममूर्तिषु । त्रिदशीभूतपौराणां स्वर्गान्तरं अकल्पयथ् ||")</f>
        <v>स विभुर्विबुधांशेषु प्रतिपन्नात्ममूर्तिषु । त्रिदशीभूतपौराणां स्वर्गान्तरं अकल्पयथ् ||</v>
      </c>
      <c r="B1435" s="4" t="s">
        <v>5</v>
      </c>
      <c r="C1435" s="4"/>
    </row>
    <row r="1436" spans="1:3" ht="24" customHeight="1">
      <c r="A1436" s="4" t="str">
        <f ca="1">IFERROR(__xludf.DUMMYFUNCTION("""COMPUTED_VALUE"""),"निर्वर्त्यैवं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||")</f>
        <v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||</v>
      </c>
      <c r="B1436" s="4" t="s">
        <v>16</v>
      </c>
      <c r="C1436" s="4"/>
    </row>
    <row r="1437" spans="1:3" ht="24" customHeight="1">
      <c r="A1437" s="4" t="str">
        <f ca="1">IFERROR(__xludf.DUMMYFUNCTION("""COMPUTED_VALUE"""),"अथेतरे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||")</f>
        <v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||</v>
      </c>
      <c r="B1437" s="4" t="s">
        <v>0</v>
      </c>
      <c r="C1437" s="4"/>
    </row>
    <row r="1438" spans="1:3" ht="24" customHeight="1">
      <c r="A1438" s="4" t="str">
        <f ca="1">IFERROR(__xludf.DUMMYFUNCTION("""COMPUTED_VALUE"""),"ते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||")</f>
        <v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||</v>
      </c>
      <c r="B1438" s="4" t="s">
        <v>5</v>
      </c>
      <c r="C1438" s="4"/>
    </row>
    <row r="1439" spans="1:3" ht="24" customHeight="1">
      <c r="A1439" s="4" t="str">
        <f ca="1">IFERROR(__xludf.DUMMYFUNCTION("""COMPUTED_VALUE"""),"चतुर्भुजांशप्रभवः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||")</f>
        <v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||</v>
      </c>
      <c r="B1439" s="4" t="s">
        <v>8</v>
      </c>
      <c r="C1439" s="4"/>
    </row>
    <row r="1440" spans="1:3" ht="24" customHeight="1">
      <c r="A1440" s="4" t="str">
        <f ca="1">IFERROR(__xludf.DUMMYFUNCTION("""COMPUTED_VALUE"""),"अथार्धरात्रे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अपश्यथ् ||")</f>
        <v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अपश्यथ् ||</v>
      </c>
      <c r="B1440" s="4" t="s">
        <v>5</v>
      </c>
      <c r="C1440" s="4"/>
    </row>
    <row r="1441" spans="1:3" ht="24" customHeight="1">
      <c r="A1441" s="4" t="str">
        <f ca="1">IFERROR(__xludf.DUMMYFUNCTION("""COMPUTED_VALUE"""),"सा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||")</f>
        <v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||</v>
      </c>
      <c r="B1441" s="4" t="s">
        <v>20</v>
      </c>
      <c r="C1441" s="4"/>
    </row>
    <row r="1442" spans="1:3" ht="24" customHeight="1">
      <c r="A1442" s="4" t="str">
        <f ca="1">IFERROR(__xludf.DUMMYFUNCTION("""COMPUTED_VALUE"""),"अथानुपोढार्गलं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||")</f>
        <v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||</v>
      </c>
      <c r="B1442" s="4" t="s">
        <v>9</v>
      </c>
      <c r="C1442" s="4"/>
    </row>
    <row r="1443" spans="1:3" ht="24" customHeight="1">
      <c r="A1443" s="4" t="str">
        <f ca="1">IFERROR(__xludf.DUMMYFUNCTION("""COMPUTED_VALUE"""),"लभ्दान्तरा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||")</f>
        <v>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||</v>
      </c>
      <c r="B1443" s="4" t="s">
        <v>15</v>
      </c>
      <c r="C1443" s="4"/>
    </row>
    <row r="1444" spans="1:3" ht="24" customHeight="1">
      <c r="A1444" s="4" t="str">
        <f ca="1">IFERROR(__xludf.DUMMYFUNCTION("""COMPUTED_VALUE"""),"का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||")</f>
        <v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||</v>
      </c>
      <c r="B1444" s="4" t="s">
        <v>2</v>
      </c>
      <c r="C1444" s="4"/>
    </row>
    <row r="1445" spans="1:3" ht="24" customHeight="1">
      <c r="A1445" s="4" t="str">
        <f ca="1">IFERROR(__xludf.DUMMYFUNCTION("""COMPUTED_VALUE"""),"तं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||")</f>
        <v>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||</v>
      </c>
      <c r="B1445" s="4" t="s">
        <v>12</v>
      </c>
      <c r="C1445" s="4"/>
    </row>
    <row r="1446" spans="1:3" ht="24" customHeight="1">
      <c r="A1446" s="4" t="str">
        <f ca="1">IFERROR(__xludf.DUMMYFUNCTION("""COMPUTED_VALUE"""),"वसौकसारां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||")</f>
        <v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||</v>
      </c>
      <c r="B1446" s="4" t="s">
        <v>10</v>
      </c>
      <c r="C1446" s="4"/>
    </row>
    <row r="1447" spans="1:3" ht="24" customHeight="1">
      <c r="A1447" s="4" t="str">
        <f ca="1">IFERROR(__xludf.DUMMYFUNCTION("""COMPUTED_VALUE"""),"विशीर्णतल्पाट्टशतो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||")</f>
        <v>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||</v>
      </c>
      <c r="B1447" s="4" t="s">
        <v>28</v>
      </c>
      <c r="C1447" s="4"/>
    </row>
    <row r="1448" spans="1:3" ht="24" customHeight="1">
      <c r="A1448" s="4" t="str">
        <f ca="1">IFERROR(__xludf.DUMMYFUNCTION("""COMPUTED_VALUE"""),"निशासु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||")</f>
        <v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||</v>
      </c>
      <c r="B1448" s="4" t="s">
        <v>6</v>
      </c>
      <c r="C1448" s="4"/>
    </row>
    <row r="1449" spans="1:3" ht="24" customHeight="1">
      <c r="A1449" s="4" t="str">
        <f ca="1">IFERROR(__xludf.DUMMYFUNCTION("""COMPUTED_VALUE"""),"आस्फालितं यत्प्रमदाकराग्रैर्मृदङ्गधीरध्वनिं अन्वगच्छथ् । वन्यैरिदानीं महिषैस्तदम्भः शृङ्गाहतं क्रोशति दीर्घिकाणां ||")</f>
        <v>आस्फालितं यत्प्रमदाकराग्रैर्मृदङ्गधीरध्वनिं अन्वगच्छथ् । वन्यैरिदानीं महिषैस्तदम्भः शृङ्गाहतं क्रोशति दीर्घिकाणां ||</v>
      </c>
      <c r="B1449" s="4" t="s">
        <v>7</v>
      </c>
      <c r="C1449" s="4"/>
    </row>
    <row r="1450" spans="1:3" ht="24" customHeight="1">
      <c r="A1450" s="4" t="str">
        <f ca="1">IFERROR(__xludf.DUMMYFUNCTION("""COMPUTED_VALUE"""),"चित्रद्विपाः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||")</f>
        <v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||</v>
      </c>
      <c r="B1450" s="4" t="s">
        <v>2</v>
      </c>
      <c r="C1450" s="4"/>
    </row>
    <row r="1451" spans="1:3" ht="24" customHeight="1">
      <c r="A1451" s="4" t="str">
        <f ca="1">IFERROR(__xludf.DUMMYFUNCTION("""COMPUTED_VALUE"""),"स्तम्भेषु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||")</f>
        <v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||</v>
      </c>
      <c r="B1451" s="4" t="s">
        <v>2</v>
      </c>
      <c r="C1451" s="4"/>
    </row>
    <row r="1452" spans="1:3" ht="24" customHeight="1">
      <c r="A1452" s="4" t="str">
        <f ca="1">IFERROR(__xludf.DUMMYFUNCTION("""COMPUTED_VALUE"""),"कालान्तरश्यामसुधेषु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||")</f>
        <v>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||</v>
      </c>
      <c r="B1452" s="4" t="s">
        <v>17</v>
      </c>
      <c r="C1452" s="4"/>
    </row>
    <row r="1453" spans="1:3" ht="24" customHeight="1">
      <c r="A1453" s="4" t="str">
        <f ca="1">IFERROR(__xludf.DUMMYFUNCTION("""COMPUTED_VALUE"""),"आवर्ज्य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||")</f>
        <v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||</v>
      </c>
      <c r="B1453" s="4" t="s">
        <v>5</v>
      </c>
      <c r="C1453" s="4"/>
    </row>
    <row r="1454" spans="1:3" ht="24" customHeight="1">
      <c r="A1454" s="4" t="str">
        <f ca="1">IFERROR(__xludf.DUMMYFUNCTION("""COMPUTED_VALUE"""),"रात्रावनाविष्कृतदीपभासः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||")</f>
        <v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||</v>
      </c>
      <c r="B1454" s="4" t="s">
        <v>13</v>
      </c>
      <c r="C1454" s="4"/>
    </row>
    <row r="1455" spans="1:3" ht="24" customHeight="1">
      <c r="A1455" s="4" t="str">
        <f ca="1">IFERROR(__xludf.DUMMYFUNCTION("""COMPUTED_VALUE"""),"बलिक्रियावर्जितसैकतानि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||")</f>
        <v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||</v>
      </c>
      <c r="B1455" s="4" t="s">
        <v>1</v>
      </c>
      <c r="C1455" s="4"/>
    </row>
    <row r="1456" spans="1:3" ht="24" customHeight="1">
      <c r="A1456" s="4" t="str">
        <f ca="1">IFERROR(__xludf.DUMMYFUNCTION("""COMPUTED_VALUE"""),"तदर्हसीमां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||")</f>
        <v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||</v>
      </c>
      <c r="B1456" s="4" t="s">
        <v>2</v>
      </c>
      <c r="C1456" s="4"/>
    </row>
    <row r="1457" spans="1:3" ht="24" customHeight="1">
      <c r="A1457" s="4" t="str">
        <f ca="1">IFERROR(__xludf.DUMMYFUNCTION("""COMPUTED_VALUE"""),"तथेति तस्याः प्रणयं प्रतीतः प्रत्यग्रहीत्प्राग्रहरो रघूणां । पूरप्यभिव्यक्तमुखप्रसादा शरीरबन्धेन तिरोबभूव ||")</f>
        <v>तथेति तस्याः प्रणयं प्रतीतः प्रत्यग्रहीत्प्राग्रहरो रघूणां । पूरप्यभिव्यक्तमुखप्रसादा शरीरबन्धेन तिरोबभूव ||</v>
      </c>
      <c r="B1457" s="4" t="s">
        <v>4</v>
      </c>
      <c r="C1457" s="4"/>
    </row>
    <row r="1458" spans="1:3" ht="24" customHeight="1">
      <c r="A1458" s="4" t="str">
        <f ca="1">IFERROR(__xludf.DUMMYFUNCTION("""COMPUTED_VALUE"""),"तदद्भुतं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||")</f>
        <v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||</v>
      </c>
      <c r="B1458" s="4" t="s">
        <v>17</v>
      </c>
      <c r="C1458" s="4"/>
    </row>
    <row r="1459" spans="1:3" ht="24" customHeight="1">
      <c r="A1459" s="4" t="str">
        <f ca="1">IFERROR(__xludf.DUMMYFUNCTION("""COMPUTED_VALUE"""),"कुशावतीं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||")</f>
        <v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||</v>
      </c>
      <c r="B1459" s="4" t="s">
        <v>10</v>
      </c>
      <c r="C1459" s="4"/>
    </row>
    <row r="1460" spans="1:3" ht="24" customHeight="1">
      <c r="A1460" s="4" t="str">
        <f ca="1">IFERROR(__xludf.DUMMYFUNCTION("""COMPUTED_VALUE"""),"सा केतुमालोपवना बृहद्भिर्विहारशैलानुगतेव नागैः । सेना रथोदारगृहा प्रयाणे तस्याभवज्जङ्गमराजधानी ||")</f>
        <v>सा केतुमालोपवना बृहद्भिर्विहारशैलानुगतेव नागैः । सेना रथोदारगृहा प्रयाणे तस्याभवज्जङ्गमराजधानी ||</v>
      </c>
      <c r="B1460" s="4" t="s">
        <v>1</v>
      </c>
      <c r="C1460" s="4"/>
    </row>
    <row r="1461" spans="1:3" ht="24" customHeight="1">
      <c r="A1461" s="4" t="str">
        <f ca="1">IFERROR(__xludf.DUMMYFUNCTION("""COMPUTED_VALUE"""),"तेनातपत्रामलमण्डलेन प्रस्थापितः पूर्वनिवासभूमिं । बभौ बलौघः शशिनोदितेन वेलां उदन्वानिव नीयमानः ||")</f>
        <v>तेनातपत्रामलमण्डलेन प्रस्थापितः पूर्वनिवासभूमिं । बभौ बलौघः शशिनोदितेन वेलां उदन्वानिव नीयमानः ||</v>
      </c>
      <c r="B1461" s="4" t="s">
        <v>1</v>
      </c>
      <c r="C1461" s="4"/>
    </row>
    <row r="1462" spans="1:3" ht="24" customHeight="1">
      <c r="A1462" s="4" t="str">
        <f ca="1">IFERROR(__xludf.DUMMYFUNCTION("""COMPUTED_VALUE"""),"तस्य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||")</f>
        <v>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||</v>
      </c>
      <c r="B1462" s="4" t="s">
        <v>1</v>
      </c>
      <c r="C1462" s="4"/>
    </row>
    <row r="1463" spans="1:3" ht="24" customHeight="1">
      <c r="A1463" s="4" t="str">
        <f ca="1">IFERROR(__xludf.DUMMYFUNCTION("""COMPUTED_VALUE"""),"उद्यच्छमाना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||")</f>
        <v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||</v>
      </c>
      <c r="B1463" s="4" t="s">
        <v>0</v>
      </c>
      <c r="C1463" s="4"/>
    </row>
    <row r="1464" spans="1:3" ht="24" customHeight="1">
      <c r="A1464" s="4" t="str">
        <f ca="1">IFERROR(__xludf.DUMMYFUNCTION("""COMPUTED_VALUE"""),"तस्य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||")</f>
        <v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||</v>
      </c>
      <c r="B1464" s="4" t="s">
        <v>2</v>
      </c>
      <c r="C1464" s="4"/>
    </row>
    <row r="1465" spans="1:3" ht="24" customHeight="1">
      <c r="A1465" s="4" t="str">
        <f ca="1">IFERROR(__xludf.DUMMYFUNCTION("""COMPUTED_VALUE"""),"मार्गैषिणी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||")</f>
        <v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||</v>
      </c>
      <c r="B1465" s="4" t="s">
        <v>1</v>
      </c>
      <c r="C1465" s="4"/>
    </row>
    <row r="1466" spans="1:3" ht="24" customHeight="1">
      <c r="A1466" s="4" t="str">
        <f ca="1">IFERROR(__xludf.DUMMYFUNCTION("""COMPUTED_VALUE"""),"स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||")</f>
        <v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||</v>
      </c>
      <c r="B1466" s="4" t="s">
        <v>1</v>
      </c>
      <c r="C1466" s="4"/>
    </row>
    <row r="1467" spans="1:3" ht="24" customHeight="1">
      <c r="A1467" s="4" t="str">
        <f ca="1">IFERROR(__xludf.DUMMYFUNCTION("""COMPUTED_VALUE"""),"तीर्थे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||")</f>
        <v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||</v>
      </c>
      <c r="B1467" s="4" t="s">
        <v>13</v>
      </c>
      <c r="C1467" s="4"/>
    </row>
    <row r="1468" spans="1:3" ht="24" customHeight="1">
      <c r="A1468" s="4" t="str">
        <f ca="1">IFERROR(__xludf.DUMMYFUNCTION("""COMPUTED_VALUE"""),"स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||")</f>
        <v>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||</v>
      </c>
      <c r="B1468" s="4" t="s">
        <v>17</v>
      </c>
      <c r="C1468" s="4"/>
    </row>
    <row r="1469" spans="1:3" ht="24" customHeight="1">
      <c r="A1469" s="4" t="str">
        <f ca="1">IFERROR(__xludf.DUMMYFUNCTION("""COMPUTED_VALUE"""),"इत्यध्वनः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रघूणां ||")</f>
        <v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रघूणां ||</v>
      </c>
      <c r="B1469" s="4" t="s">
        <v>7</v>
      </c>
      <c r="C1469" s="4"/>
    </row>
    <row r="1470" spans="1:3" ht="24" customHeight="1">
      <c r="A1470" s="4" t="str">
        <f ca="1">IFERROR(__xludf.DUMMYFUNCTION("""COMPUTED_VALUE"""),"आधूय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||")</f>
        <v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||</v>
      </c>
      <c r="B1470" s="4" t="s">
        <v>5</v>
      </c>
      <c r="C1470" s="4"/>
    </row>
    <row r="1471" spans="1:3" ht="24" customHeight="1">
      <c r="A1471" s="4" t="str">
        <f ca="1">IFERROR(__xludf.DUMMYFUNCTION("""COMPUTED_VALUE"""),"अथोपशल्ये रिपुमग्नशल्यस्तस्याः पुरः पौर्सखः स राजा । कुलध्वजस्तानि चलध्वजानि निवेशयां आस बली बलानि ||")</f>
        <v>अथोपशल्ये रिपुमग्नशल्यस्तस्याः पुरः पौर्सखः स राजा । कुलध्वजस्तानि चलध्वजानि निवेशयां आस बली बलानि ||</v>
      </c>
      <c r="B1471" s="4" t="s">
        <v>1</v>
      </c>
      <c r="C1471" s="4"/>
    </row>
    <row r="1472" spans="1:3" ht="24" customHeight="1">
      <c r="A1472" s="4" t="str">
        <f ca="1">IFERROR(__xludf.DUMMYFUNCTION("""COMPUTED_VALUE"""),"तां शिल्पिसंघाः प्रभुणा नियुक्तास्तथागतां संभृतसाधनत्वाथ् । पुरं नवीचक्रुरपां विसर्गान्मेघा निदाघग्लपितां इवोर्वीं ||")</f>
        <v>तां शिल्पिसंघाः प्रभुणा नियुक्तास्तथागतां संभृतसाधनत्वाथ् । पुरं नवीचक्रुरपां विसर्गान्मेघा निदाघग्लपितां इवोर्वीं ||</v>
      </c>
      <c r="B1472" s="4" t="s">
        <v>4</v>
      </c>
      <c r="C1472" s="4"/>
    </row>
    <row r="1473" spans="1:3" ht="24" customHeight="1">
      <c r="A1473" s="4" t="str">
        <f ca="1">IFERROR(__xludf.DUMMYFUNCTION("""COMPUTED_VALUE"""),"ततः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||")</f>
        <v>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||</v>
      </c>
      <c r="B1473" s="4" t="s">
        <v>0</v>
      </c>
      <c r="C1473" s="4"/>
    </row>
    <row r="1474" spans="1:3" ht="24" customHeight="1">
      <c r="A1474" s="4" t="str">
        <f ca="1">IFERROR(__xludf.DUMMYFUNCTION("""COMPUTED_VALUE"""),"तस्याः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||")</f>
        <v>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||</v>
      </c>
      <c r="B1474" s="4" t="s">
        <v>5</v>
      </c>
      <c r="C1474" s="4"/>
    </row>
    <row r="1475" spans="1:3" ht="24" customHeight="1">
      <c r="A1475" s="4" t="str">
        <f ca="1">IFERROR(__xludf.DUMMYFUNCTION("""COMPUTED_VALUE"""),"सा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||")</f>
        <v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||</v>
      </c>
      <c r="B1475" s="4" t="s">
        <v>0</v>
      </c>
      <c r="C1475" s="4"/>
    </row>
    <row r="1476" spans="1:3" ht="24" customHeight="1">
      <c r="A1476" s="4" t="str">
        <f ca="1">IFERROR(__xludf.DUMMYFUNCTION("""COMPUTED_VALUE"""),"वसन्स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||")</f>
        <v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||</v>
      </c>
      <c r="B1476" s="4" t="s">
        <v>5</v>
      </c>
      <c r="C1476" s="4"/>
    </row>
    <row r="1477" spans="1:3" ht="24" customHeight="1">
      <c r="A1477" s="4" t="str">
        <f ca="1">IFERROR(__xludf.DUMMYFUNCTION("""COMPUTED_VALUE"""),"अथास्य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||")</f>
        <v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||</v>
      </c>
      <c r="B1477" s="4" t="s">
        <v>23</v>
      </c>
      <c r="C1477" s="4"/>
    </row>
    <row r="1478" spans="1:3" ht="24" customHeight="1">
      <c r="A1478" s="4" t="str">
        <f ca="1">IFERROR(__xludf.DUMMYFUNCTION("""COMPUTED_VALUE"""),"अगस्त्यचिह्नादयनात्समीपं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||")</f>
        <v>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||</v>
      </c>
      <c r="B1478" s="4" t="s">
        <v>3</v>
      </c>
      <c r="C1478" s="4"/>
    </row>
    <row r="1479" spans="1:3" ht="24" customHeight="1">
      <c r="A1479" s="4" t="str">
        <f ca="1">IFERROR(__xludf.DUMMYFUNCTION("""COMPUTED_VALUE"""),"प्रवृद्धतापो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||")</f>
        <v>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||</v>
      </c>
      <c r="B1479" s="4" t="s">
        <v>2</v>
      </c>
      <c r="C1479" s="4"/>
    </row>
    <row r="1480" spans="1:3" ht="24" customHeight="1">
      <c r="A1480" s="4" t="str">
        <f ca="1">IFERROR(__xludf.DUMMYFUNCTION("""COMPUTED_VALUE"""),"दिने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||")</f>
        <v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||</v>
      </c>
      <c r="B1480" s="4" t="s">
        <v>4</v>
      </c>
      <c r="C1480" s="4"/>
    </row>
    <row r="1481" spans="1:3" ht="24" customHeight="1">
      <c r="A1481" s="4" t="str">
        <f ca="1">IFERROR(__xludf.DUMMYFUNCTION("""COMPUTED_VALUE"""),"वनेषु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||")</f>
        <v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||</v>
      </c>
      <c r="B1481" s="4" t="s">
        <v>0</v>
      </c>
      <c r="C1481" s="4"/>
    </row>
    <row r="1482" spans="1:3" ht="24" customHeight="1">
      <c r="A1482" s="4" t="str">
        <f ca="1">IFERROR(__xludf.DUMMYFUNCTION("""COMPUTED_VALUE"""),"स्वेदानुविद्धार्द्रनखक्षताङ्के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||")</f>
        <v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||</v>
      </c>
      <c r="B1482" s="4" t="s">
        <v>2</v>
      </c>
      <c r="C1482" s="4"/>
    </row>
    <row r="1483" spans="1:3" ht="24" customHeight="1">
      <c r="A1483" s="4" t="str">
        <f ca="1">IFERROR(__xludf.DUMMYFUNCTION("""COMPUTED_VALUE"""),"यन्त्रप्रवाहैः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||")</f>
        <v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||</v>
      </c>
      <c r="B1483" s="4" t="s">
        <v>2</v>
      </c>
      <c r="C1483" s="4"/>
    </row>
    <row r="1484" spans="1:3" ht="24" customHeight="1">
      <c r="A1484" s="4" t="str">
        <f ca="1">IFERROR(__xludf.DUMMYFUNCTION("""COMPUTED_VALUE"""),"स्नानार्द्रमुक्तेष्वनुधूपवासं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||")</f>
        <v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||</v>
      </c>
      <c r="B1484" s="4" t="s">
        <v>1</v>
      </c>
      <c r="C1484" s="4"/>
    </row>
    <row r="1485" spans="1:3" ht="24" customHeight="1">
      <c r="A1485" s="4" t="str">
        <f ca="1">IFERROR(__xludf.DUMMYFUNCTION("""COMPUTED_VALUE"""),"आपिञ्जरा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||")</f>
        <v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||</v>
      </c>
      <c r="B1485" s="4" t="s">
        <v>5</v>
      </c>
      <c r="C1485" s="4"/>
    </row>
    <row r="1486" spans="1:3" ht="24" customHeight="1">
      <c r="A1486" s="4" t="str">
        <f ca="1">IFERROR(__xludf.DUMMYFUNCTION("""COMPUTED_VALUE"""),"मनोज्ञगन्धं सहकारभङ्गं पुराणसीधुं नवपाटलं च । संबध्नता काइजनेषु दोषाः सर्वे निदाघावधिना प्रमृष्टाः ||")</f>
        <v>मनोज्ञगन्धं सहकारभङ्गं पुराणसीधुं नवपाटलं च । संबध्नता काइजनेषु दोषाः सर्वे निदाघावधिना प्रमृष्टाः ||</v>
      </c>
      <c r="B1486" s="4" t="s">
        <v>23</v>
      </c>
      <c r="C1486" s="4"/>
    </row>
    <row r="1487" spans="1:3" ht="24" customHeight="1">
      <c r="A1487" s="4" t="str">
        <f ca="1">IFERROR(__xludf.DUMMYFUNCTION("""COMPUTED_VALUE"""),"जनस्य तस्मिन्समये विगाढे बभूवतुर्द्वौ सविशेषकान्तौ । तापापनोदक्षमपाद स चोदयस्थो नृपतिः शशी च ||")</f>
        <v>जनस्य तस्मिन्समये विगाढे बभूवतुर्द्वौ सविशेषकान्तौ । तापापनोदक्षमपाद स चोदयस्थो नृपतिः शशी च ||</v>
      </c>
      <c r="B1487" s="4" t="s">
        <v>16</v>
      </c>
      <c r="C1487" s="4"/>
    </row>
    <row r="1488" spans="1:3" ht="24" customHeight="1">
      <c r="A1488" s="4" t="str">
        <f ca="1">IFERROR(__xludf.DUMMYFUNCTION("""COMPUTED_VALUE"""),"अथोर्मिलोलोन्मदराजहंसे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||")</f>
        <v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||</v>
      </c>
      <c r="B1488" s="4" t="s">
        <v>4</v>
      </c>
      <c r="C1488" s="4"/>
    </row>
    <row r="1489" spans="1:3" ht="24" customHeight="1">
      <c r="A1489" s="4" t="str">
        <f ca="1">IFERROR(__xludf.DUMMYFUNCTION("""COMPUTED_VALUE"""),"स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||")</f>
        <v>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||</v>
      </c>
      <c r="B1489" s="4" t="s">
        <v>4</v>
      </c>
      <c r="C1489" s="4"/>
    </row>
    <row r="1490" spans="1:3" ht="24" customHeight="1">
      <c r="A1490" s="4" t="str">
        <f ca="1">IFERROR(__xludf.DUMMYFUNCTION("""COMPUTED_VALUE"""),"सा तीरसोपानपथावतारादन्योन्यकेयूरविघट्टिनीभिः । सनूपुरक्षोभपदाभिरासीदुद्विग्नहंसा सरिदङ्गनाभिः ||")</f>
        <v>सा तीरसोपानपथावतारादन्योन्यकेयूरविघट्टिनीभिः । सनूपुरक्षोभपदाभिरासीदुद्विग्नहंसा सरिदङ्गनाभिः ||</v>
      </c>
      <c r="B1490" s="4" t="s">
        <v>6</v>
      </c>
      <c r="C1490" s="4"/>
    </row>
    <row r="1491" spans="1:3" ht="24" customHeight="1">
      <c r="A1491" s="4" t="str">
        <f ca="1">IFERROR(__xludf.DUMMYFUNCTION("""COMPUTED_VALUE"""),"परस्पराभ्युक्षणतत्पराणां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||")</f>
        <v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||</v>
      </c>
      <c r="B1491" s="4" t="s">
        <v>13</v>
      </c>
      <c r="C1491" s="4"/>
    </row>
    <row r="1492" spans="1:3" ht="24" customHeight="1">
      <c r="A1492" s="4" t="str">
        <f ca="1">IFERROR(__xludf.DUMMYFUNCTION("""COMPUTED_VALUE"""),"पश्यावरोधैः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||")</f>
        <v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||</v>
      </c>
      <c r="B1492" s="4" t="s">
        <v>24</v>
      </c>
      <c r="C1492" s="4"/>
    </row>
    <row r="1493" spans="1:3" ht="24" customHeight="1">
      <c r="A1493" s="4" t="str">
        <f ca="1">IFERROR(__xludf.DUMMYFUNCTION("""COMPUTED_VALUE"""),"विलुप्तं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||")</f>
        <v>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||</v>
      </c>
      <c r="B1493" s="4" t="s">
        <v>18</v>
      </c>
      <c r="C1493" s="4"/>
    </row>
    <row r="1494" spans="1:3" ht="24" customHeight="1">
      <c r="A1494" s="4" t="str">
        <f ca="1">IFERROR(__xludf.DUMMYFUNCTION("""COMPUTED_VALUE"""),"एता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||")</f>
        <v>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||</v>
      </c>
      <c r="B1494" s="4" t="s">
        <v>2</v>
      </c>
      <c r="C1494" s="4"/>
    </row>
    <row r="1495" spans="1:3" ht="24" customHeight="1">
      <c r="A1495" s="4" t="str">
        <f ca="1">IFERROR(__xludf.DUMMYFUNCTION("""COMPUTED_VALUE"""),"अमी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||")</f>
        <v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||</v>
      </c>
      <c r="B1495" s="4" t="s">
        <v>1</v>
      </c>
      <c r="C1495" s="4"/>
    </row>
    <row r="1496" spans="1:3" ht="24" customHeight="1">
      <c r="A1496" s="4" t="str">
        <f ca="1">IFERROR(__xludf.DUMMYFUNCTION("""COMPUTED_VALUE"""),"आसां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||")</f>
        <v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||</v>
      </c>
      <c r="B1496" s="4" t="s">
        <v>0</v>
      </c>
      <c r="C1496" s="4"/>
    </row>
    <row r="1497" spans="1:3" ht="24" customHeight="1">
      <c r="A1497" s="4" t="str">
        <f ca="1">IFERROR(__xludf.DUMMYFUNCTION("""COMPUTED_VALUE"""),"आवर्तशोभा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||")</f>
        <v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||</v>
      </c>
      <c r="B1497" s="4" t="s">
        <v>1</v>
      </c>
      <c r="C1497" s="4"/>
    </row>
    <row r="1498" spans="1:3" ht="24" customHeight="1">
      <c r="A1498" s="4" t="str">
        <f ca="1">IFERROR(__xludf.DUMMYFUNCTION("""COMPUTED_VALUE"""),"तीरस्थलीबर्हिभिरुत्कलापैः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||")</f>
        <v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||</v>
      </c>
      <c r="B1498" s="4" t="s">
        <v>5</v>
      </c>
      <c r="C1498" s="4"/>
    </row>
    <row r="1499" spans="1:3" ht="24" customHeight="1">
      <c r="A1499" s="4" t="str">
        <f ca="1">IFERROR(__xludf.DUMMYFUNCTION("""COMPUTED_VALUE"""),"संदष्टवस्त्रेष्वबलानितम्बेष्विन्दुप्रकाशान्तरितोडुकल्पाः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||")</f>
        <v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||</v>
      </c>
      <c r="B1499" s="4" t="s">
        <v>9</v>
      </c>
      <c r="C1499" s="4"/>
    </row>
    <row r="1500" spans="1:3" ht="24" customHeight="1">
      <c r="A1500" s="4" t="str">
        <f ca="1">IFERROR(__xludf.DUMMYFUNCTION("""COMPUTED_VALUE"""),"एताः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||")</f>
        <v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||</v>
      </c>
      <c r="B1500" s="4" t="s">
        <v>2</v>
      </c>
      <c r="C1500" s="4"/>
    </row>
    <row r="1501" spans="1:3" ht="24" customHeight="1">
      <c r="A1501" s="4" t="str">
        <f ca="1">IFERROR(__xludf.DUMMYFUNCTION("""COMPUTED_VALUE"""),"उद्बद्धकेशश्च्युतपत्त्ररेखो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||")</f>
        <v>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||</v>
      </c>
      <c r="B1501" s="4" t="s">
        <v>13</v>
      </c>
      <c r="C1501" s="4"/>
    </row>
    <row r="1502" spans="1:3" ht="24" customHeight="1">
      <c r="A1502" s="4" t="str">
        <f ca="1">IFERROR(__xludf.DUMMYFUNCTION("""COMPUTED_VALUE"""),"स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||")</f>
        <v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||</v>
      </c>
      <c r="B1502" s="4" t="s">
        <v>0</v>
      </c>
      <c r="C1502" s="4"/>
    </row>
    <row r="1503" spans="1:3" ht="24" customHeight="1">
      <c r="A1503" s="4" t="str">
        <f ca="1">IFERROR(__xludf.DUMMYFUNCTION("""COMPUTED_VALUE"""),"ततो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||")</f>
        <v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||</v>
      </c>
      <c r="B1503" s="4" t="s">
        <v>14</v>
      </c>
      <c r="C1503" s="4"/>
    </row>
    <row r="1504" spans="1:3" ht="24" customHeight="1">
      <c r="A1504" s="4" t="str">
        <f ca="1">IFERROR(__xludf.DUMMYFUNCTION("""COMPUTED_VALUE"""),"वर्णोदकैः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||")</f>
        <v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||</v>
      </c>
      <c r="B1504" s="4" t="s">
        <v>3</v>
      </c>
      <c r="C1504" s="4"/>
    </row>
    <row r="1505" spans="1:3" ht="24" customHeight="1">
      <c r="A1505" s="4" t="str">
        <f ca="1">IFERROR(__xludf.DUMMYFUNCTION("""COMPUTED_VALUE"""),"तेनावरोधप्रमदासखेन विगाहनानेन सरिद्वरां तां । आकाशगङ्गारतिरप्सरोभिर्वृतो मरुत्वाननुयातलीलः ||")</f>
        <v>तेनावरोधप्रमदासखेन विगाहनानेन सरिद्वरां तां । आकाशगङ्गारतिरप्सरोभिर्वृतो मरुत्वाननुयातलीलः ||</v>
      </c>
      <c r="B1505" s="4" t="s">
        <v>11</v>
      </c>
      <c r="C1505" s="4"/>
    </row>
    <row r="1506" spans="1:3" ht="24" customHeight="1">
      <c r="A1506" s="4" t="str">
        <f ca="1">IFERROR(__xludf.DUMMYFUNCTION("""COMPUTED_VALUE"""),"यत्कुम्भयोनेरदिगम्य रामः कुशाय राज्येन समं दिदेश । तदस्य जैत्राभरणं विहर्तुरज्ञातपातं सलिले ममज्ज ||")</f>
        <v>यत्कुम्भयोनेरदिगम्य रामः कुशाय राज्येन समं दिदेश । तदस्य जैत्राभरणं विहर्तुरज्ञातपातं सलिले ममज्ज ||</v>
      </c>
      <c r="B1506" s="4" t="s">
        <v>3</v>
      </c>
      <c r="C1506" s="4"/>
    </row>
    <row r="1507" spans="1:3" ht="24" customHeight="1">
      <c r="A1507" s="4" t="str">
        <f ca="1">IFERROR(__xludf.DUMMYFUNCTION("""COMPUTED_VALUE"""),"स्नात्वा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||")</f>
        <v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||</v>
      </c>
      <c r="B1507" s="4" t="s">
        <v>8</v>
      </c>
      <c r="C1507" s="4"/>
    </row>
    <row r="1508" spans="1:3" ht="24" customHeight="1">
      <c r="A1508" s="4" t="str">
        <f ca="1">IFERROR(__xludf.DUMMYFUNCTION("""COMPUTED_VALUE"""),"जयश्रियः संवननं यतस्तदामुक्तपूर्वं गुरुणा च यस्माथ् । सेहेऽस्य न भ्रंशं अतो न लोभात्स तुल्यपुष्पाभरणो हि धीरः ||")</f>
        <v>जयश्रियः संवननं यतस्तदामुक्तपूर्वं गुरुणा च यस्माथ् । सेहेऽस्य न भ्रंशं अतो न लोभात्स तुल्यपुष्पाभरणो हि धीरः ||</v>
      </c>
      <c r="B1508" s="4" t="s">
        <v>0</v>
      </c>
      <c r="C1508" s="4"/>
    </row>
    <row r="1509" spans="1:3" ht="24" customHeight="1">
      <c r="A1509" s="4" t="str">
        <f ca="1">IFERROR(__xludf.DUMMYFUNCTION("""COMPUTED_VALUE"""),"ततः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||")</f>
        <v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||</v>
      </c>
      <c r="B1509" s="4" t="s">
        <v>17</v>
      </c>
      <c r="C1509" s="4"/>
    </row>
    <row r="1510" spans="1:3" ht="24" customHeight="1">
      <c r="A1510" s="4" t="str">
        <f ca="1">IFERROR(__xludf.DUMMYFUNCTION("""COMPUTED_VALUE"""),"कृतः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तथ् ||")</f>
        <v>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तथ् ||</v>
      </c>
      <c r="B1510" s="4" t="s">
        <v>2</v>
      </c>
      <c r="C1510" s="4"/>
    </row>
    <row r="1511" spans="1:3" ht="24" customHeight="1">
      <c r="A1511" s="4" t="str">
        <f ca="1">IFERROR(__xludf.DUMMYFUNCTION("""COMPUTED_VALUE"""),"ततः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||")</f>
        <v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||</v>
      </c>
      <c r="B1511" s="4" t="s">
        <v>0</v>
      </c>
      <c r="C1511" s="4"/>
    </row>
    <row r="1512" spans="1:3" ht="24" customHeight="1">
      <c r="A1512" s="4" t="str">
        <f ca="1">IFERROR(__xludf.DUMMYFUNCTION("""COMPUTED_VALUE"""),"तस्मिन्ह्रदः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||")</f>
        <v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||</v>
      </c>
      <c r="B1512" s="4" t="s">
        <v>18</v>
      </c>
      <c r="C1512" s="4"/>
    </row>
    <row r="1513" spans="1:3" ht="24" customHeight="1">
      <c r="A1513" s="4" t="str">
        <f ca="1">IFERROR(__xludf.DUMMYFUNCTION("""COMPUTED_VALUE"""),"तस्मात्समुद्रादिव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||")</f>
        <v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||</v>
      </c>
      <c r="B1513" s="4" t="s">
        <v>3</v>
      </c>
      <c r="C1513" s="4"/>
    </row>
    <row r="1514" spans="1:3" ht="24" customHeight="1">
      <c r="A1514" s="4" t="str">
        <f ca="1">IFERROR(__xludf.DUMMYFUNCTION("""COMPUTED_VALUE"""),"विभूषणप्रत्युपहारहस्तं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||")</f>
        <v>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||</v>
      </c>
      <c r="B1514" s="4" t="s">
        <v>2</v>
      </c>
      <c r="C1514" s="4"/>
    </row>
    <row r="1515" spans="1:3" ht="24" customHeight="1">
      <c r="A1515" s="4" t="str">
        <f ca="1">IFERROR(__xludf.DUMMYFUNCTION("""COMPUTED_VALUE"""),"त्रैलोक्यनाथप्रभवं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||")</f>
        <v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||</v>
      </c>
      <c r="B1515" s="4" t="s">
        <v>13</v>
      </c>
      <c r="C1515" s="4"/>
    </row>
    <row r="1516" spans="1:3" ht="24" customHeight="1">
      <c r="A1516" s="4" t="str">
        <f ca="1">IFERROR(__xludf.DUMMYFUNCTION("""COMPUTED_VALUE"""),"अवैमि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||")</f>
        <v>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||</v>
      </c>
      <c r="B1516" s="4" t="s">
        <v>2</v>
      </c>
      <c r="C1516" s="4"/>
    </row>
    <row r="1517" spans="1:3" ht="24" customHeight="1">
      <c r="A1517" s="4" t="str">
        <f ca="1">IFERROR(__xludf.DUMMYFUNCTION("""COMPUTED_VALUE"""),"कराभिघातोत्थितकन्दुकेयं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||")</f>
        <v>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||</v>
      </c>
      <c r="B1517" s="4" t="s">
        <v>5</v>
      </c>
      <c r="C1517" s="4"/>
    </row>
    <row r="1518" spans="1:3" ht="24" customHeight="1">
      <c r="A1518" s="4" t="str">
        <f ca="1">IFERROR(__xludf.DUMMYFUNCTION("""COMPUTED_VALUE"""),"तदेतदाजानुविलम्बिना ते ज्याघातरेखाकिण लाञ्छनेन । भुजेन रक्षापरिघेण भूमेरुपैतु योगं पुनरंसलेन ||")</f>
        <v>तदेतदाजानुविलम्बिना ते ज्याघातरेखाकिण लाञ्छनेन । भुजेन रक्षापरिघेण भूमेरुपैतु योगं पुनरंसलेन ||</v>
      </c>
      <c r="B1518" s="4" t="s">
        <v>1</v>
      </c>
      <c r="C1518" s="4"/>
    </row>
    <row r="1519" spans="1:3" ht="24" customHeight="1">
      <c r="A1519" s="4" t="str">
        <f ca="1">IFERROR(__xludf.DUMMYFUNCTION("""COMPUTED_VALUE"""),"इमां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||")</f>
        <v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||</v>
      </c>
      <c r="B1519" s="4" t="s">
        <v>2</v>
      </c>
      <c r="C1519" s="4"/>
    </row>
    <row r="1520" spans="1:3" ht="24" customHeight="1">
      <c r="A1520" s="4" t="str">
        <f ca="1">IFERROR(__xludf.DUMMYFUNCTION("""COMPUTED_VALUE"""),"इत्यूचिवानुपहृताभरणः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||")</f>
        <v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||</v>
      </c>
      <c r="B1520" s="4" t="s">
        <v>1</v>
      </c>
      <c r="C1520" s="4"/>
    </row>
    <row r="1521" spans="1:3" ht="24" customHeight="1">
      <c r="A1521" s="4" t="str">
        <f ca="1">IFERROR(__xludf.DUMMYFUNCTION("""COMPUTED_VALUE"""),"तस्याः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||")</f>
        <v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||</v>
      </c>
      <c r="B1521" s="4" t="s">
        <v>28</v>
      </c>
      <c r="C1521" s="4"/>
    </row>
    <row r="1522" spans="1:3" ht="24" customHeight="1">
      <c r="A1522" s="4" t="str">
        <f ca="1">IFERROR(__xludf.DUMMYFUNCTION("""COMPUTED_VALUE"""),"इत्थं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||")</f>
        <v>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||</v>
      </c>
      <c r="B1522" s="4" t="s">
        <v>18</v>
      </c>
      <c r="C1522" s="4"/>
    </row>
    <row r="1523" spans="1:3" ht="24" customHeight="1">
      <c r="A1523" s="4" t="str">
        <f ca="1">IFERROR(__xludf.DUMMYFUNCTION("""COMPUTED_VALUE"""),"अतिथिं नाम काकुत्स्थात्पुत्रं आपकुमुद्वती । पश्चिमाद्यामिनीयामात्प्रसादं इव चेतना ||")</f>
        <v>अतिथिं नाम काकुत्स्थात्पुत्रं आपकुमुद्वती । पश्चिमाद्यामिनीयामात्प्रसादं इव चेतना ||</v>
      </c>
      <c r="B1523" s="4" t="s">
        <v>1</v>
      </c>
      <c r="C1523" s="4"/>
    </row>
    <row r="1524" spans="1:3" ht="24" customHeight="1">
      <c r="A1524" s="4" t="str">
        <f ca="1">IFERROR(__xludf.DUMMYFUNCTION("""COMPUTED_VALUE"""),"स पितुः पितृमान्वंशं पुत्रं आपकुमुद्वती । अपुनात्सवितेवोभौ मार्गावुत्तरदक्षिणौ ||")</f>
        <v>स पितुः पितृमान्वंशं पुत्रं आपकुमुद्वती । अपुनात्सवितेवोभौ मार्गावुत्तरदक्षिणौ ||</v>
      </c>
      <c r="B1524" s="4" t="s">
        <v>7</v>
      </c>
      <c r="C1524" s="4"/>
    </row>
    <row r="1525" spans="1:3" ht="24" customHeight="1">
      <c r="A1525" s="4" t="str">
        <f ca="1">IFERROR(__xludf.DUMMYFUNCTION("""COMPUTED_VALUE"""),"तं आदौ कुलविद्यानां अर्थं अर्थविदां वरः । पश्चात्पार्थिवकन्यानां पाणिं अग्राहयत्पिता ||")</f>
        <v>तं आदौ कुलविद्यानां अर्थं अर्थविदां वरः । पश्चात्पार्थिवकन्यानां पाणिं अग्राहयत्पिता ||</v>
      </c>
      <c r="B1525" s="4" t="s">
        <v>2</v>
      </c>
      <c r="C1525" s="4"/>
    </row>
    <row r="1526" spans="1:3" ht="24" customHeight="1">
      <c r="A1526" s="4" t="str">
        <f ca="1">IFERROR(__xludf.DUMMYFUNCTION("""COMPUTED_VALUE"""),"जात्यस्तेनाभिजातेन शूरः शौर्यवता कुशः । अमन्यतैकं आत्मानं अनेकं वशिना वशी ||")</f>
        <v>जात्यस्तेनाभिजातेन शूरः शौर्यवता कुशः । अमन्यतैकं आत्मानं अनेकं वशिना वशी ||</v>
      </c>
      <c r="B1526" s="4" t="s">
        <v>8</v>
      </c>
      <c r="C1526" s="4"/>
    </row>
    <row r="1527" spans="1:3" ht="24" customHeight="1">
      <c r="A1527" s="4" t="str">
        <f ca="1">IFERROR(__xludf.DUMMYFUNCTION("""COMPUTED_VALUE"""),"स कुलोचितं इन्द्रस्य साहायकं उपेयिवान् । जघान समरे दैत्यं दुर्जयं तेन सोऽवधि ||")</f>
        <v>स कुलोचितं इन्द्रस्य साहायकं उपेयिवान् । जघान समरे दैत्यं दुर्जयं तेन सोऽवधि ||</v>
      </c>
      <c r="B1527" s="4" t="s">
        <v>20</v>
      </c>
      <c r="C1527" s="4"/>
    </row>
    <row r="1528" spans="1:3" ht="24" customHeight="1">
      <c r="A1528" s="4" t="str">
        <f ca="1">IFERROR(__xludf.DUMMYFUNCTION("""COMPUTED_VALUE"""),"तं स्वसा नागराजस्य कुमुदस्य कुमुद्वती । अन्वगात्कुमुदानन्दं शशाङ्कं इव क्ॐउदी ||")</f>
        <v>तं स्वसा नागराजस्य कुमुदस्य कुमुद्वती । अन्वगात्कुमुदानन्दं शशाङ्कं इव क्ॐउदी ||</v>
      </c>
      <c r="B1528" s="4" t="s">
        <v>17</v>
      </c>
      <c r="C1528" s="4"/>
    </row>
    <row r="1529" spans="1:3" ht="24" customHeight="1">
      <c r="A1529" s="4" t="str">
        <f ca="1">IFERROR(__xludf.DUMMYFUNCTION("""COMPUTED_VALUE"""),"तयोर्दिवस्पतेरासीदेकः सिंहासनार्धबाक् । द्वितीयापि सखी शच्याः पारिजातांशभागिनी ||")</f>
        <v>तयोर्दिवस्पतेरासीदेकः सिंहासनार्धबाक् । द्वितीयापि सखी शच्याः पारिजातांशभागिनी ||</v>
      </c>
      <c r="B1529" s="4" t="s">
        <v>1</v>
      </c>
      <c r="C1529" s="4"/>
    </row>
    <row r="1530" spans="1:3" ht="24" customHeight="1">
      <c r="A1530" s="4" t="str">
        <f ca="1">IFERROR(__xludf.DUMMYFUNCTION("""COMPUTED_VALUE"""),"तदात्मसंभवं राज्ये मन्त्रिवृद्दाः समादधुः । स्मरन्तः पश्चिमां आज्ञां भर्तुः संग्रामयायिनः ||")</f>
        <v>तदात्मसंभवं राज्ये मन्त्रिवृद्दाः समादधुः । स्मरन्तः पश्चिमां आज्ञां भर्तुः संग्रामयायिनः ||</v>
      </c>
      <c r="B1530" s="4" t="s">
        <v>1</v>
      </c>
      <c r="C1530" s="4"/>
    </row>
    <row r="1531" spans="1:3" ht="24" customHeight="1">
      <c r="A1531" s="4" t="str">
        <f ca="1">IFERROR(__xludf.DUMMYFUNCTION("""COMPUTED_VALUE"""),"ते तस्य कल्पयां आसुरभिषेकाय शिल्पिभिः । विमानं नवं उद्वेदि चतुःस्तम्भप्रतिष्टं ||")</f>
        <v>ते तस्य कल्पयां आसुरभिषेकाय शिल्पिभिः । विमानं नवं उद्वेदि चतुःस्तम्भप्रतिष्टं ||</v>
      </c>
      <c r="B1531" s="4" t="s">
        <v>22</v>
      </c>
      <c r="C1531" s="4"/>
    </row>
    <row r="1532" spans="1:3" ht="24" customHeight="1">
      <c r="A1532" s="4" t="str">
        <f ca="1">IFERROR(__xludf.DUMMYFUNCTION("""COMPUTED_VALUE"""),"तत्रैनं हेमकुम्भेषु संभृतैस्तीर्थवारिभिः । उपतस्थुः प्रकृतयो भद्रपीठोपवेशितं ||")</f>
        <v>तत्रैनं हेमकुम्भेषु संभृतैस्तीर्थवारिभिः । उपतस्थुः प्रकृतयो भद्रपीठोपवेशितं ||</v>
      </c>
      <c r="B1532" s="4" t="s">
        <v>2</v>
      </c>
      <c r="C1532" s="4"/>
    </row>
    <row r="1533" spans="1:3" ht="24" customHeight="1">
      <c r="A1533" s="4" t="str">
        <f ca="1">IFERROR(__xludf.DUMMYFUNCTION("""COMPUTED_VALUE"""),"नदध्बिः स्निग्धगम्भीरं तूर्यैराहतपुष्करैः । अन्वमीयत कल्याणं तस्याविच्छिन्नसंतति ||")</f>
        <v>नदध्बिः स्निग्धगम्भीरं तूर्यैराहतपुष्करैः । अन्वमीयत कल्याणं तस्याविच्छिन्नसंतति ||</v>
      </c>
      <c r="B1533" s="4" t="s">
        <v>2</v>
      </c>
      <c r="C1533" s="4"/>
    </row>
    <row r="1534" spans="1:3" ht="24" customHeight="1">
      <c r="A1534" s="4" t="str">
        <f ca="1">IFERROR(__xludf.DUMMYFUNCTION("""COMPUTED_VALUE"""),"दूर्वायवाङ्कुरप्लक्षत्वगभिन्नपुटोत्तरान् । ज्ञातिवृद्धैः प्रयुक्तान्स भेजे नीराजनाविधीन् ||")</f>
        <v>दूर्वायवाङ्कुरप्लक्षत्वगभिन्नपुटोत्तरान् । ज्ञातिवृद्धैः प्रयुक्तान्स भेजे नीराजनाविधीन् ||</v>
      </c>
      <c r="B1534" s="4" t="s">
        <v>20</v>
      </c>
      <c r="C1534" s="4"/>
    </row>
    <row r="1535" spans="1:3" ht="24" customHeight="1">
      <c r="A1535" s="4" t="str">
        <f ca="1">IFERROR(__xludf.DUMMYFUNCTION("""COMPUTED_VALUE"""),"पुरोहितपुरोगास्तं जिष्णुं जैत्रैरथर्वभिः । उपचक्रमिरे पूर्वं अभिषेक्तुं द्विजातयः ||")</f>
        <v>पुरोहितपुरोगास्तं जिष्णुं जैत्रैरथर्वभिः । उपचक्रमिरे पूर्वं अभिषेक्तुं द्विजातयः ||</v>
      </c>
      <c r="B1535" s="4" t="s">
        <v>5</v>
      </c>
      <c r="C1535" s="4"/>
    </row>
    <row r="1536" spans="1:3" ht="24" customHeight="1">
      <c r="A1536" s="4" t="str">
        <f ca="1">IFERROR(__xludf.DUMMYFUNCTION("""COMPUTED_VALUE"""),"तस्यौघमहती मूर्ध्नि निपतन्ती व्यरोचत । सशब्दं अभिषेकश्रीर्गङ्गेव त्रिपुरद्विषः ||")</f>
        <v>तस्यौघमहती मूर्ध्नि निपतन्ती व्यरोचत । सशब्दं अभिषेकश्रीर्गङ्गेव त्रिपुरद्विषः ||</v>
      </c>
      <c r="B1536" s="4" t="s">
        <v>13</v>
      </c>
      <c r="C1536" s="4"/>
    </row>
    <row r="1537" spans="1:3" ht="24" customHeight="1">
      <c r="A1537" s="4" t="str">
        <f ca="1">IFERROR(__xludf.DUMMYFUNCTION("""COMPUTED_VALUE"""),"स्तूयमानः क्षणे तस्मिन्नलक्ष्यत स बन्दिभिः । प्रवृद्ध इव प्रजन्यः चातकैरभिनन्दितः ||")</f>
        <v>स्तूयमानः क्षणे तस्मिन्नलक्ष्यत स बन्दिभिः । प्रवृद्ध इव प्रजन्यः चातकैरभिनन्दितः ||</v>
      </c>
      <c r="B1537" s="4" t="s">
        <v>2</v>
      </c>
      <c r="C1537" s="4"/>
    </row>
    <row r="1538" spans="1:3" ht="24" customHeight="1">
      <c r="A1538" s="4" t="str">
        <f ca="1">IFERROR(__xludf.DUMMYFUNCTION("""COMPUTED_VALUE"""),"तस्य सन्मन्त्रपूताभिः स्नानं अद्भिः प्रतीच्छतः । ववृधे वैद्युतस्याग्नेर्वृष्टिसेकादिव द्युतिः ||")</f>
        <v>तस्य सन्मन्त्रपूताभिः स्नानं अद्भिः प्रतीच्छतः । ववृधे वैद्युतस्याग्नेर्वृष्टिसेकादिव द्युतिः ||</v>
      </c>
      <c r="B1538" s="4" t="s">
        <v>2</v>
      </c>
      <c r="C1538" s="4"/>
    </row>
    <row r="1539" spans="1:3" ht="24" customHeight="1">
      <c r="A1539" s="4" t="str">
        <f ca="1">IFERROR(__xludf.DUMMYFUNCTION("""COMPUTED_VALUE"""),"स तावदभिषेकान्ते स्नातकेभ्यो ददौ वसु । यावत्तेषां समाप्येरन्यज्ञाः पर्याप्तदक्षिणाः ||")</f>
        <v>स तावदभिषेकान्ते स्नातकेभ्यो ददौ वसु । यावत्तेषां समाप्येरन्यज्ञाः पर्याप्तदक्षिणाः ||</v>
      </c>
      <c r="B1539" s="4" t="s">
        <v>7</v>
      </c>
      <c r="C1539" s="4"/>
    </row>
    <row r="1540" spans="1:3" ht="24" customHeight="1">
      <c r="A1540" s="4" t="str">
        <f ca="1">IFERROR(__xludf.DUMMYFUNCTION("""COMPUTED_VALUE"""),"ते प्रीतमनसस्तस्मै यां आशिषं उदीरयन् । सा तस्य कर्मनिर्वृत्तैर्दूरं पश्चात्कृता फलैः ||")</f>
        <v>ते प्रीतमनसस्तस्मै यां आशिषं उदीरयन् । सा तस्य कर्मनिर्वृत्तैर्दूरं पश्चात्कृता फलैः ||</v>
      </c>
      <c r="B1540" s="4" t="s">
        <v>11</v>
      </c>
      <c r="C1540" s="4"/>
    </row>
    <row r="1541" spans="1:3" ht="24" customHeight="1">
      <c r="A1541" s="4" t="str">
        <f ca="1">IFERROR(__xludf.DUMMYFUNCTION("""COMPUTED_VALUE"""),"बन्धच्छेदं स बद्धानां वधार्हाणां अवध्यतां । धुर्याणां च धुरो मोक्षं अदोहं चादिषद्गवां ||")</f>
        <v>बन्धच्छेदं स बद्धानां वधार्हाणां अवध्यतां । धुर्याणां च धुरो मोक्षं अदोहं चादिषद्गवां ||</v>
      </c>
      <c r="B1541" s="4" t="s">
        <v>4</v>
      </c>
      <c r="C1541" s="4"/>
    </row>
    <row r="1542" spans="1:3" ht="24" customHeight="1">
      <c r="A1542" s="4" t="str">
        <f ca="1">IFERROR(__xludf.DUMMYFUNCTION("""COMPUTED_VALUE"""),"क्रीडापतत्रिणोऽप्यस्य पञ्जरस्थाः शुकादयः । लब्धमोक्षास्तदादेशाद्यथेष्टगतयोऽभवन् ||")</f>
        <v>क्रीडापतत्रिणोऽप्यस्य पञ्जरस्थाः शुकादयः । लब्धमोक्षास्तदादेशाद्यथेष्टगतयोऽभवन् ||</v>
      </c>
      <c r="B1542" s="4" t="s">
        <v>4</v>
      </c>
      <c r="C1542" s="4"/>
    </row>
    <row r="1543" spans="1:3" ht="24" customHeight="1">
      <c r="A1543" s="4" t="str">
        <f ca="1">IFERROR(__xludf.DUMMYFUNCTION("""COMPUTED_VALUE"""),"ततः कक्षान्तरन्यस्तं गजदन्तासनं शुचि । सोत्तरच्छदं अध्यास्त नेपथ्यग्रहणाय सः ||")</f>
        <v>ततः कक्षान्तरन्यस्तं गजदन्तासनं शुचि । सोत्तरच्छदं अध्यास्त नेपथ्यग्रहणाय सः ||</v>
      </c>
      <c r="B1543" s="4" t="s">
        <v>18</v>
      </c>
      <c r="C1543" s="4"/>
    </row>
    <row r="1544" spans="1:3" ht="24" customHeight="1">
      <c r="A1544" s="4" t="str">
        <f ca="1">IFERROR(__xludf.DUMMYFUNCTION("""COMPUTED_VALUE"""),"तं धूपाश्यानकेशान्तं तोयनिर्णिक्तपाणयः । आकल्पसाधनैस्तैस्तैरुपसेदुः प्रसाधकाः ||")</f>
        <v>तं धूपाश्यानकेशान्तं तोयनिर्णिक्तपाणयः । आकल्पसाधनैस्तैस्तैरुपसेदुः प्रसाधकाः ||</v>
      </c>
      <c r="B1544" s="4" t="s">
        <v>19</v>
      </c>
      <c r="C1544" s="4"/>
    </row>
    <row r="1545" spans="1:3" ht="24" customHeight="1">
      <c r="A1545" s="4" t="str">
        <f ca="1">IFERROR(__xludf.DUMMYFUNCTION("""COMPUTED_VALUE"""),"तेऽ स्य मुक्तागुणोन्नद्धं मौलिं अन्तर्गतस्रजं । प्रत्यूपुः पद्मरागेण प्रभामण्डलशोभिना ||")</f>
        <v>तेऽ स्य मुक्तागुणोन्नद्धं मौलिं अन्तर्गतस्रजं । प्रत्यूपुः पद्मरागेण प्रभामण्डलशोभिना ||</v>
      </c>
      <c r="B1545" s="4" t="s">
        <v>1</v>
      </c>
      <c r="C1545" s="4"/>
    </row>
    <row r="1546" spans="1:3" ht="24" customHeight="1">
      <c r="A1546" s="4" t="str">
        <f ca="1">IFERROR(__xludf.DUMMYFUNCTION("""COMPUTED_VALUE"""),"चन्दनेनाङ्गरागं च मृगनाभिसुगन्धिना । समापय्य ततश्चक्रुः पत्त्रं विन्यस्तरोचनं ||")</f>
        <v>चन्दनेनाङ्गरागं च मृगनाभिसुगन्धिना । समापय्य ततश्चक्रुः पत्त्रं विन्यस्तरोचनं ||</v>
      </c>
      <c r="B1546" s="4" t="s">
        <v>1</v>
      </c>
      <c r="C1546" s="4"/>
    </row>
    <row r="1547" spans="1:3" ht="24" customHeight="1">
      <c r="A1547" s="4" t="str">
        <f ca="1">IFERROR(__xludf.DUMMYFUNCTION("""COMPUTED_VALUE"""),"आमुक्ताभरणः स्रग्वी हंसचिह्नदुकूलवान् । आसीदतिशयप्रेक्ष्यः स राज्यश्रीवधूवरः ||")</f>
        <v>आमुक्ताभरणः स्रग्वी हंसचिह्नदुकूलवान् । आसीदतिशयप्रेक्ष्यः स राज्यश्रीवधूवरः ||</v>
      </c>
      <c r="B1547" s="4" t="s">
        <v>0</v>
      </c>
      <c r="C1547" s="4"/>
    </row>
    <row r="1548" spans="1:3" ht="24" customHeight="1">
      <c r="A1548" s="4" t="str">
        <f ca="1">IFERROR(__xludf.DUMMYFUNCTION("""COMPUTED_VALUE"""),"नेपथ्यदर्शिनश्छाया तस्यादर्शे हिरण्मये । विरराजोदिते सूर्ये मेरौ कल्पतरोरिव ||")</f>
        <v>नेपथ्यदर्शिनश्छाया तस्यादर्शे हिरण्मये । विरराजोदिते सूर्ये मेरौ कल्पतरोरिव ||</v>
      </c>
      <c r="B1548" s="4" t="s">
        <v>4</v>
      </c>
      <c r="C1548" s="4"/>
    </row>
    <row r="1549" spans="1:3" ht="24" customHeight="1">
      <c r="A1549" s="4" t="str">
        <f ca="1">IFERROR(__xludf.DUMMYFUNCTION("""COMPUTED_VALUE"""),"स राजककुदव्यग्रपाणिभिः पार्श्ववरिभिः । ययावुदीरितालोकः सुधर्मानवमां सभां ||")</f>
        <v>स राजककुदव्यग्रपाणिभिः पार्श्ववरिभिः । ययावुदीरितालोकः सुधर्मानवमां सभां ||</v>
      </c>
      <c r="B1549" s="4" t="s">
        <v>6</v>
      </c>
      <c r="C1549" s="4"/>
    </row>
    <row r="1550" spans="1:3" ht="24" customHeight="1">
      <c r="A1550" s="4" t="str">
        <f ca="1">IFERROR(__xludf.DUMMYFUNCTION("""COMPUTED_VALUE"""),"वितानसहितं तत्र भेजे पैतृकं आसनं । चूडामणिभिरुद्घृष्टपादपीठं महीक्षितां ||")</f>
        <v>वितानसहितं तत्र भेजे पैतृकं आसनं । चूडामणिभिरुद्घृष्टपादपीठं महीक्षितां ||</v>
      </c>
      <c r="B1550" s="4" t="s">
        <v>2</v>
      </c>
      <c r="C1550" s="4"/>
    </row>
    <row r="1551" spans="1:3" ht="24" customHeight="1">
      <c r="A1551" s="4" t="str">
        <f ca="1">IFERROR(__xludf.DUMMYFUNCTION("""COMPUTED_VALUE"""),"शुशुभे तेन चाक्रान्तं मङ्गलायतनं महथ् । श्रीवत्सलक्षणं वक्षः कौस्तुभेनेव कैशवं ||")</f>
        <v>शुशुभे तेन चाक्रान्तं मङ्गलायतनं महथ् । श्रीवत्सलक्षणं वक्षः कौस्तुभेनेव कैशवं ||</v>
      </c>
      <c r="B1551" s="4" t="s">
        <v>4</v>
      </c>
      <c r="C1551" s="4"/>
    </row>
    <row r="1552" spans="1:3" ht="24" customHeight="1">
      <c r="A1552" s="4" t="str">
        <f ca="1">IFERROR(__xludf.DUMMYFUNCTION("""COMPUTED_VALUE"""),"बभौ भूयः कुमारत्वादाधिराज्यं अवाप्य सः । रेखा भावादुपारूढः सामग्र्यं इव चन्द्रमाः ||")</f>
        <v>बभौ भूयः कुमारत्वादाधिराज्यं अवाप्य सः । रेखा भावादुपारूढः सामग्र्यं इव चन्द्रमाः ||</v>
      </c>
      <c r="B1552" s="4" t="s">
        <v>12</v>
      </c>
      <c r="C1552" s="4"/>
    </row>
    <row r="1553" spans="1:3" ht="24" customHeight="1">
      <c r="A1553" s="4" t="str">
        <f ca="1">IFERROR(__xludf.DUMMYFUNCTION("""COMPUTED_VALUE"""),"प्रसन्नमुखरागं तं स्मितपूर्वाभिभाषिणं । मूर्तिमन्तं अमन्यन्त विश्वासं अनुजीविनः ||")</f>
        <v>प्रसन्नमुखरागं तं स्मितपूर्वाभिभाषिणं । मूर्तिमन्तं अमन्यन्त विश्वासं अनुजीविनः ||</v>
      </c>
      <c r="B1553" s="4" t="s">
        <v>1</v>
      </c>
      <c r="C1553" s="4"/>
    </row>
    <row r="1554" spans="1:3" ht="24" customHeight="1">
      <c r="A1554" s="4" t="str">
        <f ca="1">IFERROR(__xludf.DUMMYFUNCTION("""COMPUTED_VALUE"""),"स पुरं पुरुहूतश्रीः कल्पद्रुमनिभध्वजां । क्रममाणश्चकार द्यां नागेनैरावतौजसा ||")</f>
        <v>स पुरं पुरुहूतश्रीः कल्पद्रुमनिभध्वजां । क्रममाणश्चकार द्यां नागेनैरावतौजसा ||</v>
      </c>
      <c r="B1554" s="4" t="s">
        <v>18</v>
      </c>
      <c r="C1554" s="4"/>
    </row>
    <row r="1555" spans="1:3" ht="24" customHeight="1">
      <c r="A1555" s="4" t="str">
        <f ca="1">IFERROR(__xludf.DUMMYFUNCTION("""COMPUTED_VALUE"""),"तस्यैकस्योच्छ्रितं छत्त्रं मूर्ध्नि तेनामलत्विषा । पूर्वराजवियोगौष्म्यं कृत्स्नस्य जगतो हृतं ||")</f>
        <v>तस्यैकस्योच्छ्रितं छत्त्रं मूर्ध्नि तेनामलत्विषा । पूर्वराजवियोगौष्म्यं कृत्स्नस्य जगतो हृतं ||</v>
      </c>
      <c r="B1555" s="4" t="s">
        <v>2</v>
      </c>
      <c r="C1555" s="4"/>
    </row>
    <row r="1556" spans="1:3" ht="24" customHeight="1">
      <c r="A1556" s="4" t="str">
        <f ca="1">IFERROR(__xludf.DUMMYFUNCTION("""COMPUTED_VALUE"""),"धूमादग्नेः शिखाः पश्चादुदयादंशवो रवेः । सोऽतीत्य तेजसां वृत्तिं समं एवोत्थितो गुणैः ||")</f>
        <v>धूमादग्नेः शिखाः पश्चादुदयादंशवो रवेः । सोऽतीत्य तेजसां वृत्तिं समं एवोत्थितो गुणैः ||</v>
      </c>
      <c r="B1556" s="4" t="s">
        <v>7</v>
      </c>
      <c r="C1556" s="4"/>
    </row>
    <row r="1557" spans="1:3" ht="24" customHeight="1">
      <c r="A1557" s="4" t="str">
        <f ca="1">IFERROR(__xludf.DUMMYFUNCTION("""COMPUTED_VALUE"""),"तं प्रीतिविशदैर्नेत्रैरन्वयुः पौरयोषितः । शरत्प्रसन्नैर्ज्योतिर्भिर्विभावर्य इव ध्रुवं ||")</f>
        <v>तं प्रीतिविशदैर्नेत्रैरन्वयुः पौरयोषितः । शरत्प्रसन्नैर्ज्योतिर्भिर्विभावर्य इव ध्रुवं ||</v>
      </c>
      <c r="B1557" s="4" t="s">
        <v>4</v>
      </c>
      <c r="C1557" s="4"/>
    </row>
    <row r="1558" spans="1:3" ht="24" customHeight="1">
      <c r="A1558" s="4" t="str">
        <f ca="1">IFERROR(__xludf.DUMMYFUNCTION("""COMPUTED_VALUE"""),"अयोध्यादेवताश्चैनं प्रशस्तायतनार्चिताः । अनुदध्युरनुध्येयं सांनिध्यैः प्रतिमागतैः ||")</f>
        <v>अयोध्यादेवताश्चैनं प्रशस्तायतनार्चिताः । अनुदध्युरनुध्येयं सांनिध्यैः प्रतिमागतैः ||</v>
      </c>
      <c r="B1558" s="4" t="s">
        <v>2</v>
      </c>
      <c r="C1558" s="4"/>
    </row>
    <row r="1559" spans="1:3" ht="24" customHeight="1">
      <c r="A1559" s="4" t="str">
        <f ca="1">IFERROR(__xludf.DUMMYFUNCTION("""COMPUTED_VALUE"""),"यावन्नाश्यायते वेदिरभिषेकजलाप्लुता । तावदेवास्य वेलान्तं प्रतापः प्राप दुःसहः ||")</f>
        <v>यावन्नाश्यायते वेदिरभिषेकजलाप्लुता । तावदेवास्य वेलान्तं प्रतापः प्राप दुःसहः ||</v>
      </c>
      <c r="B1559" s="4" t="s">
        <v>24</v>
      </c>
      <c r="C1559" s="4"/>
    </row>
    <row r="1560" spans="1:3" ht="24" customHeight="1">
      <c r="A1560" s="4" t="str">
        <f ca="1">IFERROR(__xludf.DUMMYFUNCTION("""COMPUTED_VALUE"""),"वसिष्ठस्य गुरोर्मन्त्राः सायकास्तस्य धन्विनः । किं तत्साध्यं यदुभये साधयेयुर्न संगताः ||")</f>
        <v>वसिष्ठस्य गुरोर्मन्त्राः सायकास्तस्य धन्विनः । किं तत्साध्यं यदुभये साधयेयुर्न संगताः ||</v>
      </c>
      <c r="B1560" s="4" t="s">
        <v>2</v>
      </c>
      <c r="C1560" s="4"/>
    </row>
    <row r="1561" spans="1:3" ht="24" customHeight="1">
      <c r="A1561" s="4" t="str">
        <f ca="1">IFERROR(__xludf.DUMMYFUNCTION("""COMPUTED_VALUE"""),"स धर्मस्थसखः शश्वदर्थिप्रत्यर्थिनां स्वयं । ददर्श संशयच्छेद्यान्व्यवहारानतन्द्रितः ||")</f>
        <v>स धर्मस्थसखः शश्वदर्थिप्रत्यर्थिनां स्वयं । ददर्श संशयच्छेद्यान्व्यवहारानतन्द्रितः ||</v>
      </c>
      <c r="B1561" s="4" t="s">
        <v>2</v>
      </c>
      <c r="C1561" s="4"/>
    </row>
    <row r="1562" spans="1:3" ht="24" customHeight="1">
      <c r="A1562" s="4" t="str">
        <f ca="1">IFERROR(__xludf.DUMMYFUNCTION("""COMPUTED_VALUE"""),"ततः परं अभिव्यक्तास्ॐअनस्यनिवेदितैः । युयोज पाकाभिमुखैर्भृत्यान्विज्ञापनाफलैः ||")</f>
        <v>ततः परं अभिव्यक्तास्ॐअनस्यनिवेदितैः । युयोज पाकाभिमुखैर्भृत्यान्विज्ञापनाफलैः ||</v>
      </c>
      <c r="B1562" s="4" t="s">
        <v>11</v>
      </c>
      <c r="C1562" s="4"/>
    </row>
    <row r="1563" spans="1:3" ht="24" customHeight="1">
      <c r="A1563" s="4" t="str">
        <f ca="1">IFERROR(__xludf.DUMMYFUNCTION("""COMPUTED_VALUE"""),"प्रजास्तद्गुरुणा नद्यो नभसेव विवर्धिताः । तस्मिंस्तु भूयसीं वृद्धिं नभस्ये ता इवाययुः ||")</f>
        <v>प्रजास्तद्गुरुणा नद्यो नभसेव विवर्धिताः । तस्मिंस्तु भूयसीं वृद्धिं नभस्ये ता इवाययुः ||</v>
      </c>
      <c r="B1563" s="4" t="s">
        <v>5</v>
      </c>
      <c r="C1563" s="4"/>
    </row>
    <row r="1564" spans="1:3" ht="24" customHeight="1">
      <c r="A1564" s="4" t="str">
        <f ca="1">IFERROR(__xludf.DUMMYFUNCTION("""COMPUTED_VALUE"""),"यदुवाच न तन्मिथ्या यद्ददौ न जहार तथ् । सोऽभूद्भग्नव्रतः शत्रूनुद्धृत्य प्रतिरोपयन् ||")</f>
        <v>यदुवाच न तन्मिथ्या यद्ददौ न जहार तथ् । सोऽभूद्भग्नव्रतः शत्रूनुद्धृत्य प्रतिरोपयन् ||</v>
      </c>
      <c r="B1564" s="4" t="s">
        <v>5</v>
      </c>
      <c r="C1564" s="4"/>
    </row>
    <row r="1565" spans="1:3" ht="24" customHeight="1">
      <c r="A1565" s="4" t="str">
        <f ca="1">IFERROR(__xludf.DUMMYFUNCTION("""COMPUTED_VALUE"""),"वयोरूपविभूतीनां एकैकं मदकारणं । तानि तस्मिन्समस्तानि न तस्योत्सिषिचे मनः ||")</f>
        <v>वयोरूपविभूतीनां एकैकं मदकारणं । तानि तस्मिन्समस्तानि न तस्योत्सिषिचे मनः ||</v>
      </c>
      <c r="B1565" s="4" t="s">
        <v>1</v>
      </c>
      <c r="C1565" s="4"/>
    </row>
    <row r="1566" spans="1:3" ht="24" customHeight="1">
      <c r="A1566" s="4" t="str">
        <f ca="1">IFERROR(__xludf.DUMMYFUNCTION("""COMPUTED_VALUE"""),"इत्थं जनितरागासु प्रकृतिष्वनुवासरं । अक्षोभ्यः स नवोऽप्यासीद्दृढमूल इव द्रुमः ||")</f>
        <v>इत्थं जनितरागासु प्रकृतिष्वनुवासरं । अक्षोभ्यः स नवोऽप्यासीद्दृढमूल इव द्रुमः ||</v>
      </c>
      <c r="B1566" s="4" t="s">
        <v>12</v>
      </c>
      <c r="C1566" s="4"/>
    </row>
    <row r="1567" spans="1:3" ht="24" customHeight="1">
      <c r="A1567" s="4" t="str">
        <f ca="1">IFERROR(__xludf.DUMMYFUNCTION("""COMPUTED_VALUE"""),"अनित्याः शत्रवो बाह्या विप्रकृष्टाश्च ते यतः । अतः सोऽभ्यन्तरान्नित्यान्षट्पूर्वं अजयद्रिपून् ||")</f>
        <v>अनित्याः शत्रवो बाह्या विप्रकृष्टाश्च ते यतः । अतः सोऽभ्यन्तरान्नित्यान्षट्पूर्वं अजयद्रिपून् ||</v>
      </c>
      <c r="B1567" s="4" t="s">
        <v>9</v>
      </c>
      <c r="C1567" s="4"/>
    </row>
    <row r="1568" spans="1:3" ht="24" customHeight="1">
      <c r="A1568" s="4" t="str">
        <f ca="1">IFERROR(__xludf.DUMMYFUNCTION("""COMPUTED_VALUE"""),"प्रसादाभिमुखे तस्मिंश्चपलापि स्वभावतः । निकषे हेमरेखेव श्रीरासीदनपायिनी ||")</f>
        <v>प्रसादाभिमुखे तस्मिंश्चपलापि स्वभावतः । निकषे हेमरेखेव श्रीरासीदनपायिनी ||</v>
      </c>
      <c r="B1568" s="4" t="s">
        <v>1</v>
      </c>
      <c r="C1568" s="4"/>
    </row>
    <row r="1569" spans="1:3" ht="24" customHeight="1">
      <c r="A1569" s="4" t="str">
        <f ca="1">IFERROR(__xludf.DUMMYFUNCTION("""COMPUTED_VALUE"""),"कातर्यं केवला नीतिः शौर्यं श्वापदचेष्टितं ।  अतः सिद्धिं समेताभ्यां उभाभ्यां अन्वियेष सः ||")</f>
        <v>कातर्यं केवला नीतिः शौर्यं श्वापदचेष्टितं ।  अतः सिद्धिं समेताभ्यां उभाभ्यां अन्वियेष सः ||</v>
      </c>
      <c r="B1569" s="4" t="s">
        <v>18</v>
      </c>
      <c r="C1569" s="4"/>
    </row>
    <row r="1570" spans="1:3" ht="24" customHeight="1">
      <c r="A1570" s="4" t="str">
        <f ca="1">IFERROR(__xludf.DUMMYFUNCTION("""COMPUTED_VALUE"""),"न तस्य मण्डले राज्ञो न्यस्तप्रणिधिदीधितेः । अदृष्टं अभवत्किंचिद्व्यभ्रस्येव विवस्वतः ||")</f>
        <v>न तस्य मण्डले राज्ञो न्यस्तप्रणिधिदीधितेः । अदृष्टं अभवत्किंचिद्व्यभ्रस्येव विवस्वतः ||</v>
      </c>
      <c r="B1570" s="4" t="s">
        <v>2</v>
      </c>
      <c r="C1570" s="4"/>
    </row>
    <row r="1571" spans="1:3" ht="24" customHeight="1">
      <c r="A1571" s="4" t="str">
        <f ca="1">IFERROR(__xludf.DUMMYFUNCTION("""COMPUTED_VALUE"""),"रात्रिंदिवविभागेषु यदादिष्टं महीक्षितां । तत्सिषेवे नियोगेन स विकल्पपराङ्मुखः ||")</f>
        <v>रात्रिंदिवविभागेषु यदादिष्टं महीक्षितां । तत्सिषेवे नियोगेन स विकल्पपराङ्मुखः ||</v>
      </c>
      <c r="B1571" s="4" t="s">
        <v>14</v>
      </c>
      <c r="C1571" s="4"/>
    </row>
    <row r="1572" spans="1:3" ht="24" customHeight="1">
      <c r="A1572" s="4" t="str">
        <f ca="1">IFERROR(__xludf.DUMMYFUNCTION("""COMPUTED_VALUE"""),"मन्त्रः प्रतिदिनं तस्य बभूव सह मन्त्रिभिः । स जातु सेव्यमानोऽपि गुप्तद्वारो न सूच्यते ||")</f>
        <v>मन्त्रः प्रतिदिनं तस्य बभूव सह मन्त्रिभिः । स जातु सेव्यमानोऽपि गुप्तद्वारो न सूच्यते ||</v>
      </c>
      <c r="B1572" s="4" t="s">
        <v>2</v>
      </c>
      <c r="C1572" s="4"/>
    </row>
    <row r="1573" spans="1:3" ht="24" customHeight="1">
      <c r="A1573" s="4" t="str">
        <f ca="1">IFERROR(__xludf.DUMMYFUNCTION("""COMPUTED_VALUE"""),"परेषु स्वेषु च क्षिप्तैरविज्ञातपरस्परैः । सोऽपसर्पैर्जजागार यथाकालं स्वपन्नपि ||")</f>
        <v>परेषु स्वेषु च क्षिप्तैरविज्ञातपरस्परैः । सोऽपसर्पैर्जजागार यथाकालं स्वपन्नपि ||</v>
      </c>
      <c r="B1573" s="4" t="s">
        <v>9</v>
      </c>
      <c r="C1573" s="4"/>
    </row>
    <row r="1574" spans="1:3" ht="24" customHeight="1">
      <c r="A1574" s="4" t="str">
        <f ca="1">IFERROR(__xludf.DUMMYFUNCTION("""COMPUTED_VALUE"""),"दुर्गाणि दुर्ग्र्हाण्यासंस्तस्य रोद्धुरपि द्विषां । न हि सिंहो गजास्कन्दी भयाद्गिरिगुहाशयः ||")</f>
        <v>दुर्गाणि दुर्ग्र्हाण्यासंस्तस्य रोद्धुरपि द्विषां । न हि सिंहो गजास्कन्दी भयाद्गिरिगुहाशयः ||</v>
      </c>
      <c r="B1574" s="4" t="s">
        <v>5</v>
      </c>
      <c r="C1574" s="4"/>
    </row>
    <row r="1575" spans="1:3" ht="24" customHeight="1">
      <c r="A1575" s="4" t="str">
        <f ca="1">IFERROR(__xludf.DUMMYFUNCTION("""COMPUTED_VALUE"""),"बह्व्यमुख्याः समारम्भाः प्रत्यवेक्ष्या निरत्ययाः । गर्भशालिसधर्माणस्तस्य गूढं विपेचिरे ||")</f>
        <v>बह्व्यमुख्याः समारम्भाः प्रत्यवेक्ष्या निरत्ययाः । गर्भशालिसधर्माणस्तस्य गूढं विपेचिरे ||</v>
      </c>
      <c r="B1575" s="4" t="s">
        <v>0</v>
      </c>
      <c r="C1575" s="4"/>
    </row>
    <row r="1576" spans="1:3" ht="24" customHeight="1">
      <c r="A1576" s="4" t="str">
        <f ca="1">IFERROR(__xludf.DUMMYFUNCTION("""COMPUTED_VALUE"""),"अपथेन प्रववृते न जातूपचितोऽपि सः । वृद्धौ नदीमुखेनैव प्रस्थानं लवणाम्भसः ||")</f>
        <v>अपथेन प्रववृते न जातूपचितोऽपि सः । वृद्धौ नदीमुखेनैव प्रस्थानं लवणाम्भसः ||</v>
      </c>
      <c r="B1576" s="4" t="s">
        <v>18</v>
      </c>
      <c r="C1576" s="4"/>
    </row>
    <row r="1577" spans="1:3" ht="24" customHeight="1">
      <c r="A1577" s="4" t="str">
        <f ca="1">IFERROR(__xludf.DUMMYFUNCTION("""COMPUTED_VALUE"""),"कामं प्रत्कृतिवैराग्यं सद्यः शमयितुं क्षमः । यस्य कार्यः प्रतीकारः स तन्नैवोदपादयथ् ||")</f>
        <v>कामं प्रत्कृतिवैराग्यं सद्यः शमयितुं क्षमः । यस्य कार्यः प्रतीकारः स तन्नैवोदपादयथ् ||</v>
      </c>
      <c r="B1577" s="4" t="s">
        <v>5</v>
      </c>
      <c r="C1577" s="4"/>
    </row>
    <row r="1578" spans="1:3" ht="24" customHeight="1">
      <c r="A1578" s="4" t="str">
        <f ca="1">IFERROR(__xludf.DUMMYFUNCTION("""COMPUTED_VALUE"""),"शकेष्वेवाभवद्यात्रा तस्य शक्तिमतः सतः । समीरणसहायोऽपि नाम्भःप्रार्थी दवानलः ||")</f>
        <v>शकेष्वेवाभवद्यात्रा तस्य शक्तिमतः सतः । समीरणसहायोऽपि नाम्भःप्रार्थी दवानलः ||</v>
      </c>
      <c r="B1578" s="4" t="s">
        <v>11</v>
      </c>
      <c r="C1578" s="4"/>
    </row>
    <row r="1579" spans="1:3" ht="24" customHeight="1">
      <c r="A1579" s="4" t="str">
        <f ca="1">IFERROR(__xludf.DUMMYFUNCTION("""COMPUTED_VALUE"""),"न धर्मं अर्थकामाभ्यां बबाधे न च तेन तौ । नार्थं कामेन कामं वा सोऽर्थेन सदृशस्त्रिषु ||")</f>
        <v>न धर्मं अर्थकामाभ्यां बबाधे न च तेन तौ । नार्थं कामेन कामं वा सोऽर्थेन सदृशस्त्रिषु ||</v>
      </c>
      <c r="B1579" s="4" t="s">
        <v>13</v>
      </c>
      <c r="C1579" s="4"/>
    </row>
    <row r="1580" spans="1:3" ht="24" customHeight="1">
      <c r="A1580" s="4" t="str">
        <f ca="1">IFERROR(__xludf.DUMMYFUNCTION("""COMPUTED_VALUE"""),"हीनान्यनुपकर्तःणि प्रवृद्धानि विकुर्वते । तेन मध्यमशक्तीनि मित्राणि श्तापितान्यतः ||")</f>
        <v>हीनान्यनुपकर्तःणि प्रवृद्धानि विकुर्वते । तेन मध्यमशक्तीनि मित्राणि श्तापितान्यतः ||</v>
      </c>
      <c r="B1580" s="4" t="s">
        <v>2</v>
      </c>
      <c r="C1580" s="4"/>
    </row>
    <row r="1581" spans="1:3" ht="24" customHeight="1">
      <c r="A1581" s="4" t="str">
        <f ca="1">IFERROR(__xludf.DUMMYFUNCTION("""COMPUTED_VALUE"""),"परात्मनोः परिच्छिद्य शक्त्यादीनां बलाबलं । ययावेभिर्बलिष्ठश्चेत्परस्मादास्त सोऽन्यथा ||")</f>
        <v>परात्मनोः परिच्छिद्य शक्त्यादीनां बलाबलं । ययावेभिर्बलिष्ठश्चेत्परस्मादास्त सोऽन्यथा ||</v>
      </c>
      <c r="B1581" s="4" t="s">
        <v>10</v>
      </c>
      <c r="C1581" s="4"/>
    </row>
    <row r="1582" spans="1:3" ht="24" customHeight="1">
      <c r="A1582" s="4" t="str">
        <f ca="1">IFERROR(__xludf.DUMMYFUNCTION("""COMPUTED_VALUE"""),"कोशेनाश्रयणीयत्वं इति तस्यार्थसंग्रहः । अम्बुगर्भो हि जीमूतश्चातकैरभिनन्द्यते ||")</f>
        <v>कोशेनाश्रयणीयत्वं इति तस्यार्थसंग्रहः । अम्बुगर्भो हि जीमूतश्चातकैरभिनन्द्यते ||</v>
      </c>
      <c r="B1582" s="4" t="s">
        <v>2</v>
      </c>
      <c r="C1582" s="4"/>
    </row>
    <row r="1583" spans="1:3" ht="24" customHeight="1">
      <c r="A1583" s="4" t="str">
        <f ca="1">IFERROR(__xludf.DUMMYFUNCTION("""COMPUTED_VALUE"""),"परकर्मापहः सोऽभूदुद्यतः स्वेषु कर्मसु । आवृणोदात्मनो रन्ध्रं रन्ध्रेषु प्रहरन्रिपून् ||")</f>
        <v>परकर्मापहः सोऽभूदुद्यतः स्वेषु कर्मसु । आवृणोदात्मनो रन्ध्रं रन्ध्रेषु प्रहरन्रिपून् ||</v>
      </c>
      <c r="B1583" s="4" t="s">
        <v>9</v>
      </c>
      <c r="C1583" s="4"/>
    </row>
    <row r="1584" spans="1:3" ht="24" customHeight="1">
      <c r="A1584" s="4" t="str">
        <f ca="1">IFERROR(__xludf.DUMMYFUNCTION("""COMPUTED_VALUE"""),"पित्रा संवर्धितो नित्यं कृतास्त्रः सांपरायिकः । तस्य दण्डवतो दण्डः स्वदेहान्न व्यशिष्यत ||")</f>
        <v>पित्रा संवर्धितो नित्यं कृतास्त्रः सांपरायिकः । तस्य दण्डवतो दण्डः स्वदेहान्न व्यशिष्यत ||</v>
      </c>
      <c r="B1584" s="4" t="s">
        <v>2</v>
      </c>
      <c r="C1584" s="4"/>
    </row>
    <row r="1585" spans="1:3" ht="24" customHeight="1">
      <c r="A1585" s="4" t="str">
        <f ca="1">IFERROR(__xludf.DUMMYFUNCTION("""COMPUTED_VALUE"""),"सर्पस्येव शिरोरत्नं नास्य शक्तित्रयं परः । स चकर्ष परस्मात्तदयस्कान्त इवायसं ||")</f>
        <v>सर्पस्येव शिरोरत्नं नास्य शक्तित्रयं परः । स चकर्ष परस्मात्तदयस्कान्त इवायसं ||</v>
      </c>
      <c r="B1585" s="4" t="s">
        <v>18</v>
      </c>
      <c r="C1585" s="4"/>
    </row>
    <row r="1586" spans="1:3" ht="24" customHeight="1">
      <c r="A1586" s="4" t="str">
        <f ca="1">IFERROR(__xludf.DUMMYFUNCTION("""COMPUTED_VALUE"""),"वापीष्विव स्रवन्तीषु वनेषूपवनेष्विव । सार्थाः स्वैरं स्वकीयेषु चेरुर्वेश्मस्विवाद्रिषु ||")</f>
        <v>वापीष्विव स्रवन्तीषु वनेषूपवनेष्विव । सार्थाः स्वैरं स्वकीयेषु चेरुर्वेश्मस्विवाद्रिषु ||</v>
      </c>
      <c r="B1586" s="4" t="s">
        <v>13</v>
      </c>
      <c r="C1586" s="4"/>
    </row>
    <row r="1587" spans="1:3" ht="24" customHeight="1">
      <c r="A1587" s="4" t="str">
        <f ca="1">IFERROR(__xludf.DUMMYFUNCTION("""COMPUTED_VALUE"""),"तपो रक्षन्स विघ्नेभ्यस्तस्करेभ्यश्च संपदः । यथास्वं आश्रमैश्चक्रे वर्णैरपि षड्संशभाक् ||")</f>
        <v>तपो रक्षन्स विघ्नेभ्यस्तस्करेभ्यश्च संपदः । यथास्वं आश्रमैश्चक्रे वर्णैरपि षड्संशभाक् ||</v>
      </c>
      <c r="B1587" s="4" t="s">
        <v>6</v>
      </c>
      <c r="C1587" s="4"/>
    </row>
    <row r="1588" spans="1:3" ht="24" customHeight="1">
      <c r="A1588" s="4" t="str">
        <f ca="1">IFERROR(__xludf.DUMMYFUNCTION("""COMPUTED_VALUE"""),"खनिभिः सुषुवे रत्नं क्षेत्रैः सस्यं वनैर्गजान् । दिदेश वेतनं तस्मै रक्षासदृशं एव भूः ||")</f>
        <v>खनिभिः सुषुवे रत्नं क्षेत्रैः सस्यं वनैर्गजान् । दिदेश वेतनं तस्मै रक्षासदृशं एव भूः ||</v>
      </c>
      <c r="B1588" s="4" t="s">
        <v>6</v>
      </c>
      <c r="C1588" s="4"/>
    </row>
    <row r="1589" spans="1:3" ht="24" customHeight="1">
      <c r="A1589" s="4" t="str">
        <f ca="1">IFERROR(__xludf.DUMMYFUNCTION("""COMPUTED_VALUE"""),"स गुणानां बलानां च षण्णां षण्मुखविक्रमः । बभूव विनियोगज्ञः साधनीयेषु वस्तुषु ||")</f>
        <v>स गुणानां बलानां च षण्णां षण्मुखविक्रमः । बभूव विनियोगज्ञः साधनीयेषु वस्तुषु ||</v>
      </c>
      <c r="B1589" s="4" t="s">
        <v>13</v>
      </c>
      <c r="C1589" s="4"/>
    </row>
    <row r="1590" spans="1:3" ht="24" customHeight="1">
      <c r="A1590" s="4" t="str">
        <f ca="1">IFERROR(__xludf.DUMMYFUNCTION("""COMPUTED_VALUE"""),"इति क्रमात्प्रयुञ्जानो राज नीतिं चतुर्विधां । आ तीर्थादप्रतीघातं स तस्याः फलं आनशे ||")</f>
        <v>इति क्रमात्प्रयुञ्जानो राज नीतिं चतुर्विधां । आ तीर्थादप्रतीघातं स तस्याः फलं आनशे ||</v>
      </c>
      <c r="B1590" s="4" t="s">
        <v>8</v>
      </c>
      <c r="C1590" s="4"/>
    </row>
    <row r="1591" spans="1:3" ht="24" customHeight="1">
      <c r="A1591" s="4" t="str">
        <f ca="1">IFERROR(__xludf.DUMMYFUNCTION("""COMPUTED_VALUE"""),"कूटयुद्धविधिज्ञेऽपि तस्मिन्सन्मार्गयोधिनि । भेजेऽभिसारिकावृत्तिं जयश्रीर्वीरगामिनी ||")</f>
        <v>कूटयुद्धविधिज्ञेऽपि तस्मिन्सन्मार्गयोधिनि । भेजेऽभिसारिकावृत्तिं जयश्रीर्वीरगामिनी ||</v>
      </c>
      <c r="B1591" s="4" t="s">
        <v>1</v>
      </c>
      <c r="C1591" s="4"/>
    </row>
    <row r="1592" spans="1:3" ht="24" customHeight="1">
      <c r="A1592" s="4" t="str">
        <f ca="1">IFERROR(__xludf.DUMMYFUNCTION("""COMPUTED_VALUE"""),"प्रायः प्रतापभग्नत्वादरीणां तस्य दुर्लभः । रणो गन्धविपस्येव गन्धभिन्नान्यदन्तिनः ||")</f>
        <v>प्रायः प्रतापभग्नत्वादरीणां तस्य दुर्लभः । रणो गन्धविपस्येव गन्धभिन्नान्यदन्तिनः ||</v>
      </c>
      <c r="B1592" s="4" t="s">
        <v>1</v>
      </c>
      <c r="C1592" s="4"/>
    </row>
    <row r="1593" spans="1:3" ht="24" customHeight="1">
      <c r="A1593" s="4" t="str">
        <f ca="1">IFERROR(__xludf.DUMMYFUNCTION("""COMPUTED_VALUE"""),"प्रवृद्धौ हीयते चन्द्रः समुद्रोऽपि तथाविधः । स तु तसमवृद्धिश्च न चाभूत्ताविव क्षयी ||")</f>
        <v>प्रवृद्धौ हीयते चन्द्रः समुद्रोऽपि तथाविधः । स तु तसमवृद्धिश्च न चाभूत्ताविव क्षयी ||</v>
      </c>
      <c r="B1593" s="4" t="s">
        <v>5</v>
      </c>
      <c r="C1593" s="4"/>
    </row>
    <row r="1594" spans="1:3" ht="24" customHeight="1">
      <c r="A1594" s="4" t="str">
        <f ca="1">IFERROR(__xludf.DUMMYFUNCTION("""COMPUTED_VALUE"""),"सन्तस्तस्याभिगमनादत्यर्थं महतः कृषाः । उदधेरिव जीमूताः प्रापुर्दातृत्वं अर्थिनः ||")</f>
        <v>सन्तस्तस्याभिगमनादत्यर्थं महतः कृषाः । उदधेरिव जीमूताः प्रापुर्दातृत्वं अर्थिनः ||</v>
      </c>
      <c r="B1594" s="4" t="s">
        <v>1</v>
      </c>
      <c r="C1594" s="4"/>
    </row>
    <row r="1595" spans="1:3" ht="24" customHeight="1">
      <c r="A1595" s="4" t="str">
        <f ca="1">IFERROR(__xludf.DUMMYFUNCTION("""COMPUTED_VALUE"""),"स्तूयमानः स जिह्राय स्तुत्यं एव समाचरन् । तथापि ववृधे तस्य तत्कारिद्वेषिनो यशः ||")</f>
        <v>स्तूयमानः स जिह्राय स्तुत्यं एव समाचरन् । तथापि ववृधे तस्य तत्कारिद्वेषिनो यशः ||</v>
      </c>
      <c r="B1595" s="4" t="s">
        <v>8</v>
      </c>
      <c r="C1595" s="4"/>
    </row>
    <row r="1596" spans="1:3" ht="24" customHeight="1">
      <c r="A1596" s="4" t="str">
        <f ca="1">IFERROR(__xludf.DUMMYFUNCTION("""COMPUTED_VALUE"""),"दुरितं दर्शनेन घ्नंस्तत्त्वार्थेन नुदंस्तमः । प्रजाः स्वतन्त्रयां चक्रे शश्वत्सूर्य इवोदितः ||")</f>
        <v>दुरितं दर्शनेन घ्नंस्तत्त्वार्थेन नुदंस्तमः । प्रजाः स्वतन्त्रयां चक्रे शश्वत्सूर्य इवोदितः ||</v>
      </c>
      <c r="B1596" s="4" t="s">
        <v>2</v>
      </c>
      <c r="C1596" s="4"/>
    </row>
    <row r="1597" spans="1:3" ht="24" customHeight="1">
      <c r="A1597" s="4" t="str">
        <f ca="1">IFERROR(__xludf.DUMMYFUNCTION("""COMPUTED_VALUE"""),"इन्दोरगतयः पद्मे सूर्यस्य कुमुदेऽंशवः । गुणास्तस्य विपक्षेऽपि गुणिनो लेभिरेऽन्तरं ||")</f>
        <v>इन्दोरगतयः पद्मे सूर्यस्य कुमुदेऽंशवः । गुणास्तस्य विपक्षेऽपि गुणिनो लेभिरेऽन्तरं ||</v>
      </c>
      <c r="B1597" s="4" t="s">
        <v>0</v>
      </c>
      <c r="C1597" s="4"/>
    </row>
    <row r="1598" spans="1:3" ht="24" customHeight="1">
      <c r="A1598" s="4" t="str">
        <f ca="1">IFERROR(__xludf.DUMMYFUNCTION("""COMPUTED_VALUE"""),"पराभिसंधानपरं यद्यप्यस्य विचेष्टितं । जिगीषोरश्वमेधाय धर्म्यं एव बभूव तथ् ||")</f>
        <v>पराभिसंधानपरं यद्यप्यस्य विचेष्टितं । जिगीषोरश्वमेधाय धर्म्यं एव बभूव तथ् ||</v>
      </c>
      <c r="B1598" s="4" t="s">
        <v>2</v>
      </c>
      <c r="C1598" s="4"/>
    </row>
    <row r="1599" spans="1:3" ht="24" customHeight="1">
      <c r="A1599" s="4" t="str">
        <f ca="1">IFERROR(__xludf.DUMMYFUNCTION("""COMPUTED_VALUE"""),"एवं उद्यन्प्रभावेण शास्त्ग्रनिर्दिष्टवर्त्मना । वृषेव देवो देवानां राज्ञां राजा बभूव सः ||")</f>
        <v>एवं उद्यन्प्रभावेण शास्त्ग्रनिर्दिष्टवर्त्मना । वृषेव देवो देवानां राज्ञां राजा बभूव सः ||</v>
      </c>
      <c r="B1599" s="4" t="s">
        <v>18</v>
      </c>
      <c r="C1599" s="4"/>
    </row>
    <row r="1600" spans="1:3" ht="24" customHeight="1">
      <c r="A1600" s="4" t="str">
        <f ca="1">IFERROR(__xludf.DUMMYFUNCTION("""COMPUTED_VALUE"""),"पञ्चमं लोकपालानां तं ऊचुः साम्ययोगतः । भूतानां महतां षष्ठं अष्टमं कुलभूभृतां ||")</f>
        <v>पञ्चमं लोकपालानां तं ऊचुः साम्ययोगतः । भूतानां महतां षष्ठं अष्टमं कुलभूभृतां ||</v>
      </c>
      <c r="B1600" s="4" t="s">
        <v>2</v>
      </c>
      <c r="C1600" s="4"/>
    </row>
    <row r="1601" spans="1:3" ht="24" customHeight="1">
      <c r="A1601" s="4" t="str">
        <f ca="1">IFERROR(__xludf.DUMMYFUNCTION("""COMPUTED_VALUE"""),"दूरापवर्जितच्छत्त्रैस्तस्याज्ञां शासनार्पितां । दधुः शिरोभिर्भूपाला देवः पौरंदरीं इव ||")</f>
        <v>दूरापवर्जितच्छत्त्रैस्तस्याज्ञां शासनार्पितां । दधुः शिरोभिर्भूपाला देवः पौरंदरीं इव ||</v>
      </c>
      <c r="B1601" s="4" t="s">
        <v>4</v>
      </c>
      <c r="C1601" s="4"/>
    </row>
    <row r="1602" spans="1:3" ht="24" customHeight="1">
      <c r="A1602" s="4" t="str">
        <f ca="1">IFERROR(__xludf.DUMMYFUNCTION("""COMPUTED_VALUE"""),"ऋत्विजः स तथानर्च दक्षिणाभिर्महाक्रतौ । यथा साधारणीभूतं नामास्य धनदस्य च ||")</f>
        <v>ऋत्विजः स तथानर्च दक्षिणाभिर्महाक्रतौ । यथा साधारणीभूतं नामास्य धनदस्य च ||</v>
      </c>
      <c r="B1602" s="4" t="s">
        <v>16</v>
      </c>
      <c r="C1602" s="4"/>
    </row>
    <row r="1603" spans="1:3" ht="24" customHeight="1">
      <c r="A1603" s="4" t="str">
        <f ca="1">IFERROR(__xludf.DUMMYFUNCTION("""COMPUTED_VALUE"""),"इन्द्राद्वृष्टिर्नियमितगदोद्रेकवृत्तिर्यमोऽभूद्यादोनाथः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||")</f>
        <v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||</v>
      </c>
      <c r="B1603" s="4" t="s">
        <v>11</v>
      </c>
      <c r="C1603" s="4"/>
    </row>
    <row r="1604" spans="1:3" ht="24" customHeight="1">
      <c r="A1604" s="4" t="str">
        <f ca="1">IFERROR(__xludf.DUMMYFUNCTION("""COMPUTED_VALUE"""),"स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||")</f>
        <v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||</v>
      </c>
      <c r="B1604" s="4" t="s">
        <v>4</v>
      </c>
      <c r="C1604" s="4"/>
    </row>
    <row r="1605" spans="1:3" ht="24" customHeight="1">
      <c r="A1605" s="4" t="str">
        <f ca="1">IFERROR(__xludf.DUMMYFUNCTION("""COMPUTED_VALUE"""),"तेनोरुवीर्येण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||")</f>
        <v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||</v>
      </c>
      <c r="B1605" s="4" t="s">
        <v>1</v>
      </c>
      <c r="C1605" s="4"/>
    </row>
    <row r="1606" spans="1:3" ht="24" customHeight="1">
      <c r="A1606" s="4" t="str">
        <f ca="1">IFERROR(__xludf.DUMMYFUNCTION("""COMPUTED_VALUE"""),"शब्दादि निर्विश्य सुखं चिराय तस्मिन्प्रतिष्ठापितराजशब्दः । क्ॐउद्वतेयः कुमुदावदातैर्द्यां अर्जितां कर्मभिरारुरोह ||")</f>
        <v>शब्दादि निर्विश्य सुखं चिराय तस्मिन्प्रतिष्ठापितराजशब्दः । क्ॐउद्वतेयः कुमुदावदातैर्द्यां अर्जितां कर्मभिरारुरोह ||</v>
      </c>
      <c r="B1606" s="4" t="s">
        <v>24</v>
      </c>
      <c r="C1606" s="4"/>
    </row>
    <row r="1607" spans="1:3" ht="24" customHeight="1">
      <c r="A1607" s="4" t="str">
        <f ca="1">IFERROR(__xludf.DUMMYFUNCTION("""COMPUTED_VALUE"""),"पौत्रः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||")</f>
        <v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||</v>
      </c>
      <c r="B1607" s="4" t="s">
        <v>3</v>
      </c>
      <c r="C1607" s="4"/>
    </row>
    <row r="1608" spans="1:3" ht="24" customHeight="1">
      <c r="A1608" s="4" t="str">
        <f ca="1">IFERROR(__xludf.DUMMYFUNCTION("""COMPUTED_VALUE"""),"तस्यानलौजास्तनयस्तदन्ते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||")</f>
        <v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||</v>
      </c>
      <c r="B1608" s="4" t="s">
        <v>0</v>
      </c>
      <c r="C1608" s="4"/>
    </row>
    <row r="1609" spans="1:3" ht="24" customHeight="1">
      <c r="A1609" s="4" t="str">
        <f ca="1">IFERROR(__xludf.DUMMYFUNCTION("""COMPUTED_VALUE"""),"नभश्चरैर्गीतयश्यामतनुं तनूजं नभस्तलश्यामतनुं तनूजं । ख्यातं नभःशब्दमयेन नाम्ना कान्तं नभ्ॐआसं इव प्रजानां ||")</f>
        <v>नभश्चरैर्गीतयश्यामतनुं तनूजं नभस्तलश्यामतनुं तनूजं । ख्यातं नभःशब्दमयेन नाम्ना कान्तं नभ्ॐआसं इव प्रजानां ||</v>
      </c>
      <c r="B1609" s="4" t="s">
        <v>1</v>
      </c>
      <c r="C1609" s="4"/>
    </row>
    <row r="1610" spans="1:3" ht="24" customHeight="1">
      <c r="A1610" s="4" t="str">
        <f ca="1">IFERROR(__xludf.DUMMYFUNCTION("""COMPUTED_VALUE"""),"तस्मै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||")</f>
        <v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||</v>
      </c>
      <c r="B1610" s="4" t="s">
        <v>20</v>
      </c>
      <c r="C1610" s="4"/>
    </row>
    <row r="1611" spans="1:3" ht="24" customHeight="1">
      <c r="A1611" s="4" t="str">
        <f ca="1">IFERROR(__xludf.DUMMYFUNCTION("""COMPUTED_VALUE"""),"तेन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||")</f>
        <v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||</v>
      </c>
      <c r="B1611" s="4" t="s">
        <v>0</v>
      </c>
      <c r="C1611" s="4"/>
    </row>
    <row r="1612" spans="1:3" ht="24" customHeight="1">
      <c r="A1612" s="4" t="str">
        <f ca="1">IFERROR(__xludf.DUMMYFUNCTION("""COMPUTED_VALUE"""),"स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||")</f>
        <v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||</v>
      </c>
      <c r="B1612" s="4" t="s">
        <v>0</v>
      </c>
      <c r="C1612" s="4"/>
    </row>
    <row r="1613" spans="1:3" ht="24" customHeight="1">
      <c r="A1613" s="4" t="str">
        <f ca="1">IFERROR(__xludf.DUMMYFUNCTION("""COMPUTED_VALUE"""),"अनीकिनीनां समरेऽग्रयायी तस्यापि देवप्रतिमः सुतोऽभूथ् । व्यश्रूयतानीकपदावसानं देवादि नाम त्रिदिवेऽपि यस्य ||")</f>
        <v>अनीकिनीनां समरेऽग्रयायी तस्यापि देवप्रतिमः सुतोऽभूथ् । व्यश्रूयतानीकपदावसानं देवादि नाम त्रिदिवेऽपि यस्य ||</v>
      </c>
      <c r="B1613" s="4" t="s">
        <v>5</v>
      </c>
      <c r="C1613" s="4"/>
    </row>
    <row r="1614" spans="1:3" ht="24" customHeight="1">
      <c r="A1614" s="4" t="str">
        <f ca="1">IFERROR(__xludf.DUMMYFUNCTION("""COMPUTED_VALUE"""),"पिता समाराधनतत्परेण पुत्रेण पुत्री स यथैव तेन । पुत्रस्तथैवाधिकवत्सलेन स तेन पित्रा पितृमान्बभूव ||")</f>
        <v>पिता समाराधनतत्परेण पुत्रेण पुत्री स यथैव तेन । पुत्रस्तथैवाधिकवत्सलेन स तेन पित्रा पितृमान्बभूव ||</v>
      </c>
      <c r="B1614" s="4" t="s">
        <v>4</v>
      </c>
      <c r="C1614" s="4"/>
    </row>
    <row r="1615" spans="1:3" ht="24" customHeight="1">
      <c r="A1615" s="4" t="str">
        <f ca="1">IFERROR(__xludf.DUMMYFUNCTION("""COMPUTED_VALUE"""),"पूर्वस्तयोरात्मसमे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||")</f>
        <v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||</v>
      </c>
      <c r="B1615" s="4" t="s">
        <v>19</v>
      </c>
      <c r="C1615" s="4"/>
    </row>
    <row r="1616" spans="1:3" ht="24" customHeight="1">
      <c r="A1616" s="4" t="str">
        <f ca="1">IFERROR(__xludf.DUMMYFUNCTION("""COMPUTED_VALUE"""),"वशी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||")</f>
        <v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||</v>
      </c>
      <c r="B1616" s="4" t="s">
        <v>2</v>
      </c>
      <c r="C1616" s="4"/>
    </row>
    <row r="1617" spans="1:3" ht="24" customHeight="1">
      <c r="A1617" s="4" t="str">
        <f ca="1">IFERROR(__xludf.DUMMYFUNCTION("""COMPUTED_VALUE"""),"अहीनगुर्नाम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||")</f>
        <v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||</v>
      </c>
      <c r="B1617" s="4" t="s">
        <v>2</v>
      </c>
      <c r="C1617" s="4"/>
    </row>
    <row r="1618" spans="1:3" ht="24" customHeight="1">
      <c r="A1618" s="4" t="str">
        <f ca="1">IFERROR(__xludf.DUMMYFUNCTION("""COMPUTED_VALUE"""),"गुरोः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||")</f>
        <v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||</v>
      </c>
      <c r="B1618" s="4" t="s">
        <v>4</v>
      </c>
      <c r="C1618" s="4"/>
    </row>
    <row r="1619" spans="1:3" ht="24" customHeight="1">
      <c r="A1619" s="4" t="str">
        <f ca="1">IFERROR(__xludf.DUMMYFUNCTION("""COMPUTED_VALUE"""),"तस्मिन्प्रयाते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||")</f>
        <v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||</v>
      </c>
      <c r="B1619" s="4" t="s">
        <v>0</v>
      </c>
      <c r="C1619" s="4"/>
    </row>
    <row r="1620" spans="1:3" ht="24" customHeight="1">
      <c r="A1620" s="4" t="str">
        <f ca="1">IFERROR(__xludf.DUMMYFUNCTION("""COMPUTED_VALUE"""),"तस्याभवत्सूनुरुदारशीलः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||")</f>
        <v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||</v>
      </c>
      <c r="B1620" s="4" t="s">
        <v>1</v>
      </c>
      <c r="C1620" s="4"/>
    </row>
    <row r="1621" spans="1:3" ht="24" customHeight="1">
      <c r="A1621" s="4" t="str">
        <f ca="1">IFERROR(__xludf.DUMMYFUNCTION("""COMPUTED_VALUE"""),"तं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उपरुद्धवृत्तं ||")</f>
        <v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उपरुद्धवृत्तं ||</v>
      </c>
      <c r="B1621" s="4" t="s">
        <v>2</v>
      </c>
      <c r="C1621" s="4"/>
    </row>
    <row r="1622" spans="1:3" ht="24" customHeight="1">
      <c r="A1622" s="4" t="str">
        <f ca="1">IFERROR(__xludf.DUMMYFUNCTION("""COMPUTED_VALUE"""),"तं रागबन्धिष्ववितृप्तं एव भोगेषु सौभाग्यविशेषभोग्यं । विलासिनीनां अरतिक्षमापि जरा वृथा मत्सरिणी जहार ||")</f>
        <v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||</v>
      </c>
      <c r="B1622" s="4" t="s">
        <v>0</v>
      </c>
      <c r="C1622" s="4"/>
    </row>
    <row r="1623" spans="1:3" ht="24" customHeight="1">
      <c r="A1623" s="4" t="str">
        <f ca="1">IFERROR(__xludf.DUMMYFUNCTION("""COMPUTED_VALUE"""),"उन्नाभ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||")</f>
        <v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||</v>
      </c>
      <c r="B1623" s="4" t="s">
        <v>5</v>
      </c>
      <c r="C1623" s="4"/>
    </row>
    <row r="1624" spans="1:3" ht="24" customHeight="1">
      <c r="A1624" s="4" t="str">
        <f ca="1">IFERROR(__xludf.DUMMYFUNCTION("""COMPUTED_VALUE"""),"ततः परं वज्रधरप्रभावस्तदात्मजः संयति वज्रघोषः । बभूव वज्राकरभुषणायाः पतिः पृथिव्याः किल वज्रनाभः ||")</f>
        <v>ततः परं वज्रधरप्रभावस्तदात्मजः संयति वज्रघोषः । बभूव वज्राकरभुषणायाः पतिः पृथिव्याः किल वज्रनाभः ||</v>
      </c>
      <c r="B1624" s="4" t="s">
        <v>6</v>
      </c>
      <c r="C1624" s="4"/>
    </row>
    <row r="1625" spans="1:3" ht="24" customHeight="1">
      <c r="A1625" s="4" t="str">
        <f ca="1">IFERROR(__xludf.DUMMYFUNCTION("""COMPUTED_VALUE"""),"तस्मिन्गते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||")</f>
        <v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||</v>
      </c>
      <c r="B1625" s="4" t="s">
        <v>5</v>
      </c>
      <c r="C1625" s="4"/>
    </row>
    <row r="1626" spans="1:3" ht="24" customHeight="1">
      <c r="A1626" s="4" t="str">
        <f ca="1">IFERROR(__xludf.DUMMYFUNCTION("""COMPUTED_VALUE"""),"तस्यावसाने हरिदश्वधामा पित्र्यं प्रपेदे पदं अश्विरूपः । वेलातटेषूषितसैनिकाश्वं पुराविदो यं ध्युषिताश्वं आहुः ||")</f>
        <v>तस्यावसाने हरिदश्वधामा पित्र्यं प्रपेदे पदं अश्विरूपः । वेलातटेषूषितसैनिकाश्वं पुराविदो यं ध्युषिताश्वं आहुः ||</v>
      </c>
      <c r="B1626" s="4" t="s">
        <v>24</v>
      </c>
      <c r="C1626" s="4"/>
    </row>
    <row r="1627" spans="1:3" ht="24" customHeight="1">
      <c r="A1627" s="4" t="str">
        <f ca="1">IFERROR(__xludf.DUMMYFUNCTION("""COMPUTED_VALUE"""),"आराध्य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||")</f>
        <v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||</v>
      </c>
      <c r="B1627" s="4" t="s">
        <v>12</v>
      </c>
      <c r="C1627" s="4"/>
    </row>
    <row r="1628" spans="1:3" ht="24" customHeight="1">
      <c r="A1628" s="4" t="str">
        <f ca="1">IFERROR(__xludf.DUMMYFUNCTION("""COMPUTED_VALUE"""),"अंशे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सानिलोऽभूथ् ||")</f>
        <v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सानिलोऽभूथ् ||</v>
      </c>
      <c r="B1628" s="4" t="s">
        <v>6</v>
      </c>
      <c r="C1628" s="4"/>
    </row>
    <row r="1629" spans="1:3" ht="24" customHeight="1">
      <c r="A1629" s="4" t="str">
        <f ca="1">IFERROR(__xludf.DUMMYFUNCTION("""COMPUTED_VALUE"""),"पिता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||")</f>
        <v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||</v>
      </c>
      <c r="B1629" s="4" t="s">
        <v>4</v>
      </c>
      <c r="C1629" s="4"/>
    </row>
    <row r="1630" spans="1:3" ht="24" customHeight="1">
      <c r="A1630" s="4" t="str">
        <f ca="1">IFERROR(__xludf.DUMMYFUNCTION("""COMPUTED_VALUE"""),"कौसल्य इत्युत्तरकोसलानां पत्युः पतंगान्वयभूषणस्य । तस्यौरसः स्ॐअसुतः सुतोऽभून्नेत्रोत्सवः स्ॐअ इव द्वितीयः ||")</f>
        <v>कौसल्य इत्युत्तरकोसलानां पत्युः पतंगान्वयभूषणस्य । तस्यौरसः स्ॐअसुतः सुतोऽभून्नेत्रोत्सवः स्ॐअ इव द्वितीयः ||</v>
      </c>
      <c r="B1630" s="4" t="s">
        <v>5</v>
      </c>
      <c r="C1630" s="4"/>
    </row>
    <row r="1631" spans="1:3" ht="24" customHeight="1">
      <c r="A1631" s="4" t="str">
        <f ca="1">IFERROR(__xludf.DUMMYFUNCTION("""COMPUTED_VALUE"""),"कौसल्य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||")</f>
        <v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||</v>
      </c>
      <c r="B1631" s="4" t="s">
        <v>2</v>
      </c>
      <c r="C1631" s="4"/>
    </row>
    <row r="1632" spans="1:3" ht="24" customHeight="1">
      <c r="A1632" s="4" t="str">
        <f ca="1">IFERROR(__xludf.DUMMYFUNCTION("""COMPUTED_VALUE"""),"यशोभिराब्रह्मसभं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||")</f>
        <v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||</v>
      </c>
      <c r="B1632" s="4" t="s">
        <v>5</v>
      </c>
      <c r="C1632" s="4"/>
    </row>
    <row r="1633" spans="1:3" ht="24" customHeight="1">
      <c r="A1633" s="4" t="str">
        <f ca="1">IFERROR(__xludf.DUMMYFUNCTION("""COMPUTED_VALUE"""),"पात्रीकृतात्मा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||")</f>
        <v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||</v>
      </c>
      <c r="B1633" s="4" t="s">
        <v>5</v>
      </c>
      <c r="C1633" s="4"/>
    </row>
    <row r="1634" spans="1:3" ht="24" customHeight="1">
      <c r="A1634" s="4" t="str">
        <f ca="1">IFERROR(__xludf.DUMMYFUNCTION("""COMPUTED_VALUE"""),"वंशस्थितिं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||")</f>
        <v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||</v>
      </c>
      <c r="B1634" s="4" t="s">
        <v>9</v>
      </c>
      <c r="C1634" s="4"/>
    </row>
    <row r="1635" spans="1:3" ht="24" customHeight="1">
      <c r="A1635" s="4" t="str">
        <f ca="1">IFERROR(__xludf.DUMMYFUNCTION("""COMPUTED_VALUE"""),"तस्य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||")</f>
        <v>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||</v>
      </c>
      <c r="B1635" s="4" t="s">
        <v>5</v>
      </c>
      <c r="C1635" s="4"/>
    </row>
    <row r="1636" spans="1:3" ht="24" customHeight="1">
      <c r="A1636" s="4" t="str">
        <f ca="1">IFERROR(__xludf.DUMMYFUNCTION("""COMPUTED_VALUE"""),"महीं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||")</f>
        <v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||</v>
      </c>
      <c r="B1636" s="4" t="s">
        <v>0</v>
      </c>
      <c r="C1636" s="4"/>
    </row>
    <row r="1637" spans="1:3" ht="24" customHeight="1">
      <c r="A1637" s="4" t="str">
        <f ca="1">IFERROR(__xludf.DUMMYFUNCTION("""COMPUTED_VALUE"""),"ततः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संनमतां अरीणां ||")</f>
        <v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संनमतां अरीणां ||</v>
      </c>
      <c r="B1637" s="4" t="s">
        <v>7</v>
      </c>
      <c r="C1637" s="4"/>
    </row>
    <row r="1638" spans="1:3" ht="24" customHeight="1">
      <c r="A1638" s="4" t="str">
        <f ca="1">IFERROR(__xludf.DUMMYFUNCTION("""COMPUTED_VALUE"""),"सुते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||")</f>
        <v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||</v>
      </c>
      <c r="B1638" s="4" t="s">
        <v>24</v>
      </c>
      <c r="C1638" s="4"/>
    </row>
    <row r="1639" spans="1:3" ht="24" customHeight="1">
      <c r="A1639" s="4" t="str">
        <f ca="1">IFERROR(__xludf.DUMMYFUNCTION("""COMPUTED_VALUE"""),"स्वर्गामिनस्तस्य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||")</f>
        <v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||</v>
      </c>
      <c r="B1639" s="4" t="s">
        <v>0</v>
      </c>
      <c r="C1639" s="4"/>
    </row>
    <row r="1640" spans="1:3" ht="24" customHeight="1">
      <c r="A1640" s="4" t="str">
        <f ca="1">IFERROR(__xludf.DUMMYFUNCTION("""COMPUTED_VALUE"""),"ववेन्दुना तन्नभसोपमेयं शावैकसिंहेन च काननेन । रघोः कुलं कुड्मलपङ्कजेन तोयेन चाप्रौष्हनरेन्द्रं आसीथ् ||")</f>
        <v>ववेन्दुना तन्नभसोपमेयं शावैकसिंहेन च काननेन । रघोः कुलं कुड्मलपङ्कजेन तोयेन चाप्रौष्हनरेन्द्रं आसीथ् ||</v>
      </c>
      <c r="B1640" s="4" t="s">
        <v>18</v>
      </c>
      <c r="C1640" s="4"/>
    </row>
    <row r="1641" spans="1:3" ht="24" customHeight="1">
      <c r="A1641" s="4" t="str">
        <f ca="1">IFERROR(__xludf.DUMMYFUNCTION("""COMPUTED_VALUE"""),"लोकेन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||")</f>
        <v>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||</v>
      </c>
      <c r="B1641" s="4" t="s">
        <v>28</v>
      </c>
      <c r="C1641" s="4"/>
    </row>
    <row r="1642" spans="1:3" ht="24" customHeight="1">
      <c r="A1642" s="4" t="str">
        <f ca="1">IFERROR(__xludf.DUMMYFUNCTION("""COMPUTED_VALUE"""),"तं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||")</f>
        <v>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||</v>
      </c>
      <c r="B1642" s="4" t="s">
        <v>7</v>
      </c>
      <c r="C1642" s="4"/>
    </row>
    <row r="1643" spans="1:3" ht="24" customHeight="1">
      <c r="A1643" s="4" t="str">
        <f ca="1">IFERROR(__xludf.DUMMYFUNCTION("""COMPUTED_VALUE"""),"कामं न सोऽकल्पत पैतृकस्य सिंहासनस्य प्रतिपूरणाय । तेज्ॐअहिम्ना पुनरावृतात्मा तद्व्याप चामीकरपिञ्जरेण ||")</f>
        <v>कामं न सोऽकल्पत पैतृकस्य सिंहासनस्य प्रतिपूरणाय । तेज्ॐअहिम्ना पुनरावृतात्मा तद्व्याप चामीकरपिञ्जरेण ||</v>
      </c>
      <c r="B1643" s="4" t="s">
        <v>7</v>
      </c>
      <c r="C1643" s="4"/>
    </row>
    <row r="1644" spans="1:3" ht="24" customHeight="1">
      <c r="A1644" s="4" t="str">
        <f ca="1">IFERROR(__xludf.DUMMYFUNCTION("""COMPUTED_VALUE"""),"तस्मादधः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||")</f>
        <v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||</v>
      </c>
      <c r="B1644" s="4" t="s">
        <v>17</v>
      </c>
      <c r="C1644" s="4"/>
    </row>
    <row r="1645" spans="1:3" ht="24" customHeight="1">
      <c r="A1645" s="4" t="str">
        <f ca="1">IFERROR(__xludf.DUMMYFUNCTION("""COMPUTED_VALUE"""),"मणौ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||")</f>
        <v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||</v>
      </c>
      <c r="B1645" s="4" t="s">
        <v>9</v>
      </c>
      <c r="C1645" s="4"/>
    </row>
    <row r="1646" spans="1:3" ht="24" customHeight="1">
      <c r="A1646" s="4" t="str">
        <f ca="1">IFERROR(__xludf.DUMMYFUNCTION("""COMPUTED_VALUE"""),"पर्यन्तसंचारितचामरस्य कपोललोलोभयकाकपक्षथ् । तस्याननादुच्चरितो विवादश्चक्शाल वेलास्वपि नार्णवानां ||")</f>
        <v>पर्यन्तसंचारितचामरस्य कपोललोलोभयकाकपक्षथ् । तस्याननादुच्चरितो विवादश्चक्शाल वेलास्वपि नार्णवानां ||</v>
      </c>
      <c r="B1646" s="4" t="s">
        <v>1</v>
      </c>
      <c r="C1646" s="4"/>
    </row>
    <row r="1647" spans="1:3" ht="24" customHeight="1">
      <c r="A1647" s="4" t="str">
        <f ca="1">IFERROR(__xludf.DUMMYFUNCTION("""COMPUTED_VALUE"""),"निर्वृत्तजाम्बूनदपट्टशोभे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||")</f>
        <v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||</v>
      </c>
      <c r="B1647" s="4" t="s">
        <v>0</v>
      </c>
      <c r="C1647" s="4"/>
    </row>
    <row r="1648" spans="1:3" ht="24" customHeight="1">
      <c r="A1648" s="4" t="str">
        <f ca="1">IFERROR(__xludf.DUMMYFUNCTION("""COMPUTED_VALUE"""),"शिरीषपुष्पाधिकसौकुमार्यः खेदं स यायादपि श्रुतवृद्धयोगाथ् । नितान्तगुर्वीं अपि चानुभावाद्धुरं धरित्र्या बिभरां बभूव ||")</f>
        <v>शिरीषपुष्पाधिकसौकुमार्यः खेदं स यायादपि श्रुतवृद्धयोगाथ् । नितान्तगुर्वीं अपि चानुभावाद्धुरं धरित्र्या बिभरां बभूव ||</v>
      </c>
      <c r="B1648" s="4" t="s">
        <v>4</v>
      </c>
      <c r="C1648" s="4"/>
    </row>
    <row r="1649" spans="1:3" ht="24" customHeight="1">
      <c r="A1649" s="4" t="str">
        <f ca="1">IFERROR(__xludf.DUMMYFUNCTION("""COMPUTED_VALUE"""),"न्यस्ताक्षरां अक्षरभूमिकायां कार्त्स्न्येन गृह्णाति लिपिं न यावथ् । सर्वाणि तावच्छ्रुतवृद्धयोगात्फलान्युपायुङ्क्त स दण्डनीतेः ||")</f>
        <v>न्यस्ताक्षरां अक्षरभूमिकायां कार्त्स्न्येन गृह्णाति लिपिं न यावथ् । सर्वाणि तावच्छ्रुतवृद्धयोगात्फलान्युपायुङ्क्त स दण्डनीतेः ||</v>
      </c>
      <c r="B1649" s="4" t="s">
        <v>2</v>
      </c>
      <c r="C1649" s="4"/>
    </row>
    <row r="1650" spans="1:3" ht="24" customHeight="1">
      <c r="A1650" s="4" t="str">
        <f ca="1">IFERROR(__xludf.DUMMYFUNCTION("""COMPUTED_VALUE"""),"उरस्यपर्याप्तभागा प्रौढीभविष्यन्तं उदीक्षमाणा । संजातलज्जेव तं आतपत्रछ्हायाछलेनोपजुगूह लक्ष्मीः ||")</f>
        <v>उरस्यपर्याप्तभागा प्रौढीभविष्यन्तं उदीक्षमाणा । संजातलज्जेव तं आतपत्रछ्हायाछलेनोपजुगूह लक्ष्मीः ||</v>
      </c>
      <c r="B1650" s="4" t="s">
        <v>12</v>
      </c>
      <c r="C1650" s="4"/>
    </row>
    <row r="1651" spans="1:3" ht="24" customHeight="1">
      <c r="A1651" s="4" t="str">
        <f ca="1">IFERROR(__xludf.DUMMYFUNCTION("""COMPUTED_VALUE"""),"अनश्नुवानेन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||")</f>
        <v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||</v>
      </c>
      <c r="B1651" s="4" t="s">
        <v>12</v>
      </c>
      <c r="C1651" s="4"/>
    </row>
    <row r="1652" spans="1:3" ht="24" customHeight="1">
      <c r="A1652" s="4" t="str">
        <f ca="1">IFERROR(__xludf.DUMMYFUNCTION("""COMPUTED_VALUE"""),"न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||")</f>
        <v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||</v>
      </c>
      <c r="B1652" s="4" t="s">
        <v>9</v>
      </c>
      <c r="C1652" s="4"/>
    </row>
    <row r="1653" spans="1:3" ht="24" customHeight="1">
      <c r="A1653" s="4" t="str">
        <f ca="1">IFERROR(__xludf.DUMMYFUNCTION("""COMPUTED_VALUE"""),"स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||")</f>
        <v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||</v>
      </c>
      <c r="B1653" s="4" t="s">
        <v>5</v>
      </c>
      <c r="C1653" s="4"/>
    </row>
    <row r="1654" spans="1:3" ht="24" customHeight="1">
      <c r="A1654" s="4" t="str">
        <f ca="1">IFERROR(__xludf.DUMMYFUNCTION("""COMPUTED_VALUE"""),"व्यूह्य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||")</f>
        <v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||</v>
      </c>
      <c r="B1654" s="4" t="s">
        <v>1</v>
      </c>
      <c r="C1654" s="4"/>
    </row>
    <row r="1655" spans="1:3" ht="24" customHeight="1">
      <c r="A1655" s="4" t="str">
        <f ca="1">IFERROR(__xludf.DUMMYFUNCTION("""COMPUTED_VALUE"""),"अथ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||")</f>
        <v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||</v>
      </c>
      <c r="B1655" s="4" t="s">
        <v>17</v>
      </c>
      <c r="C1655" s="4"/>
    </row>
    <row r="1656" spans="1:3" ht="24" customHeight="1">
      <c r="A1656" s="4" t="str">
        <f ca="1">IFERROR(__xludf.DUMMYFUNCTION("""COMPUTED_VALUE"""),"प्रतिकृतिरचनाभयो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||")</f>
        <v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||</v>
      </c>
      <c r="B1656" s="4" t="s">
        <v>5</v>
      </c>
      <c r="C1656" s="4"/>
    </row>
    <row r="1657" spans="1:3" ht="24" customHeight="1">
      <c r="A1657" s="4" t="str">
        <f ca="1">IFERROR(__xludf.DUMMYFUNCTION("""COMPUTED_VALUE"""),"स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||")</f>
        <v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||</v>
      </c>
      <c r="B1657" s="4" t="s">
        <v>4</v>
      </c>
      <c r="C1657" s="4"/>
    </row>
    <row r="1658" spans="1:3" ht="24" customHeight="1">
      <c r="A1658" s="4" t="str">
        <f ca="1">IFERROR(__xludf.DUMMYFUNCTION("""COMPUTED_VALUE"""),"तेनोरुवीर्येण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||")</f>
        <v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||</v>
      </c>
      <c r="B1658" s="4" t="s">
        <v>1</v>
      </c>
      <c r="C1658" s="4"/>
    </row>
    <row r="1659" spans="1:3" ht="24" customHeight="1">
      <c r="A1659" s="4" t="str">
        <f ca="1">IFERROR(__xludf.DUMMYFUNCTION("""COMPUTED_VALUE"""),"शब्दादि निर्विश्य सुखं चिराय तस्मिन्प्रतिष्ठापितराजशब्दः । क्ॐउद्वतेयः कुमुदावदातैर्द्यां अर्जितां कर्मभिरारुरोह ||")</f>
        <v>शब्दादि निर्विश्य सुखं चिराय तस्मिन्प्रतिष्ठापितराजशब्दः । क्ॐउद्वतेयः कुमुदावदातैर्द्यां अर्जितां कर्मभिरारुरोह ||</v>
      </c>
      <c r="B1659" s="4" t="s">
        <v>24</v>
      </c>
      <c r="C1659" s="4"/>
    </row>
    <row r="1660" spans="1:3" ht="24" customHeight="1">
      <c r="A1660" s="4" t="str">
        <f ca="1">IFERROR(__xludf.DUMMYFUNCTION("""COMPUTED_VALUE"""),"पौत्रः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||")</f>
        <v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||</v>
      </c>
      <c r="B1660" s="4" t="s">
        <v>3</v>
      </c>
      <c r="C1660" s="4"/>
    </row>
    <row r="1661" spans="1:3" ht="24" customHeight="1">
      <c r="A1661" s="4" t="str">
        <f ca="1">IFERROR(__xludf.DUMMYFUNCTION("""COMPUTED_VALUE"""),"तस्यानलौजास्तनयस्तदन्ते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||")</f>
        <v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||</v>
      </c>
      <c r="B1661" s="4" t="s">
        <v>0</v>
      </c>
      <c r="C1661" s="4"/>
    </row>
    <row r="1662" spans="1:3" ht="24" customHeight="1">
      <c r="A1662" s="4" t="str">
        <f ca="1">IFERROR(__xludf.DUMMYFUNCTION("""COMPUTED_VALUE"""),"नभश्चरैर्गीतयश्यामतनुं तनूजं नभस्तलश्यामतनुं तनूजं । ख्यातं नभःशब्दमयेन नाम्ना कान्तं नभ्ॐआसं इव प्रजानां ||")</f>
        <v>नभश्चरैर्गीतयश्यामतनुं तनूजं नभस्तलश्यामतनुं तनूजं । ख्यातं नभःशब्दमयेन नाम्ना कान्तं नभ्ॐआसं इव प्रजानां ||</v>
      </c>
      <c r="B1662" s="4" t="s">
        <v>1</v>
      </c>
      <c r="C1662" s="4"/>
    </row>
    <row r="1663" spans="1:3" ht="24" customHeight="1">
      <c r="A1663" s="4" t="str">
        <f ca="1">IFERROR(__xludf.DUMMYFUNCTION("""COMPUTED_VALUE"""),"तस्मै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||")</f>
        <v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||</v>
      </c>
      <c r="B1663" s="4" t="s">
        <v>20</v>
      </c>
      <c r="C1663" s="4"/>
    </row>
    <row r="1664" spans="1:3" ht="24" customHeight="1">
      <c r="A1664" s="4" t="str">
        <f ca="1">IFERROR(__xludf.DUMMYFUNCTION("""COMPUTED_VALUE"""),"तेन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||")</f>
        <v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||</v>
      </c>
      <c r="B1664" s="4" t="s">
        <v>0</v>
      </c>
      <c r="C1664" s="4"/>
    </row>
    <row r="1665" spans="1:3" ht="24" customHeight="1">
      <c r="A1665" s="4" t="str">
        <f ca="1">IFERROR(__xludf.DUMMYFUNCTION("""COMPUTED_VALUE"""),"स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||")</f>
        <v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||</v>
      </c>
      <c r="B1665" s="4" t="s">
        <v>0</v>
      </c>
      <c r="C1665" s="4"/>
    </row>
    <row r="1666" spans="1:3" ht="24" customHeight="1">
      <c r="A1666" s="4" t="str">
        <f ca="1">IFERROR(__xludf.DUMMYFUNCTION("""COMPUTED_VALUE"""),"अनीकिनीनां समरेऽग्रयायी तस्यापि देवप्रतिमः सुतोऽभूथ् । व्यश्रूयतानीकपदावसानं देवादि नाम त्रिदिवेऽपि यस्य ||")</f>
        <v>अनीकिनीनां समरेऽग्रयायी तस्यापि देवप्रतिमः सुतोऽभूथ् । व्यश्रूयतानीकपदावसानं देवादि नाम त्रिदिवेऽपि यस्य ||</v>
      </c>
      <c r="B1666" s="4" t="s">
        <v>5</v>
      </c>
      <c r="C1666" s="4"/>
    </row>
    <row r="1667" spans="1:3" ht="24" customHeight="1">
      <c r="A1667" s="4" t="str">
        <f ca="1">IFERROR(__xludf.DUMMYFUNCTION("""COMPUTED_VALUE"""),"पिता समाराधनतत्परेण पुत्रेण पुत्री स यथैव तेन । पुत्रस्तथैवाधिकवत्सलेन स तेन पित्रा पितृमान्बभूव ||")</f>
        <v>पिता समाराधनतत्परेण पुत्रेण पुत्री स यथैव तेन । पुत्रस्तथैवाधिकवत्सलेन स तेन पित्रा पितृमान्बभूव ||</v>
      </c>
      <c r="B1667" s="4" t="s">
        <v>4</v>
      </c>
      <c r="C1667" s="4"/>
    </row>
    <row r="1668" spans="1:3" ht="24" customHeight="1">
      <c r="A1668" s="4" t="str">
        <f ca="1">IFERROR(__xludf.DUMMYFUNCTION("""COMPUTED_VALUE"""),"पूर्वस्तयोरात्मसमे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||")</f>
        <v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||</v>
      </c>
      <c r="B1668" s="4" t="s">
        <v>19</v>
      </c>
      <c r="C1668" s="4"/>
    </row>
    <row r="1669" spans="1:3" ht="24" customHeight="1">
      <c r="A1669" s="4" t="str">
        <f ca="1">IFERROR(__xludf.DUMMYFUNCTION("""COMPUTED_VALUE"""),"वशी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||")</f>
        <v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||</v>
      </c>
      <c r="B1669" s="4" t="s">
        <v>2</v>
      </c>
      <c r="C1669" s="4"/>
    </row>
    <row r="1670" spans="1:3" ht="24" customHeight="1">
      <c r="A1670" s="4" t="str">
        <f ca="1">IFERROR(__xludf.DUMMYFUNCTION("""COMPUTED_VALUE"""),"अहीनगुर्नाम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||")</f>
        <v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||</v>
      </c>
      <c r="B1670" s="4" t="s">
        <v>2</v>
      </c>
      <c r="C1670" s="4"/>
    </row>
    <row r="1671" spans="1:3" ht="24" customHeight="1">
      <c r="A1671" s="4" t="str">
        <f ca="1">IFERROR(__xludf.DUMMYFUNCTION("""COMPUTED_VALUE"""),"गुरोः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||")</f>
        <v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||</v>
      </c>
      <c r="B1671" s="4" t="s">
        <v>4</v>
      </c>
      <c r="C1671" s="4"/>
    </row>
    <row r="1672" spans="1:3" ht="24" customHeight="1">
      <c r="A1672" s="4" t="str">
        <f ca="1">IFERROR(__xludf.DUMMYFUNCTION("""COMPUTED_VALUE"""),"तस्मिन्प्रयाते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||")</f>
        <v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||</v>
      </c>
      <c r="B1672" s="4" t="s">
        <v>0</v>
      </c>
      <c r="C1672" s="4"/>
    </row>
    <row r="1673" spans="1:3" ht="24" customHeight="1">
      <c r="A1673" s="4" t="str">
        <f ca="1">IFERROR(__xludf.DUMMYFUNCTION("""COMPUTED_VALUE"""),"तस्याभवत्सूनुरुदारशीलः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||")</f>
        <v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||</v>
      </c>
      <c r="B1673" s="4" t="s">
        <v>1</v>
      </c>
      <c r="C1673" s="4"/>
    </row>
    <row r="1674" spans="1:3" ht="24" customHeight="1">
      <c r="A1674" s="4" t="str">
        <f ca="1">IFERROR(__xludf.DUMMYFUNCTION("""COMPUTED_VALUE"""),"तं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उपरुद्धवृत्तं ||")</f>
        <v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उपरुद्धवृत्तं ||</v>
      </c>
      <c r="B1674" s="4" t="s">
        <v>2</v>
      </c>
      <c r="C1674" s="4"/>
    </row>
    <row r="1675" spans="1:3" ht="24" customHeight="1">
      <c r="A1675" s="4" t="str">
        <f ca="1">IFERROR(__xludf.DUMMYFUNCTION("""COMPUTED_VALUE"""),"तं रागबन्धिष्ववितृप्तं एव भोगेषु सौभाग्यविशेषभोग्यं । विलासिनीनां अरतिक्षमापि जरा वृथा मत्सरिणी जहार ||")</f>
        <v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||</v>
      </c>
      <c r="B1675" s="4" t="s">
        <v>0</v>
      </c>
      <c r="C1675" s="4"/>
    </row>
    <row r="1676" spans="1:3" ht="24" customHeight="1">
      <c r="A1676" s="4" t="str">
        <f ca="1">IFERROR(__xludf.DUMMYFUNCTION("""COMPUTED_VALUE"""),"उन्नाभ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||")</f>
        <v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||</v>
      </c>
      <c r="B1676" s="4" t="s">
        <v>5</v>
      </c>
      <c r="C1676" s="4"/>
    </row>
    <row r="1677" spans="1:3" ht="24" customHeight="1">
      <c r="A1677" s="4" t="str">
        <f ca="1">IFERROR(__xludf.DUMMYFUNCTION("""COMPUTED_VALUE"""),"ततः परं वज्रधरप्रभावस्तदात्मजः संयति वज्रघोषः । बभूव वज्राकरभुषणायाः पतिः पृथिव्याः किल वज्रनाभः ||")</f>
        <v>ततः परं वज्रधरप्रभावस्तदात्मजः संयति वज्रघोषः । बभूव वज्राकरभुषणायाः पतिः पृथिव्याः किल वज्रनाभः ||</v>
      </c>
      <c r="B1677" s="4" t="s">
        <v>6</v>
      </c>
      <c r="C1677" s="4"/>
    </row>
    <row r="1678" spans="1:3" ht="24" customHeight="1">
      <c r="A1678" s="4" t="str">
        <f ca="1">IFERROR(__xludf.DUMMYFUNCTION("""COMPUTED_VALUE"""),"तस्मिन्गते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||")</f>
        <v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||</v>
      </c>
      <c r="B1678" s="4" t="s">
        <v>5</v>
      </c>
      <c r="C1678" s="4"/>
    </row>
    <row r="1679" spans="1:3" ht="24" customHeight="1">
      <c r="A1679" s="4" t="str">
        <f ca="1">IFERROR(__xludf.DUMMYFUNCTION("""COMPUTED_VALUE"""),"तस्यावसाने हरिदश्वधामा पित्र्यं प्रपेदे पदं अश्विरूपः । वेलातटेषूषितसैनिकाश्वं पुराविदो यं ध्युषिताश्वं आहुः ||")</f>
        <v>तस्यावसाने हरिदश्वधामा पित्र्यं प्रपेदे पदं अश्विरूपः । वेलातटेषूषितसैनिकाश्वं पुराविदो यं ध्युषिताश्वं आहुः ||</v>
      </c>
      <c r="B1679" s="4" t="s">
        <v>24</v>
      </c>
      <c r="C1679" s="4"/>
    </row>
    <row r="1680" spans="1:3" ht="24" customHeight="1">
      <c r="A1680" s="4" t="str">
        <f ca="1">IFERROR(__xludf.DUMMYFUNCTION("""COMPUTED_VALUE"""),"आराध्य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||")</f>
        <v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||</v>
      </c>
      <c r="B1680" s="4" t="s">
        <v>12</v>
      </c>
      <c r="C1680" s="4"/>
    </row>
    <row r="1681" spans="1:3" ht="24" customHeight="1">
      <c r="A1681" s="4" t="str">
        <f ca="1">IFERROR(__xludf.DUMMYFUNCTION("""COMPUTED_VALUE"""),"अंशे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सानिलोऽभूथ् ||")</f>
        <v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सानिलोऽभूथ् ||</v>
      </c>
      <c r="B1681" s="4" t="s">
        <v>6</v>
      </c>
      <c r="C1681" s="4"/>
    </row>
    <row r="1682" spans="1:3" ht="24" customHeight="1">
      <c r="A1682" s="4" t="str">
        <f ca="1">IFERROR(__xludf.DUMMYFUNCTION("""COMPUTED_VALUE"""),"पिता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||")</f>
        <v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||</v>
      </c>
      <c r="B1682" s="4" t="s">
        <v>4</v>
      </c>
      <c r="C1682" s="4"/>
    </row>
    <row r="1683" spans="1:3" ht="24" customHeight="1">
      <c r="A1683" s="4" t="str">
        <f ca="1">IFERROR(__xludf.DUMMYFUNCTION("""COMPUTED_VALUE"""),"कौसल्य इत्युत्तरकोसलानां पत्युः पतंगान्वयभूषणस्य । तस्यौरसः स्ॐअसुतः सुतोऽभून्नेत्रोत्सवः स्ॐअ इव द्वितीयः ||")</f>
        <v>कौसल्य इत्युत्तरकोसलानां पत्युः पतंगान्वयभूषणस्य । तस्यौरसः स्ॐअसुतः सुतोऽभून्नेत्रोत्सवः स्ॐअ इव द्वितीयः ||</v>
      </c>
      <c r="B1683" s="4" t="s">
        <v>5</v>
      </c>
      <c r="C1683" s="4"/>
    </row>
    <row r="1684" spans="1:3" ht="24" customHeight="1">
      <c r="A1684" s="4" t="str">
        <f ca="1">IFERROR(__xludf.DUMMYFUNCTION("""COMPUTED_VALUE"""),"कौसल्य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||")</f>
        <v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||</v>
      </c>
      <c r="B1684" s="4" t="s">
        <v>2</v>
      </c>
      <c r="C1684" s="4"/>
    </row>
    <row r="1685" spans="1:3" ht="24" customHeight="1">
      <c r="A1685" s="4" t="str">
        <f ca="1">IFERROR(__xludf.DUMMYFUNCTION("""COMPUTED_VALUE"""),"अग्निवर्णम्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||")</f>
        <v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||</v>
      </c>
      <c r="B1685" s="4" t="s">
        <v>8</v>
      </c>
      <c r="C1685" s="4"/>
    </row>
    <row r="1686" spans="1:3" ht="24" customHeight="1">
      <c r="A1686" s="4" t="str">
        <f ca="1">IFERROR(__xludf.DUMMYFUNCTION("""COMPUTED_VALUE"""),"तत्र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||")</f>
        <v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||</v>
      </c>
      <c r="B1686" s="4" t="s">
        <v>9</v>
      </c>
      <c r="C1686" s="4"/>
    </row>
    <row r="1687" spans="1:3" ht="24" customHeight="1">
      <c r="A1687" s="4" t="str">
        <f ca="1">IFERROR(__xludf.DUMMYFUNCTION("""COMPUTED_VALUE"""),"लब्धपालनविधौ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||")</f>
        <v>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||</v>
      </c>
      <c r="B1687" s="4" t="s">
        <v>2</v>
      </c>
      <c r="C1687" s="4"/>
    </row>
    <row r="1688" spans="1:3" ht="24" customHeight="1">
      <c r="A1688" s="4" t="str">
        <f ca="1">IFERROR(__xludf.DUMMYFUNCTION("""COMPUTED_VALUE"""),"सोऽधिकारं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स्त्रीविधेयनवयौवनोऽभवथ् ||")</f>
        <v>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स्त्रीविधेयनवयौवनोऽभवथ् ||</v>
      </c>
      <c r="B1688" s="4" t="s">
        <v>4</v>
      </c>
      <c r="C1688" s="4"/>
    </row>
    <row r="1689" spans="1:3" ht="24" customHeight="1">
      <c r="A1689" s="4" t="str">
        <f ca="1">IFERROR(__xludf.DUMMYFUNCTION("""COMPUTED_VALUE"""),"कामिनीसहचरस्य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||")</f>
        <v>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||</v>
      </c>
      <c r="B1689" s="4" t="s">
        <v>4</v>
      </c>
      <c r="C1689" s="4"/>
    </row>
    <row r="1690" spans="1:3" ht="24" customHeight="1">
      <c r="A1690" s="4" t="str">
        <f ca="1">IFERROR(__xludf.DUMMYFUNCTION("""COMPUTED_VALUE"""),"इन्द्रियार्थपरिशून्यं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||")</f>
        <v>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||</v>
      </c>
      <c r="B1690" s="4" t="s">
        <v>3</v>
      </c>
      <c r="C1690" s="4"/>
    </row>
    <row r="1691" spans="1:3" ht="24" customHeight="1">
      <c r="A1691" s="4" t="str">
        <f ca="1">IFERROR(__xludf.DUMMYFUNCTION("""COMPUTED_VALUE"""),"गौरवाद्यदपि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||")</f>
        <v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||</v>
      </c>
      <c r="B1691" s="4" t="s">
        <v>2</v>
      </c>
      <c r="C1691" s="4"/>
    </row>
    <row r="1692" spans="1:3" ht="24" customHeight="1">
      <c r="A1692" s="4" t="str">
        <f ca="1">IFERROR(__xludf.DUMMYFUNCTION("""COMPUTED_VALUE"""),"तं कृतप्रणतयोऽनुजीविनः क्ॐअलात्मनखरागरूषितं । भेजिरे नवदिवाकरातपस्पृष्टपङ्कजतुलाधिरोहणं ||")</f>
        <v>तं कृतप्रणतयोऽनुजीविनः क्ॐअलात्मनखरागरूषितं । भेजिरे नवदिवाकरातपस्पृष्टपङ्कजतुलाधिरोहणं ||</v>
      </c>
      <c r="B1692" s="4" t="s">
        <v>7</v>
      </c>
      <c r="C1692" s="4"/>
    </row>
    <row r="1693" spans="1:3" ht="24" customHeight="1">
      <c r="A1693" s="4" t="str">
        <f ca="1">IFERROR(__xludf.DUMMYFUNCTION("""COMPUTED_VALUE"""),"युवनोन्नतविलासिनीस्तनक्षोभलोलकमलाश्च दीर्घिकाः । गूढमोहनगृहास्तदम्बुभिः स व्यगाहत विगाढमन्मथः ||")</f>
        <v>युवनोन्नतविलासिनीस्तनक्षोभलोलकमलाश्च दीर्घिकाः । गूढमोहनगृहास्तदम्बुभिः स व्यगाहत विगाढमन्मथः ||</v>
      </c>
      <c r="B1693" s="4" t="s">
        <v>10</v>
      </c>
      <c r="C1693" s="4"/>
    </row>
    <row r="1694" spans="1:3" ht="24" customHeight="1">
      <c r="A1694" s="4" t="str">
        <f ca="1">IFERROR(__xludf.DUMMYFUNCTION("""COMPUTED_VALUE"""),"तत्र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||")</f>
        <v>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||</v>
      </c>
      <c r="B1694" s="4" t="s">
        <v>14</v>
      </c>
      <c r="C1694" s="4"/>
    </row>
    <row r="1695" spans="1:3" ht="24" customHeight="1">
      <c r="A1695" s="4" t="str">
        <f ca="1">IFERROR(__xludf.DUMMYFUNCTION("""COMPUTED_VALUE"""),"घ्राणकान्तमधुगन्धकर्षिणीः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||")</f>
        <v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||</v>
      </c>
      <c r="B1695" s="4" t="s">
        <v>9</v>
      </c>
      <c r="C1695" s="4"/>
    </row>
    <row r="1696" spans="1:3" ht="24" customHeight="1">
      <c r="A1696" s="4" t="str">
        <f ca="1">IFERROR(__xludf.DUMMYFUNCTION("""COMPUTED_VALUE"""),"सातिरेकमदकारणं रहस्तेन दत्तं अभिलेषुरङ्गनाः । ताभिरप्युपहृतं मुखासवं सोऽपिबद्बकुलतुल्यदोहदः ||")</f>
        <v>सातिरेकमदकारणं रहस्तेन दत्तं अभिलेषुरङ्गनाः । ताभिरप्युपहृतं मुखासवं सोऽपिबद्बकुलतुल्यदोहदः ||</v>
      </c>
      <c r="B1696" s="4" t="s">
        <v>17</v>
      </c>
      <c r="C1696" s="4"/>
    </row>
    <row r="1697" spans="1:3" ht="24" customHeight="1">
      <c r="A1697" s="4" t="str">
        <f ca="1">IFERROR(__xludf.DUMMYFUNCTION("""COMPUTED_VALUE"""),"अङ्कं अङ्कपरिवर्तनोचिते तस्य निन्यतुरशून्यतां उभे । वल्लकी च हृदयंगमस्वना वल्गुवागपि च वामलोचना ||")</f>
        <v>अङ्कं अङ्कपरिवर्तनोचिते तस्य निन्यतुरशून्यतां उभे । वल्लकी च हृदयंगमस्वना वल्गुवागपि च वामलोचना ||</v>
      </c>
      <c r="B1697" s="4" t="s">
        <v>1</v>
      </c>
      <c r="C1697" s="4"/>
    </row>
    <row r="1698" spans="1:3" ht="24" customHeight="1">
      <c r="A1698" s="4" t="str">
        <f ca="1">IFERROR(__xludf.DUMMYFUNCTION("""COMPUTED_VALUE"""),"स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गुरुष्वलज्जवथ् ||")</f>
        <v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गुरुष्वलज्जवथ् ||</v>
      </c>
      <c r="B1698" s="4" t="s">
        <v>4</v>
      </c>
      <c r="C1698" s="4"/>
    </row>
    <row r="1699" spans="1:3" ht="24" customHeight="1">
      <c r="A1699" s="4" t="str">
        <f ca="1">IFERROR(__xludf.DUMMYFUNCTION("""COMPUTED_VALUE"""),"चारु नृत्यविगमे च तन्मुखं स्वेदभिन्नतिलकं परिश्रमाथ् । प्रेमदत्तवदनानिअः मनः सोऽन्वजीवदमरालकेश्वरौ ||")</f>
        <v>चारु नृत्यविगमे च तन्मुखं स्वेदभिन्नतिलकं परिश्रमाथ् । प्रेमदत्तवदनानिअः मनः सोऽन्वजीवदमरालकेश्वरौ ||</v>
      </c>
      <c r="B1699" s="4" t="s">
        <v>0</v>
      </c>
      <c r="C1699" s="4"/>
    </row>
    <row r="1700" spans="1:3" ht="24" customHeight="1">
      <c r="A1700" s="4" t="str">
        <f ca="1">IFERROR(__xludf.DUMMYFUNCTION("""COMPUTED_VALUE"""),"तस्य सावरणदृष्टसंधयः काम्यवस्तुषु नवेषु सङ्गिनः । वल्लभाभिरुपसृत्य चक्रिरे सामिभुक्तविषयाः समागमाः ||")</f>
        <v>तस्य सावरणदृष्टसंधयः काम्यवस्तुषु नवेषु सङ्गिनः । वल्लभाभिरुपसृत्य चक्रिरे सामिभुक्तविषयाः समागमाः ||</v>
      </c>
      <c r="B1700" s="4" t="s">
        <v>12</v>
      </c>
      <c r="C1700" s="4"/>
    </row>
    <row r="1701" spans="1:3" ht="24" customHeight="1">
      <c r="A1701" s="4" t="str">
        <f ca="1">IFERROR(__xludf.DUMMYFUNCTION("""COMPUTED_VALUE"""),"अङ्गुलीकिसलयाग्रतर्जनं भ्रूविभङ्गकुटिलं च वीक्षितं । मेखलाभिरसकृच्च बन्धनं वञ्चयन्प्रणयिनीरवाप सः ||")</f>
        <v>अङ्गुलीकिसलयाग्रतर्जनं भ्रूविभङ्गकुटिलं च वीक्षितं । मेखलाभिरसकृच्च बन्धनं वञ्चयन्प्रणयिनीरवाप सः ||</v>
      </c>
      <c r="B1701" s="4" t="s">
        <v>18</v>
      </c>
      <c r="C1701" s="4"/>
    </row>
    <row r="1702" spans="1:3" ht="24" customHeight="1">
      <c r="A1702" s="4" t="str">
        <f ca="1">IFERROR(__xludf.DUMMYFUNCTION("""COMPUTED_VALUE"""),"तेन दूतिविदितं निषेदुषा पृष्ठतः सुरतवाररात्रिषु । शुश्रुवे प्रियजनस्य कातरं विप्रलम्भपरिशङ्किनो वचः ||")</f>
        <v>तेन दूतिविदितं निषेदुषा पृष्ठतः सुरतवाररात्रिषु । शुश्रुवे प्रियजनस्य कातरं विप्रलम्भपरिशङ्किनो वचः ||</v>
      </c>
      <c r="B1702" s="4" t="s">
        <v>16</v>
      </c>
      <c r="C1702" s="4"/>
    </row>
    <row r="1703" spans="1:3" ht="24" customHeight="1">
      <c r="A1703" s="4" t="str">
        <f ca="1">IFERROR(__xludf.DUMMYFUNCTION("""COMPUTED_VALUE"""),"लौल्यं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||")</f>
        <v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||</v>
      </c>
      <c r="B1703" s="4" t="s">
        <v>19</v>
      </c>
      <c r="C1703" s="4"/>
    </row>
    <row r="1704" spans="1:3" ht="24" customHeight="1">
      <c r="A1704" s="4" t="str">
        <f ca="1">IFERROR(__xludf.DUMMYFUNCTION("""COMPUTED_VALUE"""),"प्रेमगर्वितविपक्षमत्सरादायताच्च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||")</f>
        <v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||</v>
      </c>
      <c r="B1704" s="4" t="s">
        <v>2</v>
      </c>
      <c r="C1704" s="4"/>
    </row>
    <row r="1705" spans="1:3" ht="24" customHeight="1">
      <c r="A1705" s="4" t="str">
        <f ca="1">IFERROR(__xludf.DUMMYFUNCTION("""COMPUTED_VALUE"""),"प्रातरेत्य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||")</f>
        <v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||</v>
      </c>
      <c r="B1705" s="4" t="s">
        <v>1</v>
      </c>
      <c r="C1705" s="4"/>
    </row>
    <row r="1706" spans="1:3" ht="24" customHeight="1">
      <c r="A1706" s="4" t="str">
        <f ca="1">IFERROR(__xludf.DUMMYFUNCTION("""COMPUTED_VALUE"""),"स्वप्नकीर्तितविपक्षं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||")</f>
        <v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||</v>
      </c>
      <c r="B1706" s="4" t="s">
        <v>1</v>
      </c>
      <c r="C1706" s="4"/>
    </row>
    <row r="1707" spans="1:3" ht="24" customHeight="1">
      <c r="A1707" s="4" t="str">
        <f ca="1">IFERROR(__xludf.DUMMYFUNCTION("""COMPUTED_VALUE"""),"क्ëप्तपुष्पशयनांल्लतागृहानेत्य दूतिकृतमार्गदर्शनः । अन्वभूत्परिजनाङ्गनारतं सोऽवरोधभयवेपथूत्तरं ||")</f>
        <v>क्ëप्तपुष्पशयनांल्लतागृहानेत्य दूतिकृतमार्गदर्शनः । अन्वभूत्परिजनाङ्गनारतं सोऽवरोधभयवेपथूत्तरं ||</v>
      </c>
      <c r="B1707" s="4" t="s">
        <v>0</v>
      </c>
      <c r="C1707" s="4"/>
    </row>
    <row r="1708" spans="1:3" ht="24" customHeight="1">
      <c r="A1708" s="4" t="str">
        <f ca="1">IFERROR(__xludf.DUMMYFUNCTION("""COMPUTED_VALUE"""),"नाम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||")</f>
        <v>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||</v>
      </c>
      <c r="B1708" s="4" t="s">
        <v>1</v>
      </c>
      <c r="C1708" s="4"/>
    </row>
    <row r="1709" spans="1:3" ht="24" customHeight="1">
      <c r="A1709" s="4" t="str">
        <f ca="1">IFERROR(__xludf.DUMMYFUNCTION("""COMPUTED_VALUE"""),"चूर्णबभ्रु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विभ्रमर्ततान्यपावृणोथ् ||")</f>
        <v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विभ्रमर्ततान्यपावृणोथ् ||</v>
      </c>
      <c r="B1709" s="4" t="s">
        <v>7</v>
      </c>
      <c r="C1709" s="4"/>
    </row>
    <row r="1710" spans="1:3" ht="24" customHeight="1">
      <c r="A1710" s="4" t="str">
        <f ca="1">IFERROR(__xludf.DUMMYFUNCTION("""COMPUTED_VALUE"""),"स स्वयं चरणरागं आदधे योषितं न च तथा समाहितः । लोभ्यमाननयनः श्लथांशुकैर्मेखलागुणपदैर्नितम्बिभिः ||")</f>
        <v>स स्वयं चरणरागं आदधे योषितं न च तथा समाहितः । लोभ्यमाननयनः श्लथांशुकैर्मेखलागुणपदैर्नितम्बिभिः ||</v>
      </c>
      <c r="B1710" s="4" t="s">
        <v>6</v>
      </c>
      <c r="C1710" s="4"/>
    </row>
    <row r="1711" spans="1:3" ht="24" customHeight="1">
      <c r="A1711" s="4" t="str">
        <f ca="1">IFERROR(__xludf.DUMMYFUNCTION("""COMPUTED_VALUE"""),"चुम्बने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||")</f>
        <v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||</v>
      </c>
      <c r="B1711" s="4" t="s">
        <v>2</v>
      </c>
      <c r="C1711" s="4"/>
    </row>
    <row r="1712" spans="1:3" ht="24" customHeight="1">
      <c r="A1712" s="4" t="str">
        <f ca="1">IFERROR(__xludf.DUMMYFUNCTION("""COMPUTED_VALUE"""),"दर्पणेषु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||")</f>
        <v>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||</v>
      </c>
      <c r="B1712" s="4" t="s">
        <v>18</v>
      </c>
      <c r="C1712" s="4"/>
    </row>
    <row r="1713" spans="1:3" ht="24" customHeight="1">
      <c r="A1713" s="4" t="str">
        <f ca="1">IFERROR(__xludf.DUMMYFUNCTION("""COMPUTED_VALUE"""),"कण्ठसक्तमृदुबाहुबन्धनं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||")</f>
        <v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||</v>
      </c>
      <c r="B1713" s="4" t="s">
        <v>1</v>
      </c>
      <c r="C1713" s="4"/>
    </row>
    <row r="1714" spans="1:3" ht="24" customHeight="1">
      <c r="A1714" s="4" t="str">
        <f ca="1">IFERROR(__xludf.DUMMYFUNCTION("""COMPUTED_VALUE"""),"प्रेक्ष्य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||")</f>
        <v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||</v>
      </c>
      <c r="B1714" s="4" t="s">
        <v>1</v>
      </c>
      <c r="C1714" s="4"/>
    </row>
    <row r="1715" spans="1:3" ht="24" customHeight="1">
      <c r="A1715" s="4" t="str">
        <f ca="1">IFERROR(__xludf.DUMMYFUNCTION("""COMPUTED_VALUE"""),"मित्रकृत्यं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||")</f>
        <v>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||</v>
      </c>
      <c r="B1715" s="4" t="s">
        <v>24</v>
      </c>
      <c r="C1715" s="4"/>
    </row>
    <row r="1716" spans="1:3" ht="24" customHeight="1">
      <c r="A1716" s="4" t="str">
        <f ca="1">IFERROR(__xludf.DUMMYFUNCTION("""COMPUTED_VALUE"""),"तस्य निर्दयरतिश्रमालसाः कण्ठसूत्रं अपदिश्ययोषितः । अध्यशेरत बृहद्(?) भुजान्तरं पीवरस्तनविलुप्तचन्दनं ||")</f>
        <v>तस्य निर्दयरतिश्रमालसाः कण्ठसूत्रं अपदिश्ययोषितः । अध्यशेरत बृहद्(?) भुजान्तरं पीवरस्तनविलुप्तचन्दनं ||</v>
      </c>
      <c r="B1716" s="4" t="s">
        <v>1</v>
      </c>
      <c r="C1716" s="4"/>
    </row>
    <row r="1717" spans="1:3" ht="24" customHeight="1">
      <c r="A1717" s="4" t="str">
        <f ca="1">IFERROR(__xludf.DUMMYFUNCTION("""COMPUTED_VALUE"""),"संगमाय निशि गूढचारिणं चारदूतिकथितं पुरो गताः । वञ्चयिष्यसि कुतस्तमोवृतः कामुकेति चकृषुस्तं अङ्गनाः ||")</f>
        <v>संगमाय निशि गूढचारिणं चारदूतिकथितं पुरो गताः । वञ्चयिष्यसि कुतस्तमोवृतः कामुकेति चकृषुस्तं अङ्गनाः ||</v>
      </c>
      <c r="B1717" s="4" t="s">
        <v>1</v>
      </c>
      <c r="C1717" s="4"/>
    </row>
    <row r="1718" spans="1:3" ht="24" customHeight="1">
      <c r="A1718" s="4" t="str">
        <f ca="1">IFERROR(__xludf.DUMMYFUNCTION("""COMPUTED_VALUE"""),"योषितां उडुपतेरिवाचिषां स्पर्शनिर्वृतिं असावनाप्नुवन् । आरुरोह कुमुदाकरोपमां रात्रिजागरपरो दिवाशयः ||")</f>
        <v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||</v>
      </c>
      <c r="B1718" s="4" t="s">
        <v>5</v>
      </c>
      <c r="C1718" s="4"/>
    </row>
    <row r="1719" spans="1:3" ht="24" customHeight="1">
      <c r="A1719" s="4" t="str">
        <f ca="1">IFERROR(__xludf.DUMMYFUNCTION("""COMPUTED_VALUE"""),"वेणुना दशनपीडिताधरा वीणया नखपदाङ्कितोरवः । शिलपकार्य उभयेन वेजितास्तं विजिह्मनयना व्यलोभयन् ||")</f>
        <v>वेणुना दशनपीडिताधरा वीणया नखपदाङ्कितोरवः । शिलपकार्य उभयेन वेजितास्तं विजिह्मनयना व्यलोभयन् ||</v>
      </c>
      <c r="B1719" s="4" t="s">
        <v>5</v>
      </c>
      <c r="C1719" s="4"/>
    </row>
    <row r="1720" spans="1:3" ht="24" customHeight="1">
      <c r="A1720" s="4" t="str">
        <f ca="1">IFERROR(__xludf.DUMMYFUNCTION("""COMPUTED_VALUE"""),"अङ्गसत्त्ववचनाश्रयं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||")</f>
        <v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||</v>
      </c>
      <c r="B1720" s="4" t="s">
        <v>20</v>
      </c>
      <c r="C1720" s="4"/>
    </row>
    <row r="1721" spans="1:3" ht="24" customHeight="1">
      <c r="A1721" s="4" t="str">
        <f ca="1">IFERROR(__xludf.DUMMYFUNCTION("""COMPUTED_VALUE"""),"अंसलम्बिकुटजार्जुनस्रजस्तस्य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||")</f>
        <v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||</v>
      </c>
      <c r="B1721" s="4" t="s">
        <v>12</v>
      </c>
      <c r="C1721" s="4"/>
    </row>
    <row r="1722" spans="1:3" ht="24" customHeight="1">
      <c r="A1722" s="4" t="str">
        <f ca="1">IFERROR(__xludf.DUMMYFUNCTION("""COMPUTED_VALUE"""),"विग्रहाच्च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||")</f>
        <v>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||</v>
      </c>
      <c r="B1722" s="4" t="s">
        <v>0</v>
      </c>
      <c r="C1722" s="4"/>
    </row>
    <row r="1723" spans="1:3" ht="24" customHeight="1">
      <c r="A1723" s="4" t="str">
        <f ca="1">IFERROR(__xludf.DUMMYFUNCTION("""COMPUTED_VALUE"""),"कार्त्तिकीषु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||")</f>
        <v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||</v>
      </c>
      <c r="B1723" s="4" t="s">
        <v>19</v>
      </c>
      <c r="C1723" s="4"/>
    </row>
    <row r="1724" spans="1:3" ht="24" customHeight="1">
      <c r="A1724" s="4" t="str">
        <f ca="1">IFERROR(__xludf.DUMMYFUNCTION("""COMPUTED_VALUE"""),"सैकतं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सौधजाल्विवरैर्व्यलोकयथ् ||")</f>
        <v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सौधजाल्विवरैर्व्यलोकयथ् ||</v>
      </c>
      <c r="B1724" s="4" t="s">
        <v>5</v>
      </c>
      <c r="C1724" s="4"/>
    </row>
    <row r="1725" spans="1:3" ht="24" customHeight="1">
      <c r="A1725" s="4" t="str">
        <f ca="1">IFERROR(__xludf.DUMMYFUNCTION("""COMPUTED_VALUE"""),"मर्मरैरगुरुधूपगन्धिभिर्व्यक्तहेमर्शनैस्तं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||")</f>
        <v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||</v>
      </c>
      <c r="B1725" s="4" t="s">
        <v>12</v>
      </c>
      <c r="C1725" s="4"/>
    </row>
    <row r="1726" spans="1:3" ht="24" customHeight="1">
      <c r="A1726" s="4" t="str">
        <f ca="1">IFERROR(__xludf.DUMMYFUNCTION("""COMPUTED_VALUE"""),"अर्पितस्तिमितदीपदृष्टयो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||")</f>
        <v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||</v>
      </c>
      <c r="B1726" s="4" t="s">
        <v>5</v>
      </c>
      <c r="C1726" s="4"/>
    </row>
    <row r="1727" spans="1:3" ht="24" customHeight="1">
      <c r="A1727" s="4" t="str">
        <f ca="1">IFERROR(__xludf.DUMMYFUNCTION("""COMPUTED_VALUE"""),"दक्षिणेन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||")</f>
        <v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||</v>
      </c>
      <c r="B1727" s="4" t="s">
        <v>1</v>
      </c>
      <c r="C1727" s="4"/>
    </row>
    <row r="1728" spans="1:3" ht="24" customHeight="1">
      <c r="A1728" s="4" t="str">
        <f ca="1">IFERROR(__xludf.DUMMYFUNCTION("""COMPUTED_VALUE"""),"ताः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||")</f>
        <v>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||</v>
      </c>
      <c r="B1728" s="4" t="s">
        <v>6</v>
      </c>
      <c r="C1728" s="4"/>
    </row>
    <row r="1729" spans="1:6" ht="24" customHeight="1">
      <c r="A1729" s="4" t="str">
        <f ca="1">IFERROR(__xludf.DUMMYFUNCTION("""COMPUTED_VALUE"""),"तं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||")</f>
        <v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||</v>
      </c>
      <c r="B1729" s="4" t="s">
        <v>5</v>
      </c>
      <c r="C1729" s="4"/>
    </row>
    <row r="1730" spans="1:6" ht="24" customHeight="1">
      <c r="A1730" s="4" t="str">
        <f ca="1">IFERROR(__xludf.DUMMYFUNCTION("""COMPUTED_VALUE"""),"यत्स भग्नसहकारं आसवं रक्तपाटलसमागमं पपौ । तेन तस्य मधुनिर्गमात्कृशश्चित्तयोनिरभवत्पुनर्नवः ||")</f>
        <v>यत्स भग्नसहकारं आसवं रक्तपाटलसमागमं पपौ । तेन तस्य मधुनिर्गमात्कृशश्चित्तयोनिरभवत्पुनर्नवः ||</v>
      </c>
      <c r="B1730" s="4" t="s">
        <v>4</v>
      </c>
      <c r="C1730" s="4"/>
    </row>
    <row r="1731" spans="1:6" ht="24" customHeight="1">
      <c r="A1731" s="4" t="str">
        <f ca="1">IFERROR(__xludf.DUMMYFUNCTION("""COMPUTED_VALUE"""),"एवं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||")</f>
        <v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||</v>
      </c>
      <c r="B1731" s="4" t="s">
        <v>2</v>
      </c>
      <c r="C1731" s="4"/>
    </row>
    <row r="1732" spans="1:6" ht="24" customHeight="1">
      <c r="A1732" s="4" t="str">
        <f ca="1">IFERROR(__xludf.DUMMYFUNCTION("""COMPUTED_VALUE"""),"तं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अक्षिणोथ् ||")</f>
        <v>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अक्षिणोथ् ||</v>
      </c>
      <c r="B1732" s="4" t="s">
        <v>7</v>
      </c>
      <c r="C1732" s="4"/>
    </row>
    <row r="1733" spans="1:6" ht="24" customHeight="1">
      <c r="A1733" s="4" t="str">
        <f ca="1">IFERROR(__xludf.DUMMYFUNCTION("""COMPUTED_VALUE"""),"दृष्टदोषं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||")</f>
        <v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||</v>
      </c>
      <c r="B1733" s="4" t="s">
        <v>2</v>
      </c>
      <c r="C1733" s="4"/>
    </row>
    <row r="1734" spans="1:6" ht="24" customHeight="1">
      <c r="A1734" s="4" t="str">
        <f ca="1">IFERROR(__xludf.DUMMYFUNCTION("""COMPUTED_VALUE"""),"तस्य पाण्डुवदनाल्पभूषणा सावलम्बगमना मृदुस्वना । यक्ष्मणापि परिहानिराययौ कामयानसमवस्थया तुलां ||")</f>
        <v>तस्य पाण्डुवदनाल्पभूषणा सावलम्बगमना मृदुस्वना । यक्ष्मणापि परिहानिराययौ कामयानसमवस्थया तुलां ||</v>
      </c>
      <c r="B1734" s="4" t="s">
        <v>11</v>
      </c>
      <c r="C1734" s="4"/>
    </row>
    <row r="1735" spans="1:6" ht="24" customHeight="1">
      <c r="A1735" s="4" t="str">
        <f ca="1">IFERROR(__xludf.DUMMYFUNCTION("""COMPUTED_VALUE"""),"व्य्ॐअ पश्चिमकलास्थितेन्दु वा पङ्कशेषं इव घर्मपल्वलं । राज्ञि तत्कुलं अभूत्क्षयातुरे वामनार्चिरिव दीपभाजनं ||")</f>
        <v>व्य्ॐअ पश्चिमकलास्थितेन्दु वा पङ्कशेषं इव घर्मपल्वलं । राज्ञि तत्कुलं अभूत्क्षयातुरे वामनार्चिरिव दीपभाजनं ||</v>
      </c>
      <c r="B1735" s="4" t="s">
        <v>1</v>
      </c>
      <c r="C1735" s="4"/>
    </row>
    <row r="1736" spans="1:6" ht="24" customHeight="1">
      <c r="A1736" s="4" t="str">
        <f ca="1">IFERROR(__xludf.DUMMYFUNCTION("""COMPUTED_VALUE"""),"बाढं एषु दिवसेषु कर्म साधयति पुत्रजन्मने । इत्यदर्शितरुजोऽस्य मन्त्रिणः शश्वदूचुरघशङ्किनीः प्रजाः ||")</f>
        <v>बाढं एषु दिवसेषु कर्म साधयति पुत्रजन्मने । इत्यदर्शितरुजोऽस्य मन्त्रिणः शश्वदूचुरघशङ्किनीः प्रजाः ||</v>
      </c>
      <c r="B1736" s="4" t="s">
        <v>3</v>
      </c>
      <c r="C1736" s="4"/>
    </row>
    <row r="1737" spans="1:6" ht="24" customHeight="1">
      <c r="A1737" s="4" t="str">
        <f ca="1">IFERROR(__xludf.DUMMYFUNCTION("""COMPUTED_VALUE"""),"स त्वनेकवनितासखोऽपि सन्पावनीं अनवलोक्य संततिं । वैद्ययत्नपरिभाविनं गदं न प्रदीप इव वायुं अत्यगाथ् ||")</f>
        <v>स त्वनेकवनितासखोऽपि सन्पावनीं अनवलोक्य संततिं । वैद्ययत्नपरिभाविनं गदं न प्रदीप इव वायुं अत्यगाथ् ||</v>
      </c>
      <c r="B1737" s="4" t="s">
        <v>15</v>
      </c>
      <c r="C1737" s="4"/>
    </row>
    <row r="1738" spans="1:6" ht="24" customHeight="1">
      <c r="A1738" s="4" t="str">
        <f ca="1">IFERROR(__xludf.DUMMYFUNCTION("""COMPUTED_VALUE"""),"तं गृहोपवन एव संगताः पश्चिमक्रतुविदा पुरोधसा । रोगशान्तिं अपदिश्य मन्त्रिणः संभृते शिखिनि गूढं आदधुः ||")</f>
        <v>तं गृहोपवन एव संगताः पश्चिमक्रतुविदा पुरोधसा । रोगशान्तिं अपदिश्य मन्त्रिणः संभृते शिखिनि गूढं आदधुः ||</v>
      </c>
      <c r="B1738" s="4" t="s">
        <v>20</v>
      </c>
      <c r="C1738" s="4"/>
    </row>
    <row r="1739" spans="1:6" ht="24" customHeight="1">
      <c r="A1739" s="4" t="str">
        <f ca="1">IFERROR(__xludf.DUMMYFUNCTION("""COMPUTED_VALUE"""),"तैः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||")</f>
        <v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||</v>
      </c>
      <c r="B1739" s="4" t="s">
        <v>5</v>
      </c>
      <c r="C1739" s="4"/>
    </row>
    <row r="1740" spans="1:6" ht="24" customHeight="1">
      <c r="A1740" s="4" t="str">
        <f ca="1">IFERROR(__xludf.DUMMYFUNCTION("""COMPUTED_VALUE"""),"तस्यास्तथाविधनरेन्द्रविपत्तिशोकादुष्णैर्विलोचनजलैः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||")</f>
        <v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||</v>
      </c>
      <c r="B1740" s="4" t="s">
        <v>6</v>
      </c>
      <c r="C1740" s="4"/>
    </row>
    <row r="1741" spans="1:6" ht="24" customHeight="1">
      <c r="A1741" s="4" t="str">
        <f ca="1">IFERROR(__xludf.DUMMYFUNCTION("""COMPUTED_VALUE"""),"तं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||")</f>
        <v>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||</v>
      </c>
      <c r="B1741" s="4" t="s">
        <v>25</v>
      </c>
      <c r="C1741" s="4"/>
    </row>
    <row r="1742" spans="1:6" ht="24" customHeight="1">
      <c r="A1742" s="1" t="str">
        <f ca="1">IFERROR(__xludf.DUMMYFUNCTION("""COMPUTED_VALUE"""),"अस्त्युत्तरस्यां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॥कुमारसंभवम् १.१ ॥")</f>
        <v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॥कुमारसंभवम् १.१ ॥</v>
      </c>
      <c r="B1742" s="1" t="s">
        <v>29</v>
      </c>
      <c r="C1742" s="1"/>
      <c r="D1742" s="5"/>
      <c r="E1742" s="5"/>
      <c r="F1742" s="5"/>
    </row>
    <row r="1743" spans="1:6" ht="24" customHeight="1">
      <c r="A1743" s="1" t="str">
        <f ca="1">IFERROR(__xludf.DUMMYFUNCTION("""COMPUTED_VALUE"""),"यं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॥कुमारसंभवम् १.२ ॥")</f>
        <v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॥कुमारसंभवम् १.२ ॥</v>
      </c>
      <c r="B1743" s="1" t="s">
        <v>0</v>
      </c>
      <c r="C1743" s="1"/>
    </row>
    <row r="1744" spans="1:6" ht="24" customHeight="1">
      <c r="A1744" s="1" t="str">
        <f ca="1">IFERROR(__xludf.DUMMYFUNCTION("""COMPUTED_VALUE"""),"अनन्तरत्नप्रभवस्य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॥कुमारसंभवम् १.३ ॥")</f>
        <v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॥कुमारसंभवम् १.३ ॥</v>
      </c>
      <c r="B1744" s="1" t="s">
        <v>19</v>
      </c>
      <c r="C1744" s="1"/>
    </row>
    <row r="1745" spans="1:3" ht="24" customHeight="1">
      <c r="A1745" s="1" t="str">
        <f ca="1">IFERROR(__xludf.DUMMYFUNCTION("""COMPUTED_VALUE"""),"यश्चाप्सरोविभ्रममण्डनानां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॥कुमारसंभवम् १.४ ॥")</f>
        <v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॥कुमारसंभवम् १.४ ॥</v>
      </c>
      <c r="B1745" s="1" t="s">
        <v>2</v>
      </c>
      <c r="C1745" s="1"/>
    </row>
    <row r="1746" spans="1:3" ht="24" customHeight="1">
      <c r="A1746" s="1" t="str">
        <f ca="1">IFERROR(__xludf.DUMMYFUNCTION("""COMPUTED_VALUE"""),"आमेखलं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सिद्धाः॥कुमारसंभवम् १.५ ॥")</f>
        <v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सिद्धाः॥कुमारसंभवम् १.५ ॥</v>
      </c>
      <c r="B1746" s="1" t="s">
        <v>20</v>
      </c>
      <c r="C1746" s="1"/>
    </row>
    <row r="1747" spans="1:3" ht="24" customHeight="1">
      <c r="A1747" s="1" t="str">
        <f ca="1">IFERROR(__xludf.DUMMYFUNCTION("""COMPUTED_VALUE"""),"पदं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॥कुमारसंभवम् १.६ ॥")</f>
        <v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॥कुमारसंभवम् १.६ ॥</v>
      </c>
      <c r="B1747" s="1" t="s">
        <v>2</v>
      </c>
      <c r="C1747" s="1"/>
    </row>
    <row r="1748" spans="1:3" ht="24" customHeight="1">
      <c r="A1748" s="1" t="str">
        <f ca="1">IFERROR(__xludf.DUMMYFUNCTION("""COMPUTED_VALUE"""),"न्यस्ताक्षरा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॥कुमारसंभवम् १.७ ॥")</f>
        <v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॥कुमारसंभवम् १.७ ॥</v>
      </c>
      <c r="B1748" s="1" t="s">
        <v>15</v>
      </c>
      <c r="C1748" s="1"/>
    </row>
    <row r="1749" spans="1:3" ht="24" customHeight="1">
      <c r="A1749" s="1" t="str">
        <f ca="1">IFERROR(__xludf.DUMMYFUNCTION("""COMPUTED_VALUE"""),"यः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॥कुमारसंभवम् १.८ ॥")</f>
        <v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॥कुमारसंभवम् १.८ ॥</v>
      </c>
      <c r="B1749" s="1" t="s">
        <v>2</v>
      </c>
      <c r="C1749" s="1"/>
    </row>
    <row r="1750" spans="1:3" ht="24" customHeight="1">
      <c r="A1750" s="1" t="str">
        <f ca="1">IFERROR(__xludf.DUMMYFUNCTION("""COMPUTED_VALUE"""),"कपोलंकण्डू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॥कुमारसंभवम् १.९ ॥")</f>
        <v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॥कुमारसंभवम् १.९ ॥</v>
      </c>
      <c r="B1750" s="1" t="s">
        <v>2</v>
      </c>
      <c r="C1750" s="1"/>
    </row>
    <row r="1751" spans="1:3" ht="24" customHeight="1">
      <c r="A1751" s="1" t="str">
        <f ca="1">IFERROR(__xludf.DUMMYFUNCTION("""COMPUTED_VALUE"""),"वनेचराणां वनितासखानां दरीगृहोत्सङ्गनिषक्तभासः। भवन्ति यत्रौषधयो रजन्यामतैलपूराः सुरतप्रदीपाः ॥कुमारसंभवम् १.१० ॥")</f>
        <v>वनेचराणां वनितासखानां दरीगृहोत्सङ्गनिषक्तभासः। भवन्ति यत्रौषधयो रजन्यामतैलपूराः सुरतप्रदीपाः ॥कुमारसंभवम् १.१० ॥</v>
      </c>
      <c r="B1751" s="1" t="s">
        <v>9</v>
      </c>
      <c r="C1751" s="1"/>
    </row>
    <row r="1752" spans="1:3" ht="24" customHeight="1">
      <c r="A1752" s="1" t="str">
        <f ca="1">IFERROR(__xludf.DUMMYFUNCTION("""COMPUTED_VALUE"""),"उद्वेजयत्यङ्गुलिपार्णिभागान्मार्गे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॥कुमारसंभवम् १.११ ॥")</f>
        <v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॥कुमारसंभवम् १.११ ॥</v>
      </c>
      <c r="B1752" s="1" t="s">
        <v>5</v>
      </c>
      <c r="C1752" s="1"/>
    </row>
    <row r="1753" spans="1:3" ht="24" customHeight="1">
      <c r="A1753" s="1" t="str">
        <f ca="1">IFERROR(__xludf.DUMMYFUNCTION("""COMPUTED_VALUE"""),"दिवाकराद्रक्षति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॥कुमारसंभवम् १.१२ ॥")</f>
        <v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॥कुमारसंभवम् १.१२ ॥</v>
      </c>
      <c r="B1753" s="1" t="s">
        <v>4</v>
      </c>
      <c r="C1753" s="1"/>
    </row>
    <row r="1754" spans="1:3" ht="24" customHeight="1">
      <c r="A1754" s="1" t="str">
        <f ca="1">IFERROR(__xludf.DUMMYFUNCTION("""COMPUTED_VALUE"""),"लाङ्गूलविक्षेपविसर्पिशोभैरितस्ततश्चन्द्रमरीचिगौरैः।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वालव्यजनैश्चमर्यः॥कुमारसंभवम् १.१३ ॥")</f>
        <v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वालव्यजनैश्चमर्यः॥कुमारसंभवम् १.१३ ॥</v>
      </c>
      <c r="B1754" s="1" t="s">
        <v>5</v>
      </c>
      <c r="C1754" s="1"/>
    </row>
    <row r="1755" spans="1:3" ht="24" customHeight="1">
      <c r="A1755" s="1" t="str">
        <f ca="1">IFERROR(__xludf.DUMMYFUNCTION("""COMPUTED_VALUE"""),"यत्रांशुकाक्षेपविलञ्जितानां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॥कुमारसंभवम् १.१४ ॥")</f>
        <v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॥कुमारसंभवम् १.१४ ॥</v>
      </c>
      <c r="B1755" s="1" t="s">
        <v>2</v>
      </c>
      <c r="C1755" s="1"/>
    </row>
    <row r="1756" spans="1:3" ht="24" customHeight="1">
      <c r="A1756" s="1" t="str">
        <f ca="1">IFERROR(__xludf.DUMMYFUNCTION("""COMPUTED_VALUE"""),"भागीरथीनिर्झरसीकराणां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॥कुमारसंभवम् १.१५ ॥")</f>
        <v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॥कुमारसंभवम् १.१५ ॥</v>
      </c>
      <c r="B1756" s="1" t="s">
        <v>24</v>
      </c>
      <c r="C1756" s="1"/>
    </row>
    <row r="1757" spans="1:3" ht="24" customHeight="1">
      <c r="A1757" s="1" t="str">
        <f ca="1">IFERROR(__xludf.DUMMYFUNCTION("""COMPUTED_VALUE"""),"सप्तर्षिहस्तावचितावशेषाण्यधो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॥कुमारसंभवम् १.१६ ॥")</f>
        <v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॥कुमारसंभवम् १.१६ ॥</v>
      </c>
      <c r="B1757" s="1" t="s">
        <v>14</v>
      </c>
      <c r="C1757" s="1"/>
    </row>
    <row r="1758" spans="1:3" ht="24" customHeight="1">
      <c r="A1758" s="1" t="str">
        <f ca="1">IFERROR(__xludf.DUMMYFUNCTION("""COMPUTED_VALUE"""),"यज्ञाङ्गयोनित्वमवेक्ष्य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॥कुमारसंभवम् १.१७ ॥")</f>
        <v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॥कुमारसंभवम् १.१७ ॥</v>
      </c>
      <c r="B1758" s="1" t="s">
        <v>22</v>
      </c>
      <c r="C1758" s="1"/>
    </row>
    <row r="1759" spans="1:3" ht="24" customHeight="1">
      <c r="A1759" s="1" t="str">
        <f ca="1">IFERROR(__xludf.DUMMYFUNCTION("""COMPUTED_VALUE"""),"तस्मिन्विप्रकृताः काले तारकेण दिवौकसः ।  तुरासाहं पुरोधाय धाम स्वायंभुवं ययुः ॥कुमारसंभवम्२.१॥")</f>
        <v>तस्मिन्विप्रकृताः काले तारकेण दिवौकसः ।  तुरासाहं पुरोधाय धाम स्वायंभुवं ययुः ॥कुमारसंभवम्२.१॥</v>
      </c>
      <c r="B1759" s="1" t="s">
        <v>5</v>
      </c>
      <c r="C1759" s="1"/>
    </row>
    <row r="1760" spans="1:3" ht="24" customHeight="1">
      <c r="A1760" s="1" t="str">
        <f ca="1">IFERROR(__xludf.DUMMYFUNCTION("""COMPUTED_VALUE""")," तेषामाविरभूद्ब्रह्मा परिम्लानमुखश्रियाम् ।  सरसा सुप्तपद्मानां प्रातर्दीधितिमानिव ॥कुमारसंभवम् २.२ ॥")</f>
        <v xml:space="preserve"> तेषामाविरभूद्ब्रह्मा परिम्लानमुखश्रियाम् ।  सरसा सुप्तपद्मानां प्रातर्दीधितिमानिव ॥कुमारसंभवम् २.२ ॥</v>
      </c>
      <c r="B1760" s="1" t="s">
        <v>4</v>
      </c>
      <c r="C1760" s="1"/>
    </row>
    <row r="1761" spans="1:3" ht="24" customHeight="1">
      <c r="A1761" s="1" t="str">
        <f ca="1">IFERROR(__xludf.DUMMYFUNCTION("""COMPUTED_VALUE"""),"अथ सर्वस्व धातारं ते सर्वे सर्वतोमुखम् । वागीशं वाग्मिराभिः प्रणिपत्योपतस्थिरे ॥कुमारसंभवम् २.३ ॥")</f>
        <v>अथ सर्वस्व धातारं ते सर्वे सर्वतोमुखम् । वागीशं वाग्मिराभिः प्रणिपत्योपतस्थिरे ॥कुमारसंभवम् २.३ ॥</v>
      </c>
      <c r="B1761" s="1" t="s">
        <v>0</v>
      </c>
      <c r="C1761" s="1"/>
    </row>
    <row r="1762" spans="1:3" ht="24" customHeight="1">
      <c r="A1762" s="1" t="str">
        <f ca="1">IFERROR(__xludf.DUMMYFUNCTION("""COMPUTED_VALUE"""),"नमस्त्रिमूर्तये तुभ्यं प्राक्सृष्टेः केवलात्मने । गुणत्रयविभागाय पश्चाद्भेदमुपेयुषे ॥कुमारसंभवम् २.४ ॥")</f>
        <v>नमस्त्रिमूर्तये तुभ्यं प्राक्सृष्टेः केवलात्मने । गुणत्रयविभागाय पश्चाद्भेदमुपेयुषे ॥कुमारसंभवम् २.४ ॥</v>
      </c>
      <c r="B1762" s="1" t="s">
        <v>13</v>
      </c>
      <c r="C1762" s="1"/>
    </row>
    <row r="1763" spans="1:3" ht="24" customHeight="1">
      <c r="A1763" s="1" t="str">
        <f ca="1">IFERROR(__xludf.DUMMYFUNCTION("""COMPUTED_VALUE"""),"यदमोघमपामन्तरुतं बीजमज ! त्वया । अतश्चराचरं विश्वं प्रभवस्तस्य गीयसे ॥कुमारसंभवम् २.५ ॥")</f>
        <v>यदमोघमपामन्तरुतं बीजमज ! त्वया । अतश्चराचरं विश्वं प्रभवस्तस्य गीयसे ॥कुमारसंभवम् २.५ ॥</v>
      </c>
      <c r="B1763" s="1" t="s">
        <v>18</v>
      </c>
      <c r="C1763" s="1"/>
    </row>
    <row r="1764" spans="1:3" ht="24" customHeight="1">
      <c r="A1764" s="1" t="str">
        <f ca="1">IFERROR(__xludf.DUMMYFUNCTION("""COMPUTED_VALUE"""),"तिसृभिस्त्वमवस्थाभिर्महिमानमुदीरयन् । प्रलयस्थितिसर्गाणामेकः कारणतां गतः॥कुमारसंभवम् २.६ ॥")</f>
        <v>तिसृभिस्त्वमवस्थाभिर्महिमानमुदीरयन् । प्रलयस्थितिसर्गाणामेकः कारणतां गतः॥कुमारसंभवम् २.६ ॥</v>
      </c>
      <c r="B1764" s="1" t="s">
        <v>2</v>
      </c>
      <c r="C1764" s="1"/>
    </row>
    <row r="1765" spans="1:3" ht="24" customHeight="1">
      <c r="A1765" s="1" t="str">
        <f ca="1">IFERROR(__xludf.DUMMYFUNCTION("""COMPUTED_VALUE"""),"स्त्रीपुंसावात्मभागौ ते भिन्नमूर्तेः सिसृक्षया । प्रसूतिभाजः सर्गस्य तावेव पितरौ स्मृतौ ॥कुमारसंभवम् २.७ ॥")</f>
        <v>स्त्रीपुंसावात्मभागौ ते भिन्नमूर्तेः सिसृक्षया । प्रसूतिभाजः सर्गस्य तावेव पितरौ स्मृतौ ॥कुमारसंभवम् २.७ ॥</v>
      </c>
      <c r="B1765" s="1" t="s">
        <v>2</v>
      </c>
      <c r="C1765" s="1"/>
    </row>
    <row r="1766" spans="1:3" ht="24" customHeight="1">
      <c r="A1766" s="1" t="str">
        <f ca="1">IFERROR(__xludf.DUMMYFUNCTION("""COMPUTED_VALUE"""),"स्वकालपरिमाणेन व्यस्तरात्रिंदिवस्य ते । यो तु स्वप्नावबोधौ तौ भूतानां प्रलयोदयौ ॥कुमारसंभवम् २.८ ॥")</f>
        <v>स्वकालपरिमाणेन व्यस्तरात्रिंदिवस्य ते । यो तु स्वप्नावबोधौ तौ भूतानां प्रलयोदयौ ॥कुमारसंभवम् २.८ ॥</v>
      </c>
      <c r="B1766" s="1" t="s">
        <v>5</v>
      </c>
      <c r="C1766" s="1"/>
    </row>
    <row r="1767" spans="1:3" ht="24" customHeight="1">
      <c r="A1767" s="1" t="str">
        <f ca="1">IFERROR(__xludf.DUMMYFUNCTION("""COMPUTED_VALUE"""),"जगद्योनिरयोनिस्त्वं जगदन्तो निरन्तकः । जगदादिरनादिस्त्वं जगदीशो निरीश्वरः ॥कुमारसंभवम् २.९ ॥ ")</f>
        <v xml:space="preserve">जगद्योनिरयोनिस्त्वं जगदन्तो निरन्तकः । जगदादिरनादिस्त्वं जगदीशो निरीश्वरः ॥कुमारसंभवम् २.९ ॥ </v>
      </c>
      <c r="B1767" s="1" t="s">
        <v>0</v>
      </c>
      <c r="C1767" s="1"/>
    </row>
    <row r="1768" spans="1:3" ht="24" customHeight="1">
      <c r="A1768" s="1" t="str">
        <f ca="1">IFERROR(__xludf.DUMMYFUNCTION("""COMPUTED_VALUE"""),"आत्मानमात्मना वेत्सि सृजस्यात्मानमात्मना । आत्मना कृतिना च त्वमात्मन्येव प्रलीयसे ॥कुमारसंभवम् २.१० ॥")</f>
        <v>आत्मानमात्मना वेत्सि सृजस्यात्मानमात्मना । आत्मना कृतिना च त्वमात्मन्येव प्रलीयसे ॥कुमारसंभवम् २.१० ॥</v>
      </c>
      <c r="B1768" s="1" t="s">
        <v>18</v>
      </c>
      <c r="C1768" s="1"/>
    </row>
    <row r="1769" spans="1:3" ht="24" customHeight="1">
      <c r="A1769" s="1" t="str">
        <f ca="1">IFERROR(__xludf.DUMMYFUNCTION("""COMPUTED_VALUE"""),"द्रवः संघातकठिनः स्थूलः सूक्ष्मो लघुर्गुरुः । व्यक्तो व्यक्तेतरश्चासि प्राकाम्यं ते विभूतिषु ॥कुमारसंभवम् २.११ ॥")</f>
        <v>द्रवः संघातकठिनः स्थूलः सूक्ष्मो लघुर्गुरुः । व्यक्तो व्यक्तेतरश्चासि प्राकाम्यं ते विभूतिषु ॥कुमारसंभवम् २.११ ॥</v>
      </c>
      <c r="B1769" s="1" t="s">
        <v>13</v>
      </c>
      <c r="C1769" s="1"/>
    </row>
    <row r="1770" spans="1:3" ht="24" customHeight="1">
      <c r="A1770" s="1" t="str">
        <f ca="1">IFERROR(__xludf.DUMMYFUNCTION("""COMPUTED_VALUE"""),"उद्धातः प्रणवो यासां न्यायैस्त्रिभिरुदीरणम् । कर्म यज्ञः फलं स्वर्गस्तासां त्वं प्रभवो गिराम् ॥कुमारसंभवम् २.१२ ॥")</f>
        <v>उद्धातः प्रणवो यासां न्यायैस्त्रिभिरुदीरणम् । कर्म यज्ञः फलं स्वर्गस्तासां त्वं प्रभवो गिराम् ॥कुमारसंभवम् २.१२ ॥</v>
      </c>
      <c r="B1770" s="1" t="s">
        <v>0</v>
      </c>
      <c r="C1770" s="1"/>
    </row>
    <row r="1771" spans="1:3" ht="24" customHeight="1">
      <c r="A1771" s="1" t="str">
        <f ca="1">IFERROR(__xludf.DUMMYFUNCTION("""COMPUTED_VALUE"""),"त्वामामनन्ति प्रकृतिं पुरुषार्थप्रवर्तिनीम् । तद्दर्शिनमुदासीनं त्वामेव पुरुषं विदुः॥कुमारसंभवम् २.१३ ॥")</f>
        <v>त्वामामनन्ति प्रकृतिं पुरुषार्थप्रवर्तिनीम् । तद्दर्शिनमुदासीनं त्वामेव पुरुषं विदुः॥कुमारसंभवम् २.१३ ॥</v>
      </c>
      <c r="B1771" s="1" t="s">
        <v>17</v>
      </c>
      <c r="C1771" s="1"/>
    </row>
    <row r="1772" spans="1:3" ht="24" customHeight="1">
      <c r="A1772" s="1" t="str">
        <f ca="1">IFERROR(__xludf.DUMMYFUNCTION("""COMPUTED_VALUE"""),"त्वं पितृणामपि पिता देवानामपि देवता । परतोऽपि परश्वासि विधाता वेधसामपि ॥कुमारसंभवम् २.१४ ॥")</f>
        <v>त्वं पितृणामपि पिता देवानामपि देवता । परतोऽपि परश्वासि विधाता वेधसामपि ॥कुमारसंभवम् २.१४ ॥</v>
      </c>
      <c r="B1772" s="1" t="s">
        <v>9</v>
      </c>
      <c r="C1772" s="1"/>
    </row>
    <row r="1773" spans="1:3" ht="24" customHeight="1">
      <c r="A1773" s="1" t="str">
        <f ca="1">IFERROR(__xludf.DUMMYFUNCTION("""COMPUTED_VALUE"""),"त्वमेव हव्यं होता च भोज्यं भोक्ता च शाश्वतः । वेद्यं च वेदिता चासि ध्याता ध्येयं च यत्परम् ॥कुमारसंभवम् २.१५ ॥")</f>
        <v>त्वमेव हव्यं होता च भोज्यं भोक्ता च शाश्वतः । वेद्यं च वेदिता चासि ध्याता ध्येयं च यत्परम् ॥कुमारसंभवम् २.१५ ॥</v>
      </c>
      <c r="B1773" s="1" t="s">
        <v>0</v>
      </c>
      <c r="C1773" s="1"/>
    </row>
    <row r="1774" spans="1:3" ht="24" customHeight="1">
      <c r="A1774" s="1" t="str">
        <f ca="1">IFERROR(__xludf.DUMMYFUNCTION("""COMPUTED_VALUE"""),"इति तेभ्यः स्तुतीः श्रुत्वा यथार्था हृदयंगमाः । प्रसादाभिमुखो वेधाः प्रत्युवाच दिवौकसः॥कुमारसंभवम् २.१६ ॥")</f>
        <v>इति तेभ्यः स्तुतीः श्रुत्वा यथार्था हृदयंगमाः । प्रसादाभिमुखो वेधाः प्रत्युवाच दिवौकसः॥कुमारसंभवम् २.१६ ॥</v>
      </c>
      <c r="B1774" s="1" t="s">
        <v>18</v>
      </c>
      <c r="C1774" s="1"/>
    </row>
    <row r="1775" spans="1:3" ht="24" customHeight="1">
      <c r="A1775" s="1" t="str">
        <f ca="1">IFERROR(__xludf.DUMMYFUNCTION("""COMPUTED_VALUE"""),"पुराणस्य कवेस्तस्य चतुर्मुखसमीरिता ।  प्रवृत्तिरासीच्छब्दानां चरितार्था चतुष्टयी ॥कुमारसंभवम् २.१७ ॥")</f>
        <v>पुराणस्य कवेस्तस्य चतुर्मुखसमीरिता ।  प्रवृत्तिरासीच्छब्दानां चरितार्था चतुष्टयी ॥कुमारसंभवम् २.१७ ॥</v>
      </c>
      <c r="B1775" s="1" t="s">
        <v>5</v>
      </c>
      <c r="C1775" s="1"/>
    </row>
    <row r="1776" spans="1:3" ht="24" customHeight="1">
      <c r="A1776" s="1" t="str">
        <f ca="1">IFERROR(__xludf.DUMMYFUNCTION("""COMPUTED_VALUE"""),"स्वागतं स्वानधीकारान प्रभावैरवलम्ब्य वः ।  युगपद्युगबाहुभ्यः प्राप्तेभ्यः प्राज्यविक्रमाः ! ॥कुमारसंभवम् २.१८ ॥")</f>
        <v>स्वागतं स्वानधीकारान प्रभावैरवलम्ब्य वः ।  युगपद्युगबाहुभ्यः प्राप्तेभ्यः प्राज्यविक्रमाः ! ॥कुमारसंभवम् २.१८ ॥</v>
      </c>
      <c r="B1776" s="1" t="s">
        <v>12</v>
      </c>
      <c r="C1776" s="1"/>
    </row>
    <row r="1777" spans="1:3" ht="24" customHeight="1">
      <c r="A1777" s="1" t="str">
        <f ca="1">IFERROR(__xludf.DUMMYFUNCTION("""COMPUTED_VALUE"""),"किमिदं द्युतिमात्मीयां न विभ्रति यथा पुरा । हिमक्लिष्टप्रकाशानि ज्योतींषीव मुखानि वः ॥कुमारसंभवम् २.१९ ॥")</f>
        <v>किमिदं द्युतिमात्मीयां न विभ्रति यथा पुरा । हिमक्लिष्टप्रकाशानि ज्योतींषीव मुखानि वः ॥कुमारसंभवम् २.१९ ॥</v>
      </c>
      <c r="B1777" s="1" t="s">
        <v>4</v>
      </c>
      <c r="C1777" s="1"/>
    </row>
    <row r="1778" spans="1:3" ht="24" customHeight="1">
      <c r="A1778" s="1" t="str">
        <f ca="1">IFERROR(__xludf.DUMMYFUNCTION("""COMPUTED_VALUE"""),"प्रशमादर्चिषामेतदद्गीर्णसुरायुधम् । वृत्रस्य हन्तुः कुलिशं कुण्ठिताश्रीव लक्ष्यते ॥कुमारसंभवम्॥कुमारसंभवम्२.२० ॥")</f>
        <v>प्रशमादर्चिषामेतदद्गीर्णसुरायुधम् । वृत्रस्य हन्तुः कुलिशं कुण्ठिताश्रीव लक्ष्यते ॥कुमारसंभवम्॥कुमारसंभवम्२.२० ॥</v>
      </c>
      <c r="B1778" s="1" t="s">
        <v>2</v>
      </c>
      <c r="C1778" s="1"/>
    </row>
    <row r="1779" spans="1:3" ht="24" customHeight="1">
      <c r="A1779" s="1" t="str">
        <f ca="1">IFERROR(__xludf.DUMMYFUNCTION("""COMPUTED_VALUE"""),"किं चायरिदुर्वारः पाणौ पाशः प्रचेतसः । मत्रेण हतवीर्यस्य फणिनो दैन्यमाश्रितः ॥कुमारसंभवम् ॥कुमारसंभवम्२.२१ ॥")</f>
        <v>किं चायरिदुर्वारः पाणौ पाशः प्रचेतसः । मत्रेण हतवीर्यस्य फणिनो दैन्यमाश्रितः ॥कुमारसंभवम् ॥कुमारसंभवम्२.२१ ॥</v>
      </c>
      <c r="B1779" s="1" t="s">
        <v>2</v>
      </c>
      <c r="C1779" s="1"/>
    </row>
    <row r="1780" spans="1:3" ht="24" customHeight="1">
      <c r="A1780" s="1" t="str">
        <f ca="1">IFERROR(__xludf.DUMMYFUNCTION("""COMPUTED_VALUE"""),"कुबेरस्य मनःशल्यं शंसतीव पराभवम् । अपविद्धगदो बाहुर्भग्नशाख इव द्रुमः ॥कुमारसंभवम् ॥कुमारसंभवम्२.२२ ||")</f>
        <v>कुबेरस्य मनःशल्यं शंसतीव पराभवम् । अपविद्धगदो बाहुर्भग्नशाख इव द्रुमः ॥कुमारसंभवम् ॥कुमारसंभवम्२.२२ ||</v>
      </c>
      <c r="B1780" s="1" t="s">
        <v>12</v>
      </c>
      <c r="C1780" s="1"/>
    </row>
    <row r="1781" spans="1:3" ht="24" customHeight="1">
      <c r="A1781" s="1" t="str">
        <f ca="1">IFERROR(__xludf.DUMMYFUNCTION("""COMPUTED_VALUE"""),"यमोऽपि विलिखन् भूमिं दण्डेनास्तमितत्विषा । कुरुतेऽस्मिन्नमोघेऽपि निर्वाणालातलाघवम् ||")</f>
        <v>यमोऽपि विलिखन् भूमिं दण्डेनास्तमितत्विषा । कुरुतेऽस्मिन्नमोघेऽपि निर्वाणालातलाघवम् ||</v>
      </c>
      <c r="B1781" s="1" t="s">
        <v>4</v>
      </c>
      <c r="C1781" s="1"/>
    </row>
    <row r="1782" spans="1:3" ht="24" customHeight="1">
      <c r="A1782" s="1" t="str">
        <f ca="1">IFERROR(__xludf.DUMMYFUNCTION("""COMPUTED_VALUE"""),"अमी च कथमादित्याः प्रतापक्षतिशीतलाः । चित्रन्यस्ता इव गताः प्रकामालोकनीयताम् ॥कुमारसंभवम् २.२४ ॥")</f>
        <v>अमी च कथमादित्याः प्रतापक्षतिशीतलाः । चित्रन्यस्ता इव गताः प्रकामालोकनीयताम् ॥कुमारसंभवम् २.२४ ॥</v>
      </c>
      <c r="B1782" s="1" t="s">
        <v>2</v>
      </c>
      <c r="C1782" s="1"/>
    </row>
    <row r="1783" spans="1:3" ht="24" customHeight="1">
      <c r="A1783" s="1" t="str">
        <f ca="1">IFERROR(__xludf.DUMMYFUNCTION("""COMPUTED_VALUE"""),"पर्याकुलत्वान्मरुतां वेगभङ्गोऽनुमीयते । अम्भसामोघसंरोधः प्रतीपगमनादिव ॥कुमारसंभवम् २.२५ ॥")</f>
        <v>पर्याकुलत्वान्मरुतां वेगभङ्गोऽनुमीयते । अम्भसामोघसंरोधः प्रतीपगमनादिव ॥कुमारसंभवम् २.२५ ॥</v>
      </c>
      <c r="B1783" s="1" t="s">
        <v>4</v>
      </c>
      <c r="C1783" s="1"/>
    </row>
    <row r="1784" spans="1:3" ht="24" customHeight="1">
      <c r="A1784" s="1" t="str">
        <f ca="1">IFERROR(__xludf.DUMMYFUNCTION("""COMPUTED_VALUE"""),"आवर्जितजटामौलिविलम्बिशशिकोटयः। रुद्राणामपि मूर्धानः क्षतहुंकारशंसिनः ॥कुमारसंभवम् २.२६ ॥")</f>
        <v>आवर्जितजटामौलिविलम्बिशशिकोटयः। रुद्राणामपि मूर्धानः क्षतहुंकारशंसिनः ॥कुमारसंभवम् २.२६ ॥</v>
      </c>
      <c r="B1784" s="1" t="s">
        <v>1</v>
      </c>
      <c r="C1784" s="1"/>
    </row>
    <row r="1785" spans="1:3" ht="24" customHeight="1">
      <c r="A1785" s="1" t="str">
        <f ca="1">IFERROR(__xludf.DUMMYFUNCTION("""COMPUTED_VALUE"""),"लब्धप्रतिष्ठाः प्रथमं यूयं किं बलवत्तरेः । अपवादैरिवोत्सर्गाः कृतव्यावृत्तयः परैः ॥कुमारसंभवम् २.२७ ॥")</f>
        <v>लब्धप्रतिष्ठाः प्रथमं यूयं किं बलवत्तरेः । अपवादैरिवोत्सर्गाः कृतव्यावृत्तयः परैः ॥कुमारसंभवम् २.२७ ॥</v>
      </c>
      <c r="B1785" s="1" t="s">
        <v>0</v>
      </c>
      <c r="C1785" s="1"/>
    </row>
    <row r="1786" spans="1:3" ht="24" customHeight="1">
      <c r="A1786" s="1" t="str">
        <f ca="1">IFERROR(__xludf.DUMMYFUNCTION("""COMPUTED_VALUE"""),"तद्बूत वत्साः ! किमितः प्रार्थयध्वं समागताः । मयि सृष्टिर्हि लोकानां रक्षा युष्मास्ववस्थिता ॥कुमारसंभवम्२.२८ ॥ ")</f>
        <v xml:space="preserve">तद्बूत वत्साः ! किमितः प्रार्थयध्वं समागताः । मयि सृष्टिर्हि लोकानां रक्षा युष्मास्ववस्थिता ॥कुमारसंभवम्२.२८ ॥ </v>
      </c>
      <c r="B1786" s="1" t="s">
        <v>2</v>
      </c>
      <c r="C1786" s="1"/>
    </row>
    <row r="1787" spans="1:3" ht="24" customHeight="1">
      <c r="A1787" s="1" t="str">
        <f ca="1">IFERROR(__xludf.DUMMYFUNCTION("""COMPUTED_VALUE"""),"ततो मन्दानिलोद्भूतकमलाकरशोभिना ।  गुरुं नेत्रसहस्रेण नोदयामास वासवः ॥कुमारसंभवम् २.२९ ॥")</f>
        <v>ततो मन्दानिलोद्भूतकमलाकरशोभिना ।  गुरुं नेत्रसहस्रेण नोदयामास वासवः ॥कुमारसंभवम् २.२९ ॥</v>
      </c>
      <c r="B1787" s="1" t="s">
        <v>4</v>
      </c>
      <c r="C1787" s="1"/>
    </row>
    <row r="1788" spans="1:3" ht="24" customHeight="1">
      <c r="A1788" s="1" t="str">
        <f ca="1">IFERROR(__xludf.DUMMYFUNCTION("""COMPUTED_VALUE"""),"स द्विनेत्रं हरेश्चक्षुः सहस्रनयनाधिकम् ।  वाचस्पतिरुवाचेदं प्राञ्जलिजलजासनम् ॥कुमारसंभवम् २.३० ॥")</f>
        <v>स द्विनेत्रं हरेश्चक्षुः सहस्रनयनाधिकम् ।  वाचस्पतिरुवाचेदं प्राञ्जलिजलजासनम् ॥कुमारसंभवम् २.३० ॥</v>
      </c>
      <c r="B1788" s="1" t="s">
        <v>1</v>
      </c>
      <c r="C1788" s="1"/>
    </row>
    <row r="1789" spans="1:3" ht="24" customHeight="1">
      <c r="A1789" s="1" t="str">
        <f ca="1">IFERROR(__xludf.DUMMYFUNCTION("""COMPUTED_VALUE"""),"एवं यदात्थ भगवन्नामृष्टं नः परैः पदम् । प्रत्येकं विनियुक्तात्मा कथं न ज्ञास्यसि प्रभो ॥कुमारसंभवम् २.३१ ॥")</f>
        <v>एवं यदात्थ भगवन्नामृष्टं नः परैः पदम् । प्रत्येकं विनियुक्तात्मा कथं न ज्ञास्यसि प्रभो ॥कुमारसंभवम् २.३१ ॥</v>
      </c>
      <c r="B1789" s="1" t="s">
        <v>6</v>
      </c>
      <c r="C1789" s="1"/>
    </row>
    <row r="1790" spans="1:3" ht="24" customHeight="1">
      <c r="A1790" s="1" t="str">
        <f ca="1">IFERROR(__xludf.DUMMYFUNCTION("""COMPUTED_VALUE"""),"भवल्लब्धवरोदीर्णस्तारकाख्यो महासुरः । उपप्लवाय लोकानां धूमकेतुरिवोत्थितः ॥कुमारसंभवम् २.३२ ॥")</f>
        <v>भवल्लब्धवरोदीर्णस्तारकाख्यो महासुरः । उपप्लवाय लोकानां धूमकेतुरिवोत्थितः ॥कुमारसंभवम् २.३२ ॥</v>
      </c>
      <c r="B1790" s="1" t="s">
        <v>2</v>
      </c>
      <c r="C1790" s="1"/>
    </row>
    <row r="1791" spans="1:3" ht="24" customHeight="1">
      <c r="A1791" s="1" t="str">
        <f ca="1">IFERROR(__xludf.DUMMYFUNCTION("""COMPUTED_VALUE"""),"पुरे तावन्तमेवास्य तनोति रविरातपम् । दीर्घिकाकमलोन्मेषो यावन्मात्रेण साध्यते ॥कुमारसंभवम् २.३३ ॥")</f>
        <v>पुरे तावन्तमेवास्य तनोति रविरातपम् । दीर्घिकाकमलोन्मेषो यावन्मात्रेण साध्यते ॥कुमारसंभवम् २.३३ ॥</v>
      </c>
      <c r="B1791" s="1" t="s">
        <v>2</v>
      </c>
      <c r="C1791" s="1"/>
    </row>
    <row r="1792" spans="1:3" ht="24" customHeight="1">
      <c r="A1792" s="1" t="str">
        <f ca="1">IFERROR(__xludf.DUMMYFUNCTION("""COMPUTED_VALUE"""),"सर्वाभिः सर्वदा चन्द्रस्तं कलाभिनिषेवते । नादत्ते केवलां लेखां हरचूडामणीकृताम् ॥कुमारसंभवम् २.३४ ॥")</f>
        <v>सर्वाभिः सर्वदा चन्द्रस्तं कलाभिनिषेवते । नादत्ते केवलां लेखां हरचूडामणीकृताम् ॥कुमारसंभवम् २.३४ ॥</v>
      </c>
      <c r="B1792" s="1" t="s">
        <v>2</v>
      </c>
      <c r="C1792" s="1"/>
    </row>
    <row r="1793" spans="1:3" ht="24" customHeight="1">
      <c r="A1793" s="1" t="str">
        <f ca="1">IFERROR(__xludf.DUMMYFUNCTION("""COMPUTED_VALUE"""),"व्यावृत्तगतिरुद्याने कुसुमस्तेयसाध्वसात् ।  न वाति वायुस्तत्पार्श्वे तालवृन्तानिलाधिकम् ॥कुमारसंभवम् २.३५ ॥")</f>
        <v>व्यावृत्तगतिरुद्याने कुसुमस्तेयसाध्वसात् ।  न वाति वायुस्तत्पार्श्वे तालवृन्तानिलाधिकम् ॥कुमारसंभवम् २.३५ ॥</v>
      </c>
      <c r="B1793" s="1" t="s">
        <v>19</v>
      </c>
      <c r="C1793" s="1"/>
    </row>
    <row r="1794" spans="1:3" ht="24" customHeight="1">
      <c r="A1794" s="1" t="str">
        <f ca="1">IFERROR(__xludf.DUMMYFUNCTION("""COMPUTED_VALUE"""),"पर्यायसेवामुत्सृज्य पुष्पसंभारतत्पराः । उद्यानपालसामान्यमृतवस्तमुपासते ॥कुमारसंभवम् २.३६ ॥")</f>
        <v>पर्यायसेवामुत्सृज्य पुष्पसंभारतत्पराः । उद्यानपालसामान्यमृतवस्तमुपासते ॥कुमारसंभवम् २.३६ ॥</v>
      </c>
      <c r="B1794" s="1" t="s">
        <v>2</v>
      </c>
      <c r="C1794" s="1"/>
    </row>
    <row r="1795" spans="1:3" ht="24" customHeight="1">
      <c r="A1795" s="1" t="str">
        <f ca="1">IFERROR(__xludf.DUMMYFUNCTION("""COMPUTED_VALUE"""),"तस्योपायनयोग्यानि रत्नानि सरितां पतिः । कथमप्यम्भसामन्तराऽऽनिष्पत्तेः प्रतीक्षते ॥कुमारसंभवम् २.३७ ॥")</f>
        <v>तस्योपायनयोग्यानि रत्नानि सरितां पतिः । कथमप्यम्भसामन्तराऽऽनिष्पत्तेः प्रतीक्षते ॥कुमारसंभवम् २.३७ ॥</v>
      </c>
      <c r="B1795" s="1" t="s">
        <v>2</v>
      </c>
      <c r="C1795" s="1"/>
    </row>
    <row r="1796" spans="1:3" ht="24" customHeight="1">
      <c r="A1796" s="1" t="str">
        <f ca="1">IFERROR(__xludf.DUMMYFUNCTION("""COMPUTED_VALUE"""),"ज्वलन्मणिशिखाश्चैनं वासुकिप्रमुखा निशि । स्थिरप्रदीपतामेत्य भुजंगाः पर्युपासते कुमारसंभवम्॥२.३८ ॥")</f>
        <v>ज्वलन्मणिशिखाश्चैनं वासुकिप्रमुखा निशि । स्थिरप्रदीपतामेत्य भुजंगाः पर्युपासते कुमारसंभवम्॥२.३८ ॥</v>
      </c>
      <c r="B1796" s="1" t="s">
        <v>2</v>
      </c>
      <c r="C1796" s="1"/>
    </row>
    <row r="1797" spans="1:3" ht="24" customHeight="1">
      <c r="A1797" s="1" t="str">
        <f ca="1">IFERROR(__xludf.DUMMYFUNCTION("""COMPUTED_VALUE"""),"तत्कृतानुग्रहापेक्षी तं मुहुर्दूतहारितैः । अनुकूलयतीन्द्रोऽपि कल्पडुमविभूषणैः ॥कुमारसंभवम्२.३९ ॥ ")</f>
        <v xml:space="preserve">तत्कृतानुग्रहापेक्षी तं मुहुर्दूतहारितैः । अनुकूलयतीन्द्रोऽपि कल्पडुमविभूषणैः ॥कुमारसंभवम्२.३९ ॥ </v>
      </c>
      <c r="B1797" s="1" t="s">
        <v>7</v>
      </c>
      <c r="C1797" s="1"/>
    </row>
    <row r="1798" spans="1:3" ht="24" customHeight="1">
      <c r="A1798" s="1" t="str">
        <f ca="1">IFERROR(__xludf.DUMMYFUNCTION("""COMPUTED_VALUE"""),"तेनामरवधूहस्तैः सदयालूनपल्लवाः । अभिज्ञाश्छेदपातानां क्रियन्ते नन्दनद्रुमाः ॥कुमारसंभवम्२.४१ ॥ ")</f>
        <v xml:space="preserve">तेनामरवधूहस्तैः सदयालूनपल्लवाः । अभिज्ञाश्छेदपातानां क्रियन्ते नन्दनद्रुमाः ॥कुमारसंभवम्२.४१ ॥ </v>
      </c>
      <c r="B1798" s="1" t="s">
        <v>12</v>
      </c>
      <c r="C1798" s="1"/>
    </row>
    <row r="1799" spans="1:3" ht="24" customHeight="1">
      <c r="A1799" s="1" t="str">
        <f ca="1">IFERROR(__xludf.DUMMYFUNCTION("""COMPUTED_VALUE"""),"वीज्यते स हि संसुप्तः श्वाससाधारणानिलैः । चामरैः सुरबन्दीनां बाष्पशीकरवर्षिभिः ||")</f>
        <v>वीज्यते स हि संसुप्तः श्वाससाधारणानिलैः । चामरैः सुरबन्दीनां बाष्पशीकरवर्षिभिः ||</v>
      </c>
      <c r="B1799" s="1" t="s">
        <v>6</v>
      </c>
      <c r="C1799" s="1"/>
    </row>
    <row r="1800" spans="1:3" ht="24" customHeight="1">
      <c r="A1800" s="1" t="str">
        <f ca="1">IFERROR(__xludf.DUMMYFUNCTION("""COMPUTED_VALUE"""),"उत्पाट्य मेरुशृङ्गाणि क्षुण्णानि हरितां खुरैः । आक्रीडपर्वतास्तेन कल्पिताः स्वेषु वेश्मसु ॥कुमारसंभवम् २.४३ ॥ ")</f>
        <v xml:space="preserve">उत्पाट्य मेरुशृङ्गाणि क्षुण्णानि हरितां खुरैः । आक्रीडपर्वतास्तेन कल्पिताः स्वेषु वेश्मसु ॥कुमारसंभवम् २.४३ ॥ </v>
      </c>
      <c r="B1800" s="1" t="s">
        <v>18</v>
      </c>
      <c r="C1800" s="1"/>
    </row>
    <row r="1801" spans="1:3" ht="24" customHeight="1">
      <c r="A1801" s="1" t="str">
        <f ca="1">IFERROR(__xludf.DUMMYFUNCTION("""COMPUTED_VALUE"""),"मन्दाकिन्याः पयः शेषं दिग्वारणमदाविलम् । हेमाम्भोरुहशस्यानां तद्वाप्यो धाम सांप्रतम् ॥कुमारसंभवम् २.४४ ॥")</f>
        <v>मन्दाकिन्याः पयः शेषं दिग्वारणमदाविलम् । हेमाम्भोरुहशस्यानां तद्वाप्यो धाम सांप्रतम् ॥कुमारसंभवम् २.४४ ॥</v>
      </c>
      <c r="B1801" s="1" t="s">
        <v>2</v>
      </c>
      <c r="C1801" s="1"/>
    </row>
    <row r="1802" spans="1:3" ht="24" customHeight="1">
      <c r="A1802" s="1" t="str">
        <f ca="1">IFERROR(__xludf.DUMMYFUNCTION("""COMPUTED_VALUE"""),"भुवनालोकनप्रीतिः स्वर्गिभिर्नानुभूयते । खिलीभृते विमानानां तदापातभयात्पथि ॥कुमारसंभवम् २.४५ ॥")</f>
        <v>भुवनालोकनप्रीतिः स्वर्गिभिर्नानुभूयते । खिलीभृते विमानानां तदापातभयात्पथि ॥कुमारसंभवम् २.४५ ॥</v>
      </c>
      <c r="B1802" s="1" t="s">
        <v>10</v>
      </c>
      <c r="C1802" s="1"/>
    </row>
    <row r="1803" spans="1:3" ht="24" customHeight="1">
      <c r="A1803" s="1" t="str">
        <f ca="1">IFERROR(__xludf.DUMMYFUNCTION("""COMPUTED_VALUE"""),"यज्वभिः संभृतं हव्यं विततेष्वध्वरेषु सः । जातवेदोमुखान्मायी मिषतामाच्छिनत्ति नः ॥कुमारसंभवम् २.४६॥")</f>
        <v>यज्वभिः संभृतं हव्यं विततेष्वध्वरेषु सः । जातवेदोमुखान्मायी मिषतामाच्छिनत्ति नः ॥कुमारसंभवम् २.४६॥</v>
      </c>
      <c r="B1803" s="1" t="s">
        <v>1</v>
      </c>
      <c r="C1803" s="1"/>
    </row>
    <row r="1804" spans="1:3" ht="24" customHeight="1">
      <c r="A1804" s="1" t="str">
        <f ca="1">IFERROR(__xludf.DUMMYFUNCTION("""COMPUTED_VALUE"""),"उच्चैरुच्चैःश्रवास्तेन हयरत्नमहारि च । देहबद्धमिवेन्द्रस्य चिरकालार्जितं यशः ॥कुमारसंभवम् २.४७ ॥")</f>
        <v>उच्चैरुच्चैःश्रवास्तेन हयरत्नमहारि च । देहबद्धमिवेन्द्रस्य चिरकालार्जितं यशः ॥कुमारसंभवम् २.४७ ॥</v>
      </c>
      <c r="B1804" s="1" t="s">
        <v>8</v>
      </c>
      <c r="C1804" s="1"/>
    </row>
    <row r="1805" spans="1:3" ht="24" customHeight="1">
      <c r="A1805" s="1" t="str">
        <f ca="1">IFERROR(__xludf.DUMMYFUNCTION("""COMPUTED_VALUE"""),"तस्मिन्नुपायाः सर्वे नः क्रूरे प्रतिहतक्रियाः । वीर्यवन्त्यौपधानीव विकारे सांनिपातिके ॥कुमारसंभवम् २.४८ ॥")</f>
        <v>तस्मिन्नुपायाः सर्वे नः क्रूरे प्रतिहतक्रियाः । वीर्यवन्त्यौपधानीव विकारे सांनिपातिके ॥कुमारसंभवम् २.४८ ॥</v>
      </c>
      <c r="B1805" s="1" t="s">
        <v>19</v>
      </c>
      <c r="C1805" s="1"/>
    </row>
    <row r="1806" spans="1:3" ht="24" customHeight="1">
      <c r="A1806" s="1" t="str">
        <f ca="1">IFERROR(__xludf.DUMMYFUNCTION("""COMPUTED_VALUE"""),"जयाशा यत्र चास्माकं प्रतिघातोत्थितार्चिषा ।  हरिचक्रेण तेनास्य कण्ठे निष्कमिवार्पितम् ||")</f>
        <v>जयाशा यत्र चास्माकं प्रतिघातोत्थितार्चिषा ।  हरिचक्रेण तेनास्य कण्ठे निष्कमिवार्पितम् ||</v>
      </c>
      <c r="B1806" s="1" t="s">
        <v>2</v>
      </c>
      <c r="C1806" s="1"/>
    </row>
    <row r="1807" spans="1:3" ht="24" customHeight="1">
      <c r="A1807" s="1" t="str">
        <f ca="1">IFERROR(__xludf.DUMMYFUNCTION("""COMPUTED_VALUE"""),"तदीयास्तोयदेष्वद्य पुष्करावर्तकादिषु । अभ्यस्यन्ति तटाघातं निर्जितैरावता गजाः ॥कुमारसंभवम् २.५० ॥")</f>
        <v>तदीयास्तोयदेष्वद्य पुष्करावर्तकादिषु । अभ्यस्यन्ति तटाघातं निर्जितैरावता गजाः ॥कुमारसंभवम् २.५० ॥</v>
      </c>
      <c r="B1807" s="1" t="s">
        <v>3</v>
      </c>
      <c r="C1807" s="1"/>
    </row>
    <row r="1808" spans="1:3" ht="24" customHeight="1">
      <c r="A1808" s="1" t="str">
        <f ca="1">IFERROR(__xludf.DUMMYFUNCTION("""COMPUTED_VALUE"""),"तदिच्छामो विभो ! स्रष्टुं सेनान्यं तस्य शान्तये । कर्मबन्धच्छिदं धर्मं भवस्येव मुमुक्षवः॥कुमारसंभवम् २.५१ ॥")</f>
        <v>तदिच्छामो विभो ! स्रष्टुं सेनान्यं तस्य शान्तये । कर्मबन्धच्छिदं धर्मं भवस्येव मुमुक्षवः॥कुमारसंभवम् २.५१ ॥</v>
      </c>
      <c r="B1808" s="1" t="s">
        <v>4</v>
      </c>
      <c r="C1808" s="1"/>
    </row>
    <row r="1809" spans="1:3" ht="24" customHeight="1">
      <c r="A1809" s="1" t="str">
        <f ca="1">IFERROR(__xludf.DUMMYFUNCTION("""COMPUTED_VALUE"""),"गोप्तारं सुरसैन्यानां यं पुरस्कृत्य गोत्रभित् । प्रत्यानेष्यति शत्रुभ्यो बन्दीमिव जयश्रियम् ||")</f>
        <v>गोप्तारं सुरसैन्यानां यं पुरस्कृत्य गोत्रभित् । प्रत्यानेष्यति शत्रुभ्यो बन्दीमिव जयश्रियम् ||</v>
      </c>
      <c r="B1809" s="1" t="s">
        <v>5</v>
      </c>
      <c r="C1809" s="1"/>
    </row>
    <row r="1810" spans="1:3" ht="24" customHeight="1">
      <c r="A1810" s="1" t="str">
        <f ca="1">IFERROR(__xludf.DUMMYFUNCTION("""COMPUTED_VALUE"""),"वचस्यवसिते तस्मिन्ससर्ज गिरमात्मभूः । गर्जितानन्तरां वृष्टिं सौभाग्येन जिगाय सा ॥कुमारसंभवम् २.५३ ॥")</f>
        <v>वचस्यवसिते तस्मिन्ससर्ज गिरमात्मभूः । गर्जितानन्तरां वृष्टिं सौभाग्येन जिगाय सा ॥कुमारसंभवम् २.५३ ॥</v>
      </c>
      <c r="B1810" s="1" t="s">
        <v>18</v>
      </c>
      <c r="C1810" s="1"/>
    </row>
    <row r="1811" spans="1:3" ht="24" customHeight="1">
      <c r="A1811" s="1" t="str">
        <f ca="1">IFERROR(__xludf.DUMMYFUNCTION("""COMPUTED_VALUE"""),"संपत्स्यते वः कामोऽयं कालः कश्चित्प्रतीक्ष्यताम् ।  न त्वस्य सिद्धौ यास्यामि सर्गव्यापारमात्मना ॥कुमारसंभवम् २.५४ ||")</f>
        <v>संपत्स्यते वः कामोऽयं कालः कश्चित्प्रतीक्ष्यताम् ।  न त्वस्य सिद्धौ यास्यामि सर्गव्यापारमात्मना ॥कुमारसंभवम् २.५४ ||</v>
      </c>
      <c r="B1811" s="1" t="s">
        <v>1</v>
      </c>
      <c r="C1811" s="1"/>
    </row>
    <row r="1812" spans="1:3" ht="24" customHeight="1">
      <c r="A1812" s="1" t="str">
        <f ca="1">IFERROR(__xludf.DUMMYFUNCTION("""COMPUTED_VALUE"""),"इतः स दैत्यः प्राप्तश्रीर्नेत एवार्हति क्षयम् । विपवृक्षोऽपि संवर्ध्य स्वयं छेत्तुमसांप्रतम् ॥कुमारसंभवम् २.५५ ॥")</f>
        <v>इतः स दैत्यः प्राप्तश्रीर्नेत एवार्हति क्षयम् । विपवृक्षोऽपि संवर्ध्य स्वयं छेत्तुमसांप्रतम् ॥कुमारसंभवम् २.५५ ॥</v>
      </c>
      <c r="B1812" s="1" t="s">
        <v>2</v>
      </c>
      <c r="C1812" s="1"/>
    </row>
    <row r="1813" spans="1:3" ht="24" customHeight="1">
      <c r="A1813" s="1" t="str">
        <f ca="1">IFERROR(__xludf.DUMMYFUNCTION("""COMPUTED_VALUE"""),"वृतं तेनेदमेव प्राञ्जया चास्मै प्रतिश्रुतम् । वरेण शमितं लोकानलं दग्धुं हि तत्तपः ॥कुमारसंभवम् २.५६ ॥")</f>
        <v>वृतं तेनेदमेव प्राञ्जया चास्मै प्रतिश्रुतम् । वरेण शमितं लोकानलं दग्धुं हि तत्तपः ॥कुमारसंभवम् २.५६ ॥</v>
      </c>
      <c r="B1813" s="1" t="s">
        <v>9</v>
      </c>
      <c r="C1813" s="1"/>
    </row>
    <row r="1814" spans="1:3" ht="24" customHeight="1">
      <c r="A1814" s="1" t="str">
        <f ca="1">IFERROR(__xludf.DUMMYFUNCTION("""COMPUTED_VALUE"""),"संयुगे सांयुगीनं तमुद्यतं प्रसहेत कः । अंशाहते निषिक्तस्य नीललोहितरेतसः ॥कुमारसंभवम् २.५७ ॥")</f>
        <v>संयुगे सांयुगीनं तमुद्यतं प्रसहेत कः । अंशाहते निषिक्तस्य नीललोहितरेतसः ॥कुमारसंभवम् २.५७ ॥</v>
      </c>
      <c r="B1814" s="1" t="s">
        <v>18</v>
      </c>
      <c r="C1814" s="1"/>
    </row>
    <row r="1815" spans="1:3" ht="24" customHeight="1">
      <c r="A1815" s="1" t="str">
        <f ca="1">IFERROR(__xludf.DUMMYFUNCTION("""COMPUTED_VALUE"""),"स हि देवः परं ज्योतिस्तमःपारे व्यवस्थितम् । परिच्छिन्नप्रभावर्द्धिर्न मया न च विष्णुना ॥कुमारसंभवम् २.५८ ॥")</f>
        <v>स हि देवः परं ज्योतिस्तमःपारे व्यवस्थितम् । परिच्छिन्नप्रभावर्द्धिर्न मया न च विष्णुना ॥कुमारसंभवम् २.५८ ॥</v>
      </c>
      <c r="B1815" s="1" t="s">
        <v>1</v>
      </c>
      <c r="C1815" s="1"/>
    </row>
    <row r="1816" spans="1:3" ht="24" customHeight="1">
      <c r="A1816" s="1" t="str">
        <f ca="1">IFERROR(__xludf.DUMMYFUNCTION("""COMPUTED_VALUE"""),"उमारूपेण ते यूयं संयमस्तिमितं मनः । शंभोर्यतध्वमाक्रष्टुमयस्कान्तेन लोहवत् ॥कुमारसंभवम् २.५९ ॥")</f>
        <v>उमारूपेण ते यूयं संयमस्तिमितं मनः । शंभोर्यतध्वमाक्रष्टुमयस्कान्तेन लोहवत् ॥कुमारसंभवम् २.५९ ॥</v>
      </c>
      <c r="B1816" s="1" t="s">
        <v>4</v>
      </c>
      <c r="C1816" s="1"/>
    </row>
    <row r="1817" spans="1:3" ht="24" customHeight="1">
      <c r="A1817" s="1" t="str">
        <f ca="1">IFERROR(__xludf.DUMMYFUNCTION("""COMPUTED_VALUE"""),"उभे एव क्षमे वोढुमुभयोर्बीजमाहितम् । सा वा शंभोस्तदीया वा मूर्तिर्जलमयी मम ॥कुमारसंभवम् २.६० ॥")</f>
        <v>उभे एव क्षमे वोढुमुभयोर्बीजमाहितम् । सा वा शंभोस्तदीया वा मूर्तिर्जलमयी मम ॥कुमारसंभवम् २.६० ॥</v>
      </c>
      <c r="B1817" s="1" t="s">
        <v>12</v>
      </c>
      <c r="C1817" s="1"/>
    </row>
    <row r="1818" spans="1:3" ht="24" customHeight="1">
      <c r="A1818" s="1" t="str">
        <f ca="1">IFERROR(__xludf.DUMMYFUNCTION("""COMPUTED_VALUE"""),"तस्यात्मा शितिकण्ठस्य सैनापत्यमुपेत्य वः।  मोक्ष्यते सुरवन्दीनां वेणीवीर्यविभूतिभिः॥कुमारसंभवम्२.६१ ॥")</f>
        <v>तस्यात्मा शितिकण्ठस्य सैनापत्यमुपेत्य वः।  मोक्ष्यते सुरवन्दीनां वेणीवीर्यविभूतिभिः॥कुमारसंभवम्२.६१ ॥</v>
      </c>
      <c r="B1818" s="1" t="s">
        <v>6</v>
      </c>
      <c r="C1818" s="1"/>
    </row>
    <row r="1819" spans="1:3" ht="24" customHeight="1">
      <c r="A1819" s="1" t="str">
        <f ca="1">IFERROR(__xludf.DUMMYFUNCTION("""COMPUTED_VALUE"""),"इति व्याहृत्य विबुधान्विश्वयोनिस्तिरोदधे । मनस्याहितकर्तव्यास्तेऽपि देवा दिवं ययुः ॥कुमारसंभवम् २.६२ ॥")</f>
        <v>इति व्याहृत्य विबुधान्विश्वयोनिस्तिरोदधे । मनस्याहितकर्तव्यास्तेऽपि देवा दिवं ययुः ॥कुमारसंभवम् २.६२ ॥</v>
      </c>
      <c r="B1819" s="1" t="s">
        <v>5</v>
      </c>
      <c r="C1819" s="1"/>
    </row>
    <row r="1820" spans="1:3" ht="24" customHeight="1">
      <c r="A1820" s="1" t="str">
        <f ca="1">IFERROR(__xludf.DUMMYFUNCTION("""COMPUTED_VALUE"""),"तत्र निश्चित्य कंदर्पमगमत् पाकशासनः । मनसा कार्यसंसिद्धौ स्वराद्विगुणरंहसा ॥कुमारसंभवम् २.६३ ॥")</f>
        <v>तत्र निश्चित्य कंदर्पमगमत् पाकशासनः । मनसा कार्यसंसिद्धौ स्वराद्विगुणरंहसा ॥कुमारसंभवम् २.६३ ॥</v>
      </c>
      <c r="B1820" s="1" t="s">
        <v>18</v>
      </c>
      <c r="C1820" s="1"/>
    </row>
    <row r="1821" spans="1:3" ht="24" customHeight="1">
      <c r="A1821" s="1" t="str">
        <f ca="1">IFERROR(__xludf.DUMMYFUNCTION("""COMPUTED_VALUE"""),"अथ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॥कुमारसंभवम् २.६४ ॥")</f>
        <v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॥कुमारसंभवम् २.६४ ॥</v>
      </c>
      <c r="B1821" s="1" t="s">
        <v>4</v>
      </c>
      <c r="C1821" s="1"/>
    </row>
    <row r="1822" spans="1:3" ht="24" customHeight="1">
      <c r="A1822" s="1" t="str">
        <f ca="1">IFERROR(__xludf.DUMMYFUNCTION("""COMPUTED_VALUE"""),"तस्मिन्मघोनस्त्रिदशान्विहाय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॥कुमारसंभवम्३.१॥")</f>
        <v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॥कुमारसंभवम्३.१॥</v>
      </c>
      <c r="B1822" s="1" t="s">
        <v>13</v>
      </c>
      <c r="C1822" s="1"/>
    </row>
    <row r="1823" spans="1:3" ht="24" customHeight="1">
      <c r="A1823" s="1" t="str">
        <f ca="1">IFERROR(__xludf.DUMMYFUNCTION("""COMPUTED_VALUE"""),"स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॥कुमारसंभवम्३.२॥")</f>
        <v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॥कुमारसंभवम्३.२॥</v>
      </c>
      <c r="B1823" s="1" t="s">
        <v>1</v>
      </c>
      <c r="C1823" s="1"/>
    </row>
    <row r="1824" spans="1:3" ht="24" customHeight="1">
      <c r="A1824" s="1" t="str">
        <f ca="1">IFERROR(__xludf.DUMMYFUNCTION("""COMPUTED_VALUE"""),"आज्ञापय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॥कुमारसंभवम्३.३॥")</f>
        <v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॥कुमारसंभवम्३.३॥</v>
      </c>
      <c r="B1824" s="1" t="s">
        <v>2</v>
      </c>
      <c r="C1824" s="1"/>
    </row>
    <row r="1825" spans="1:3" ht="24" customHeight="1">
      <c r="A1825" s="1" t="str">
        <f ca="1">IFERROR(__xludf.DUMMYFUNCTION("""COMPUTED_VALUE"""),"केनाभ्यसूया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॥कुमारसंभवम्३.४॥")</f>
        <v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॥कुमारसंभवम्३.४॥</v>
      </c>
      <c r="B1825" s="1" t="s">
        <v>2</v>
      </c>
      <c r="C1825" s="1"/>
    </row>
    <row r="1826" spans="1:3" ht="24" customHeight="1">
      <c r="A1826" s="1" t="str">
        <f ca="1">IFERROR(__xludf.DUMMYFUNCTION("""COMPUTED_VALUE"""),"असंमतः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कटाक्षैः॥कुमारसंभवम्३.५॥")</f>
        <v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कटाक्षैः॥कुमारसंभवम्३.५॥</v>
      </c>
      <c r="B1826" s="1" t="s">
        <v>13</v>
      </c>
      <c r="C1826" s="1"/>
    </row>
    <row r="1827" spans="1:3" ht="24" customHeight="1">
      <c r="A1827" s="1" t="str">
        <f ca="1">IFERROR(__xludf.DUMMYFUNCTION("""COMPUTED_VALUE"""),"अध्यापितस्योशनसापि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॥कुमारसंभवम्३.६॥")</f>
        <v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॥कुमारसंभवम्३.६॥</v>
      </c>
      <c r="B1827" s="1" t="s">
        <v>20</v>
      </c>
      <c r="C1827" s="1"/>
    </row>
    <row r="1828" spans="1:3" ht="24" customHeight="1">
      <c r="A1828" s="1" t="str">
        <f ca="1">IFERROR(__xludf.DUMMYFUNCTION("""COMPUTED_VALUE"""),"कामेकपत्नीव्रतदुःखशीला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॥कुमारसंभवम्३.७॥")</f>
        <v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॥कुमारसंभवम्३.७॥</v>
      </c>
      <c r="B1828" s="1" t="s">
        <v>24</v>
      </c>
      <c r="C1828" s="1"/>
    </row>
    <row r="1829" spans="1:3" ht="24" customHeight="1">
      <c r="A1829" s="1" t="str">
        <f ca="1">IFERROR(__xludf.DUMMYFUNCTION("""COMPUTED_VALUE"""),"कयासि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॥कुमारसंभवम्३.८॥")</f>
        <v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॥कुमारसंभवम्३.८॥</v>
      </c>
      <c r="B1829" s="1" t="s">
        <v>0</v>
      </c>
      <c r="C1829" s="1"/>
    </row>
    <row r="1830" spans="1:3" ht="24" customHeight="1">
      <c r="A1830" s="1" t="str">
        <f ca="1">IFERROR(__xludf.DUMMYFUNCTION("""COMPUTED_VALUE"""),"प्रसीद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॥कुमारसंभवम्३.९॥")</f>
        <v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॥कुमारसंभवम्३.९॥</v>
      </c>
      <c r="B1830" s="1" t="s">
        <v>5</v>
      </c>
      <c r="C1830" s="1"/>
    </row>
    <row r="1831" spans="1:3" ht="24" customHeight="1">
      <c r="A1831" s="1" t="str">
        <f ca="1">IFERROR(__xludf.DUMMYFUNCTION("""COMPUTED_VALUE"""),"तव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॥कुमारसंभवम्३.१०॥")</f>
        <v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॥कुमारसंभवम्३.१०॥</v>
      </c>
      <c r="B1831" s="1" t="s">
        <v>5</v>
      </c>
      <c r="C1831" s="1"/>
    </row>
    <row r="1832" spans="1:3" ht="24" customHeight="1">
      <c r="A1832" s="1" t="str">
        <f ca="1">IFERROR(__xludf.DUMMYFUNCTION("""COMPUTED_VALUE"""),"अथोरुदेशादवतार्य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॥कुमारसंभवम्३.११॥")</f>
        <v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॥कुमारसंभवम्३.११॥</v>
      </c>
      <c r="B1832" s="1" t="s">
        <v>13</v>
      </c>
      <c r="C1832" s="1"/>
    </row>
    <row r="1833" spans="1:3" ht="24" customHeight="1">
      <c r="A1833" s="1" t="str">
        <f ca="1">IFERROR(__xludf.DUMMYFUNCTION("""COMPUTED_VALUE"""),"सर्वं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॥कुमारसंभवम्३.१२॥")</f>
        <v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॥कुमारसंभवम्३.१२॥</v>
      </c>
      <c r="B1833" s="1" t="s">
        <v>16</v>
      </c>
      <c r="C1833" s="1"/>
    </row>
    <row r="1834" spans="1:3" ht="24" customHeight="1">
      <c r="A1834" s="1" t="str">
        <f ca="1">IFERROR(__xludf.DUMMYFUNCTION("""COMPUTED_VALUE"""),"अवैमि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॥कुमारसंभवम्३.१३॥")</f>
        <v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॥कुमारसंभवम्३.१३॥</v>
      </c>
      <c r="B1834" s="1" t="s">
        <v>13</v>
      </c>
      <c r="C1834" s="1"/>
    </row>
    <row r="1835" spans="1:3" ht="24" customHeight="1">
      <c r="A1835" s="1" t="str">
        <f ca="1">IFERROR(__xludf.DUMMYFUNCTION("""COMPUTED_VALUE"""),"आशंसता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॥कुमारसंभवम्३.१४॥")</f>
        <v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॥कुमारसंभवम्३.१४॥</v>
      </c>
      <c r="B1835" s="1" t="s">
        <v>4</v>
      </c>
      <c r="C1835" s="1"/>
    </row>
    <row r="1836" spans="1:3" ht="24" customHeight="1">
      <c r="A1836" s="1" t="str">
        <f ca="1">IFERROR(__xludf.DUMMYFUNCTION("""COMPUTED_VALUE"""),"अमी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॥कुमारसंभवम्३.१५॥")</f>
        <v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॥कुमारसंभवम्३.१५॥</v>
      </c>
      <c r="B1836" s="1" t="s">
        <v>12</v>
      </c>
      <c r="C1836" s="1"/>
    </row>
    <row r="1837" spans="1:3" ht="24" customHeight="1">
      <c r="A1837" s="1" t="str">
        <f ca="1">IFERROR(__xludf.DUMMYFUNCTION("""COMPUTED_VALUE"""),"तस्मै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॥कुमारसंभवम्३.१६॥")</f>
        <v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॥कुमारसंभवम्३.१६॥</v>
      </c>
      <c r="B1837" s="1" t="s">
        <v>23</v>
      </c>
      <c r="C1837" s="1"/>
    </row>
    <row r="1838" spans="1:3" ht="24" customHeight="1">
      <c r="A1838" s="1" t="str">
        <f ca="1">IFERROR(__xludf.DUMMYFUNCTION("""COMPUTED_VALUE"""),"गुरोनियोगाच्च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॥कुमारसंभवम्३.१७॥")</f>
        <v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॥कुमारसंभवम्३.१७॥</v>
      </c>
      <c r="B1838" s="1" t="s">
        <v>15</v>
      </c>
      <c r="C1838" s="1"/>
    </row>
    <row r="1839" spans="1:3" ht="24" customHeight="1">
      <c r="A1839" s="1" t="str">
        <f ca="1">IFERROR(__xludf.DUMMYFUNCTION("""COMPUTED_VALUE"""),"तद्गच्छ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॥कुमारसंभवम्३.१८॥")</f>
        <v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॥कुमारसंभवम्३.१८॥</v>
      </c>
      <c r="B1839" s="1" t="s">
        <v>6</v>
      </c>
      <c r="C1839" s="1"/>
    </row>
    <row r="1840" spans="1:3" ht="24" customHeight="1">
      <c r="A1840" s="1" t="str">
        <f ca="1">IFERROR(__xludf.DUMMYFUNCTION("""COMPUTED_VALUE"""),"तस्मिन्सुराणां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॥कुमारसंभवम्३.१९॥")</f>
        <v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॥कुमारसंभवम्३.१९॥</v>
      </c>
      <c r="B1840" s="1" t="s">
        <v>12</v>
      </c>
      <c r="C1840" s="1"/>
    </row>
    <row r="1841" spans="1:3" ht="24" customHeight="1">
      <c r="A1841" s="1" t="str">
        <f ca="1">IFERROR(__xludf.DUMMYFUNCTION("""COMPUTED_VALUE"""),"सुराः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॥कुमारसंभवम्३.२०॥")</f>
        <v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॥कुमारसंभवम्३.२०॥</v>
      </c>
      <c r="B1841" s="1" t="s">
        <v>5</v>
      </c>
      <c r="C1841" s="1"/>
    </row>
    <row r="1842" spans="1:3" ht="24" customHeight="1">
      <c r="A1842" s="1" t="str">
        <f ca="1">IFERROR(__xludf.DUMMYFUNCTION("""COMPUTED_VALUE"""),"मधुश्च ते मन्मथ ! साहचर्यादसावनुक्तोऽपि सहाय एव । समीरणो नोदयिता भवेति व्यादिश्यते केन हुताशनस्य ॥कुमारसंभवम्३.२१॥")</f>
        <v>मधुश्च ते मन्मथ ! साहचर्यादसावनुक्तोऽपि सहाय एव । समीरणो नोदयिता भवेति व्यादिश्यते केन हुताशनस्य ॥कुमारसंभवम्३.२१॥</v>
      </c>
      <c r="B1842" s="1" t="s">
        <v>5</v>
      </c>
      <c r="C1842" s="1"/>
    </row>
    <row r="1843" spans="1:3" ht="24" customHeight="1">
      <c r="A1843" s="1" t="str">
        <f ca="1">IFERROR(__xludf.DUMMYFUNCTION("""COMPUTED_VALUE"""),"तथेति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॥कुमारसंभवम्३.२२॥")</f>
        <v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॥कुमारसंभवम्३.२२॥</v>
      </c>
      <c r="B1843" s="1" t="s">
        <v>0</v>
      </c>
      <c r="C1843" s="1"/>
    </row>
    <row r="1844" spans="1:3" ht="24" customHeight="1">
      <c r="A1844" s="1" t="str">
        <f ca="1">IFERROR(__xludf.DUMMYFUNCTION("""COMPUTED_VALUE"""),"स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॥कुमारसंभवम्३.२३॥")</f>
        <v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॥कुमारसंभवम्३.२३॥</v>
      </c>
      <c r="B1844" s="1" t="s">
        <v>12</v>
      </c>
      <c r="C1844" s="1"/>
    </row>
    <row r="1845" spans="1:3" ht="24" customHeight="1">
      <c r="A1845" s="1" t="str">
        <f ca="1">IFERROR(__xludf.DUMMYFUNCTION("""COMPUTED_VALUE"""),"तस्मिन्वने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॥कुमारसंभवम्३.२४॥")</f>
        <v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॥कुमारसंभवम्३.२४॥</v>
      </c>
      <c r="B1845" s="1" t="s">
        <v>6</v>
      </c>
      <c r="C1845" s="1"/>
    </row>
    <row r="1846" spans="1:3" ht="24" customHeight="1">
      <c r="A1846" s="1" t="str">
        <f ca="1">IFERROR(__xludf.DUMMYFUNCTION("""COMPUTED_VALUE"""),"कुबेरगुप्तां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॥कुमारसंभवम्३.२५॥")</f>
        <v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॥कुमारसंभवम्३.२५॥</v>
      </c>
      <c r="B1846" s="1" t="s">
        <v>3</v>
      </c>
      <c r="C1846" s="1"/>
    </row>
    <row r="1847" spans="1:3" ht="24" customHeight="1">
      <c r="A1847" s="1" t="str">
        <f ca="1">IFERROR(__xludf.DUMMYFUNCTION("""COMPUTED_VALUE"""),"असूत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॥कुमारसंभवम्३.२६॥")</f>
        <v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॥कुमारसंभवम्३.२६॥</v>
      </c>
      <c r="B1847" s="1" t="s">
        <v>7</v>
      </c>
      <c r="C1847" s="1"/>
    </row>
    <row r="1848" spans="1:3" ht="24" customHeight="1">
      <c r="A1848" s="1" t="str">
        <f ca="1">IFERROR(__xludf.DUMMYFUNCTION("""COMPUTED_VALUE"""),"सद्यः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॥कुमारसंभवम्३.२७॥")</f>
        <v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॥कुमारसंभवम्३.२७॥</v>
      </c>
      <c r="B1848" s="1" t="s">
        <v>5</v>
      </c>
      <c r="C1848" s="1"/>
    </row>
    <row r="1849" spans="1:3" ht="24" customHeight="1">
      <c r="A1849" s="1" t="str">
        <f ca="1">IFERROR(__xludf.DUMMYFUNCTION("""COMPUTED_VALUE"""),"वर्णप्रकर्षे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॥कुमारसंभवम्३.२८॥")</f>
        <v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॥कुमारसंभवम्३.२८॥</v>
      </c>
      <c r="B1849" s="1" t="s">
        <v>2</v>
      </c>
      <c r="C1849" s="1"/>
    </row>
    <row r="1850" spans="1:3" ht="24" customHeight="1">
      <c r="A1850" s="1" t="str">
        <f ca="1">IFERROR(__xludf.DUMMYFUNCTION("""COMPUTED_VALUE"""),"बालेन्दुवक्राण्यविकासभावाद्बभुः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॥कुमारसंभवम्३.२९॥")</f>
        <v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॥कुमारसंभवम्३.२९॥</v>
      </c>
      <c r="B1850" s="1" t="s">
        <v>1</v>
      </c>
      <c r="C1850" s="1"/>
    </row>
    <row r="1851" spans="1:3" ht="24" customHeight="1">
      <c r="A1851" s="1" t="str">
        <f ca="1">IFERROR(__xludf.DUMMYFUNCTION("""COMPUTED_VALUE"""),"लग्गद्विरेफाञ्जनभक्तिचित्रं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॥कुमारसंभवम् ३.३० ॥")</f>
        <v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॥कुमारसंभवम् ३.३० ॥</v>
      </c>
      <c r="B1851" s="1" t="s">
        <v>0</v>
      </c>
      <c r="C1851" s="1"/>
    </row>
    <row r="1852" spans="1:3" ht="24" customHeight="1">
      <c r="A1852" s="1" t="str">
        <f ca="1">IFERROR(__xludf.DUMMYFUNCTION("""COMPUTED_VALUE"""),"मृगाः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विचेरुर्वनस्थलीर्मर्मरपत्रमोक्षाः॥कुमारसंभवम्३.३१॥")</f>
        <v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विचेरुर्वनस्थलीर्मर्मरपत्रमोक्षाः॥कुमारसंभवम्३.३१॥</v>
      </c>
      <c r="B1852" s="1" t="s">
        <v>13</v>
      </c>
      <c r="C1852" s="1"/>
    </row>
    <row r="1853" spans="1:3" ht="24" customHeight="1">
      <c r="A1853" s="1" t="str">
        <f ca="1">IFERROR(__xludf.DUMMYFUNCTION("""COMPUTED_VALUE"""),"चूताङ्कुरास्वादकषायकण्ठः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स्मरस्य॥कुमारसंभवम्३.३२ ॥")</f>
        <v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स्मरस्य॥कुमारसंभवम्३.३२ ॥</v>
      </c>
      <c r="B1853" s="1" t="s">
        <v>5</v>
      </c>
      <c r="C1853" s="1"/>
    </row>
    <row r="1854" spans="1:3" ht="24" customHeight="1">
      <c r="A1854" s="1" t="str">
        <f ca="1">IFERROR(__xludf.DUMMYFUNCTION("""COMPUTED_VALUE"""),"हिमव्यपायाद्विशदाधराणामापाण्डरीभूतमुखच्छवीनाम्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॥कुमारसंभवम् ३.३३ ॥")</f>
        <v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॥कुमारसंभवम् ३.३३ ॥</v>
      </c>
      <c r="B1854" s="1" t="s">
        <v>13</v>
      </c>
      <c r="C1854" s="1"/>
    </row>
    <row r="1855" spans="1:3" ht="24" customHeight="1">
      <c r="A1855" s="1" t="str">
        <f ca="1">IFERROR(__xludf.DUMMYFUNCTION("""COMPUTED_VALUE"""),"तपखिनः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॥कुमारसंभवम्३.३४॥")</f>
        <v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॥कुमारसंभवम्३.३४॥</v>
      </c>
      <c r="B1855" s="1" t="s">
        <v>4</v>
      </c>
      <c r="C1855" s="1"/>
    </row>
    <row r="1856" spans="1:3" ht="24" customHeight="1">
      <c r="A1856" s="1" t="str">
        <f ca="1">IFERROR(__xludf.DUMMYFUNCTION("""COMPUTED_VALUE"""),"तं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॥कुमारसंभवम्३.३५॥")</f>
        <v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॥कुमारसंभवम्३.३५॥</v>
      </c>
      <c r="B1856" s="1" t="s">
        <v>0</v>
      </c>
      <c r="C1856" s="1"/>
    </row>
    <row r="1857" spans="1:3" ht="24" customHeight="1">
      <c r="A1857" s="1" t="str">
        <f ca="1">IFERROR(__xludf.DUMMYFUNCTION("""COMPUTED_VALUE"""),"मधु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॥कुमारसंभवम्३.३६॥")</f>
        <v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॥कुमारसंभवम्३.३६॥</v>
      </c>
      <c r="B1857" s="1" t="s">
        <v>0</v>
      </c>
      <c r="C1857" s="1"/>
    </row>
    <row r="1858" spans="1:3" ht="24" customHeight="1">
      <c r="A1858" s="1" t="str">
        <f ca="1">IFERROR(__xludf.DUMMYFUNCTION("""COMPUTED_VALUE"""),"ददौ रसात्पङ्कजरेणुगन्धि गजाय गण्डूपजलं करेणुः । अर्धोपमुक्तेन बिसेन जायां संभावयामास रथाङ्गनामा ॥कुमारसंभवम्३.३७॥")</f>
        <v>ददौ रसात्पङ्कजरेणुगन्धि गजाय गण्डूपजलं करेणुः । अर्धोपमुक्तेन बिसेन जायां संभावयामास रथाङ्गनामा ॥कुमारसंभवम्३.३७॥</v>
      </c>
      <c r="B1858" s="1" t="s">
        <v>12</v>
      </c>
      <c r="C1858" s="1"/>
    </row>
    <row r="1859" spans="1:3" ht="24" customHeight="1">
      <c r="A1859" s="1" t="str">
        <f ca="1">IFERROR(__xludf.DUMMYFUNCTION("""COMPUTED_VALUE"""),"गीतान्तरेषु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॥कुमारसंभवम् ३.३८ ॥")</f>
        <v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॥कुमारसंभवम् ३.३८ ॥</v>
      </c>
      <c r="B1859" s="1" t="s">
        <v>26</v>
      </c>
      <c r="C1859" s="1"/>
    </row>
    <row r="1860" spans="1:3" ht="24" customHeight="1">
      <c r="A1860" s="1" t="str">
        <f ca="1">IFERROR(__xludf.DUMMYFUNCTION("""COMPUTED_VALUE"""),"पर्याप्तपुष्पस्तबकस्तनाभ्यः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॥कुमारसंभवम् ३.३९ ॥")</f>
        <v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॥कुमारसंभवम् ३.३९ ॥</v>
      </c>
      <c r="B1860" s="1" t="s">
        <v>1</v>
      </c>
      <c r="C1860" s="1"/>
    </row>
    <row r="1861" spans="1:3" ht="24" customHeight="1">
      <c r="A1861" s="1" t="str">
        <f ca="1">IFERROR(__xludf.DUMMYFUNCTION("""COMPUTED_VALUE"""),"श्रुताप्सरोगीतिरपि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॥कुमारसंभवम्३.४०॥")</f>
        <v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॥कुमारसंभवम्३.४०॥</v>
      </c>
      <c r="B1861" s="1" t="s">
        <v>2</v>
      </c>
      <c r="C1861" s="1"/>
    </row>
    <row r="1862" spans="1:3" ht="24" customHeight="1">
      <c r="A1862" s="1" t="str">
        <f ca="1">IFERROR(__xludf.DUMMYFUNCTION("""COMPUTED_VALUE"""),"लतागृहद्वारगतोऽथ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॥कुमारसंभवम्३.४१॥")</f>
        <v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॥कुमारसंभवम्३.४१॥</v>
      </c>
      <c r="B1862" s="1" t="s">
        <v>9</v>
      </c>
      <c r="C1862" s="1"/>
    </row>
    <row r="1863" spans="1:3" ht="24" customHeight="1">
      <c r="A1863" s="1" t="str">
        <f ca="1">IFERROR(__xludf.DUMMYFUNCTION("""COMPUTED_VALUE"""),"निष्कम्पवृक्षं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॥कुमारसंभवम् ३.४२ ॥")</f>
        <v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॥कुमारसंभवम् ३.४२ ॥</v>
      </c>
      <c r="B1863" s="1" t="s">
        <v>10</v>
      </c>
      <c r="C1863" s="1"/>
    </row>
    <row r="1864" spans="1:3" ht="24" customHeight="1">
      <c r="A1864" s="1" t="str">
        <f ca="1">IFERROR(__xludf.DUMMYFUNCTION("""COMPUTED_VALUE"""),"दृष्टिप्रपातं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॥कुमारसंभवम्३.४३ ॥ ")</f>
        <v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॥कुमारसंभवम्३.४३ ॥ </v>
      </c>
      <c r="B1864" s="1" t="s">
        <v>8</v>
      </c>
      <c r="C1864" s="1"/>
    </row>
    <row r="1865" spans="1:3" ht="24" customHeight="1">
      <c r="A1865" s="1" t="str">
        <f ca="1">IFERROR(__xludf.DUMMYFUNCTION("""COMPUTED_VALUE"""),"सदेवदारुद्रुमवेदिकायां शार्दूलचर्मव्यवधानवत्याम् । आसीनमासन्नशरीरपातस्त्रियम्बकं संयमिनं ददर्श ॥कुमारसंभवम्३.४४॥")</f>
        <v>सदेवदारुद्रुमवेदिकायां शार्दूलचर्मव्यवधानवत्याम् । आसीनमासन्नशरीरपातस्त्रियम्बकं संयमिनं ददर्श ॥कुमारसंभवम्३.४४॥</v>
      </c>
      <c r="B1865" s="1" t="s">
        <v>8</v>
      </c>
      <c r="C1865" s="1"/>
    </row>
    <row r="1866" spans="1:3" ht="24" customHeight="1">
      <c r="A1866" s="1" t="str">
        <f ca="1">IFERROR(__xludf.DUMMYFUNCTION("""COMPUTED_VALUE"""),"पर्यङ्कबन्धस्थिरपूर्वकायमृज्वायतं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॥कुमारसंभवम् ३.४५ ॥")</f>
        <v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॥कुमारसंभवम् ३.४५ ॥</v>
      </c>
      <c r="B1866" s="1" t="s">
        <v>5</v>
      </c>
      <c r="C1866" s="1"/>
    </row>
    <row r="1867" spans="1:3" ht="24" customHeight="1">
      <c r="A1867" s="1" t="str">
        <f ca="1">IFERROR(__xludf.DUMMYFUNCTION("""COMPUTED_VALUE"""),"भुजंगमोन्नद्धजटाकलापं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दधानम्॥कुमारसंभवम्३.४६॥")</f>
        <v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दधानम्॥कुमारसंभवम्३.४६॥</v>
      </c>
      <c r="B1867" s="1" t="s">
        <v>1</v>
      </c>
      <c r="C1867" s="1"/>
    </row>
    <row r="1868" spans="1:3" ht="24" customHeight="1">
      <c r="A1868" s="1" t="str">
        <f ca="1">IFERROR(__xludf.DUMMYFUNCTION("""COMPUTED_VALUE"""),"किंचित्प्रकाशस्तिमितोग्रतारैर्भ्रूविक्रियायां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॥कुमारसंभवम् ३.४७ ॥")</f>
        <v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॥कुमारसंभवम् ३.४७ ॥</v>
      </c>
      <c r="B1868" s="1" t="s">
        <v>14</v>
      </c>
      <c r="C1868" s="1"/>
    </row>
    <row r="1869" spans="1:3" ht="24" customHeight="1">
      <c r="A1869" s="1" t="str">
        <f ca="1">IFERROR(__xludf.DUMMYFUNCTION("""COMPUTED_VALUE"""),"अवृष्टिसंरम्भमिवाम्बुवाहमपामिवाधारमनुत्तरंगम्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॥कुमारसंभवम्३.४८॥")</f>
        <v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॥कुमारसंभवम्३.४८॥</v>
      </c>
      <c r="B1869" s="1" t="s">
        <v>9</v>
      </c>
      <c r="C1869" s="1"/>
    </row>
    <row r="1870" spans="1:3" ht="24" customHeight="1">
      <c r="A1870" s="1" t="str">
        <f ca="1">IFERROR(__xludf.DUMMYFUNCTION("""COMPUTED_VALUE"""),"कपालनेत्रान्तरलब्धमार्गैज्योतिःप्ररोहैरुदितैः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ग्लपयन्तमिन्दोः॥कुमारसंभवम्३.४९॥")</f>
        <v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ग्लपयन्तमिन्दोः॥कुमारसंभवम्३.४९॥</v>
      </c>
      <c r="B1870" s="1" t="s">
        <v>17</v>
      </c>
      <c r="C1870" s="1"/>
    </row>
    <row r="1871" spans="1:3" ht="24" customHeight="1">
      <c r="A1871" s="1" t="str">
        <f ca="1">IFERROR(__xludf.DUMMYFUNCTION("""COMPUTED_VALUE"""),"मनो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॥कुमारसंभवम् ३.५० ॥")</f>
        <v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॥कुमारसंभवम् ३.५० ॥</v>
      </c>
      <c r="B1871" s="1" t="s">
        <v>2</v>
      </c>
      <c r="C1871" s="1"/>
    </row>
    <row r="1872" spans="1:3" ht="24" customHeight="1">
      <c r="A1872" s="1" t="str">
        <f ca="1">IFERROR(__xludf.DUMMYFUNCTION("""COMPUTED_VALUE"""),"स्मरस्तथाभूतमयुग्मनेत्रं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॥कुमारसंभवम्३.५१॥")</f>
        <v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॥कुमारसंभवम्३.५१॥</v>
      </c>
      <c r="B1872" s="1" t="s">
        <v>2</v>
      </c>
      <c r="C1872" s="1"/>
    </row>
    <row r="1873" spans="1:3" ht="24" customHeight="1">
      <c r="A1873" s="1" t="str">
        <f ca="1">IFERROR(__xludf.DUMMYFUNCTION("""COMPUTED_VALUE"""),"निर्वाणभूयिष्ठमथास्य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स्थावरराजकन्या॥कुमारसंभवम्३.५२॥")</f>
        <v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स्थावरराजकन्या॥कुमारसंभवम्३.५२॥</v>
      </c>
      <c r="B1873" s="1" t="s">
        <v>5</v>
      </c>
      <c r="C1873" s="1"/>
    </row>
    <row r="1874" spans="1:3" ht="24" customHeight="1">
      <c r="A1874" s="1" t="str">
        <f ca="1">IFERROR(__xludf.DUMMYFUNCTION("""COMPUTED_VALUE"""),"अशोकनिर्भर्हितपद्मरागमाकृष्टहेमद्युतिकर्णिकारम्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॥कुमारसंभवम्३.५३॥")</f>
        <v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॥कुमारसंभवम्३.५३॥</v>
      </c>
      <c r="B1874" s="1" t="s">
        <v>2</v>
      </c>
      <c r="C1874" s="1"/>
    </row>
    <row r="1875" spans="1:3" ht="24" customHeight="1">
      <c r="A1875" s="1" t="str">
        <f ca="1">IFERROR(__xludf.DUMMYFUNCTION("""COMPUTED_VALUE"""),"आवर्जिता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॥कुमारसंभवम्३.५४॥")</f>
        <v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॥कुमारसंभवम्३.५४॥</v>
      </c>
      <c r="B1875" s="1" t="s">
        <v>4</v>
      </c>
      <c r="C1875" s="1"/>
    </row>
    <row r="1876" spans="1:3" ht="24" customHeight="1">
      <c r="A1876" s="1" t="str">
        <f ca="1">IFERROR(__xludf.DUMMYFUNCTION("""COMPUTED_VALUE"""),"स्रस्तां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॥कुमारसंभवम्३.५५||")</f>
        <v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॥कुमारसंभवम्३.५५||</v>
      </c>
      <c r="B1876" s="1" t="s">
        <v>5</v>
      </c>
      <c r="C1876" s="1"/>
    </row>
    <row r="1877" spans="1:3" ht="24" customHeight="1">
      <c r="A1877" s="1" t="str">
        <f ca="1">IFERROR(__xludf.DUMMYFUNCTION("""COMPUTED_VALUE"""),"सुगन्धिनिश्वासविवृद्धवृष्णं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॥कुमारसंभवम् ३.५६ ॥")</f>
        <v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॥कुमारसंभवम् ३.५६ ॥</v>
      </c>
      <c r="B1877" s="1" t="s">
        <v>2</v>
      </c>
      <c r="C1877" s="1"/>
    </row>
    <row r="1878" spans="1:3" ht="24" customHeight="1">
      <c r="A1878" s="1" t="str">
        <f ca="1">IFERROR(__xludf.DUMMYFUNCTION("""COMPUTED_VALUE"""),"तां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॥कुमारसंभवम्३.५७||")</f>
        <v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॥कुमारसंभवम्३.५७||</v>
      </c>
      <c r="B1878" s="1" t="s">
        <v>18</v>
      </c>
      <c r="C1878" s="1"/>
    </row>
    <row r="1879" spans="1:3" ht="24" customHeight="1">
      <c r="A1879" s="1" t="str">
        <f ca="1">IFERROR(__xludf.DUMMYFUNCTION("""COMPUTED_VALUE"""),"भविष्यतः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॥कुमारसंभवम् ३.५८॥")</f>
        <v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॥कुमारसंभवम् ३.५८॥</v>
      </c>
      <c r="B1879" s="1" t="s">
        <v>12</v>
      </c>
      <c r="C1879" s="1"/>
    </row>
    <row r="1880" spans="1:3" ht="24" customHeight="1">
      <c r="A1880" s="1" t="str">
        <f ca="1">IFERROR(__xludf.DUMMYFUNCTION("""COMPUTED_VALUE"""),"ततो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||")</f>
        <v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||</v>
      </c>
      <c r="B1880" s="1" t="s">
        <v>17</v>
      </c>
      <c r="C1880" s="1"/>
    </row>
    <row r="1881" spans="1:3" ht="24" customHeight="1">
      <c r="A1881" s="1" t="str">
        <f ca="1">IFERROR(__xludf.DUMMYFUNCTION("""COMPUTED_VALUE"""),"तस्मै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॥कुमारसंभवम् ३.६० ॥")</f>
        <v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॥कुमारसंभवम् ३.६० ॥</v>
      </c>
      <c r="B1881" s="1" t="s">
        <v>8</v>
      </c>
      <c r="C1881" s="1"/>
    </row>
    <row r="1882" spans="1:3" ht="24" customHeight="1">
      <c r="A1882" s="1" t="str">
        <f ca="1">IFERROR(__xludf.DUMMYFUNCTION("""COMPUTED_VALUE"""),"तस्याः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॥कुमारसंभवम् ३.६१ ||")</f>
        <v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॥कुमारसंभवम् ३.६१ ||</v>
      </c>
      <c r="B1882" s="1" t="s">
        <v>1</v>
      </c>
      <c r="C1882" s="1"/>
    </row>
    <row r="1883" spans="1:3" ht="24" customHeight="1">
      <c r="A1883" s="1" t="str">
        <f ca="1">IFERROR(__xludf.DUMMYFUNCTION("""COMPUTED_VALUE"""),"उमापि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॥कुमारसंभवम् ३.६२ ॥")</f>
        <v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॥कुमारसंभवम् ३.६२ ॥</v>
      </c>
      <c r="B1883" s="1" t="s">
        <v>5</v>
      </c>
      <c r="C1883" s="1"/>
    </row>
    <row r="1884" spans="1:3" ht="24" customHeight="1">
      <c r="A1884" s="1" t="str">
        <f ca="1">IFERROR(__xludf.DUMMYFUNCTION("""COMPUTED_VALUE"""),"अनन्यभाजं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॥कुमारसंभवम्३.१३॥")</f>
        <v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॥कुमारसंभवम्३.१३॥</v>
      </c>
      <c r="B1884" s="1" t="s">
        <v>10</v>
      </c>
      <c r="C1884" s="1"/>
    </row>
    <row r="1885" spans="1:3" ht="24" customHeight="1">
      <c r="A1885" s="1" t="str">
        <f ca="1">IFERROR(__xludf.DUMMYFUNCTION("""COMPUTED_VALUE"""),"कामस्तु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||")</f>
        <v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||</v>
      </c>
      <c r="B1885" s="1" t="s">
        <v>8</v>
      </c>
      <c r="C1885" s="1"/>
    </row>
    <row r="1886" spans="1:3" ht="24" customHeight="1">
      <c r="A1886" s="1" t="str">
        <f ca="1">IFERROR(__xludf.DUMMYFUNCTION("""COMPUTED_VALUE"""),"अथोपनिन्ये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॥कुमारसंभवम् ३.६५॥")</f>
        <v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॥कुमारसंभवम् ३.६५॥</v>
      </c>
      <c r="B1886" s="1" t="s">
        <v>11</v>
      </c>
      <c r="C1886" s="1"/>
    </row>
    <row r="1887" spans="1:3" ht="24" customHeight="1">
      <c r="A1887" s="1" t="str">
        <f ca="1">IFERROR(__xludf.DUMMYFUNCTION("""COMPUTED_VALUE"""),"प्रतिग्रहीतुं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॥कुमारसंभवम्३.६६॥")</f>
        <v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॥कुमारसंभवम्३.६६॥</v>
      </c>
      <c r="B1887" s="1" t="s">
        <v>7</v>
      </c>
      <c r="C1887" s="1"/>
    </row>
    <row r="1888" spans="1:3" ht="24" customHeight="1">
      <c r="A1888" s="1" t="str">
        <f ca="1">IFERROR(__xludf.DUMMYFUNCTION("""COMPUTED_VALUE"""),"हरस्तु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॥कुमारसंभवम्३.६७||")</f>
        <v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॥कुमारसंभवम्३.६७||</v>
      </c>
      <c r="B1888" s="1" t="s">
        <v>1</v>
      </c>
      <c r="C1888" s="1"/>
    </row>
    <row r="1889" spans="1:3" ht="24" customHeight="1">
      <c r="A1889" s="1" t="str">
        <f ca="1">IFERROR(__xludf.DUMMYFUNCTION("""COMPUTED_VALUE"""),"विवृण्वती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॥कुमारसंभवम् ३.६८ ॥")</f>
        <v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॥कुमारसंभवम् ३.६८ ॥</v>
      </c>
      <c r="B1889" s="1" t="s">
        <v>1</v>
      </c>
      <c r="C1889" s="1"/>
    </row>
    <row r="1890" spans="1:3" ht="24" customHeight="1">
      <c r="A1890" s="1" t="str">
        <f ca="1">IFERROR(__xludf.DUMMYFUNCTION("""COMPUTED_VALUE"""),"अथेन्द्रियक्षोभमयुग्मनेत्रः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॥कुमारसंभवम् ३.६९ ॥")</f>
        <v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॥कुमारसंभवम् ३.६९ ॥</v>
      </c>
      <c r="B1890" s="1" t="s">
        <v>23</v>
      </c>
      <c r="C1890" s="1"/>
    </row>
    <row r="1891" spans="1:3" ht="24" customHeight="1">
      <c r="A1891" s="1" t="str">
        <f ca="1">IFERROR(__xludf.DUMMYFUNCTION("""COMPUTED_VALUE"""),"स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॥कुमारसंभवम् ३.७० ॥")</f>
        <v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॥कुमारसंभवम् ३.७० ॥</v>
      </c>
      <c r="B1891" s="1" t="s">
        <v>1</v>
      </c>
      <c r="C1891" s="1"/>
    </row>
    <row r="1892" spans="1:3" ht="24" customHeight="1">
      <c r="A1892" s="1" t="str">
        <f ca="1">IFERROR(__xludf.DUMMYFUNCTION("""COMPUTED_VALUE"""),"तपःपरामर्शविवृद्धमन्योर्भ्रूभङ्गदुष्प्रेक्ष्यमुखस्य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॥कुमारसंभवम्३.७१॥")</f>
        <v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॥कुमारसंभवम्३.७१॥</v>
      </c>
      <c r="B1892" s="1" t="s">
        <v>2</v>
      </c>
      <c r="C1892" s="1"/>
    </row>
    <row r="1893" spans="1:3" ht="24" customHeight="1">
      <c r="A1893" s="1" t="str">
        <f ca="1">IFERROR(__xludf.DUMMYFUNCTION("""COMPUTED_VALUE"""),"क्रोधं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॥कुमारसंभवम् ३.७२ ॥")</f>
        <v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॥कुमारसंभवम् ३.७२ ॥</v>
      </c>
      <c r="B1893" s="1" t="s">
        <v>0</v>
      </c>
      <c r="C1893" s="1"/>
    </row>
    <row r="1894" spans="1:3" ht="24" customHeight="1">
      <c r="A1894" s="1" t="str">
        <f ca="1">IFERROR(__xludf.DUMMYFUNCTION("""COMPUTED_VALUE"""),"तीव्राभिपङ्गप्रभवेण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॥कुमारसंभवम् ३.७३ ॥")</f>
        <v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॥कुमारसंभवम् ३.७३ ॥</v>
      </c>
      <c r="B1894" s="1" t="s">
        <v>4</v>
      </c>
      <c r="C1894" s="1"/>
    </row>
    <row r="1895" spans="1:3" ht="24" customHeight="1">
      <c r="A1895" s="1" t="str">
        <f ca="1">IFERROR(__xludf.DUMMYFUNCTION("""COMPUTED_VALUE"""),"तमाशु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॥कुमारसंभवम् ३.७४ ॥")</f>
        <v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॥कुमारसंभवम् ३.७४ ॥</v>
      </c>
      <c r="B1895" s="1" t="s">
        <v>2</v>
      </c>
      <c r="C1895" s="1"/>
    </row>
    <row r="1896" spans="1:3" ht="24" customHeight="1">
      <c r="A1896" s="1" t="str">
        <f ca="1">IFERROR(__xludf.DUMMYFUNCTION("""COMPUTED_VALUE"""),"शैलात्मजापि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॥कुमारसंभवम् ३.७५ ॥")</f>
        <v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॥कुमारसंभवम् ३.७५ ॥</v>
      </c>
      <c r="B1896" s="1" t="s">
        <v>16</v>
      </c>
      <c r="C1896" s="1"/>
    </row>
    <row r="1897" spans="1:3" ht="24" customHeight="1">
      <c r="A1897" s="1" t="str">
        <f ca="1">IFERROR(__xludf.DUMMYFUNCTION("""COMPUTED_VALUE""")," 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॥कुमारसंभवम्३.७६॥")</f>
        <v> 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॥कुमारसंभवम्३.७६॥</v>
      </c>
      <c r="B1897" s="1" t="s">
        <v>15</v>
      </c>
      <c r="C1897" s="1"/>
    </row>
    <row r="1898" spans="1:3" ht="24" customHeight="1">
      <c r="A1898" s="1" t="str">
        <f ca="1">IFERROR(__xludf.DUMMYFUNCTION("""COMPUTED_VALUE"""),"अथ मोहपरायणा सती विवशा कामवधूर्विबोधिता । विधिना प्रतिपादयिष्यता नववैधव्यमसह्यवेदनम् ॥कुमारसंभवम् ४.१ ॥")</f>
        <v>अथ मोहपरायणा सती विवशा कामवधूर्विबोधिता । विधिना प्रतिपादयिष्यता नववैधव्यमसह्यवेदनम् ॥कुमारसंभवम् ४.१ ॥</v>
      </c>
      <c r="B1898" s="1" t="s">
        <v>1</v>
      </c>
      <c r="C1898" s="1"/>
    </row>
    <row r="1899" spans="1:3" ht="24" customHeight="1">
      <c r="A1899" s="1" t="str">
        <f ca="1">IFERROR(__xludf.DUMMYFUNCTION("""COMPUTED_VALUE""")," अवधानपरे चकार सा प्रलयान्तोन्मिपिते विलोचने । न विवेद तयोरतृप्तयोः प्रियमत्यन्तविलुप्तदर्शनम् ॥कुमारसंभवम् ४.२ ॥")</f>
        <v> अवधानपरे चकार सा प्रलयान्तोन्मिपिते विलोचने । न विवेद तयोरतृप्तयोः प्रियमत्यन्तविलुप्तदर्शनम् ॥कुमारसंभवम् ४.२ ॥</v>
      </c>
      <c r="B1899" s="1" t="s">
        <v>1</v>
      </c>
      <c r="C1899" s="1"/>
    </row>
    <row r="1900" spans="1:3" ht="24" customHeight="1">
      <c r="A1900" s="1" t="str">
        <f ca="1">IFERROR(__xludf.DUMMYFUNCTION("""COMPUTED_VALUE""")," अयि जीवितनाथ ! जीवसीत्यभिधायोत्थितया तया पुरः ।  ददृशे पुरुषाकृति क्षितौ हरकोपानलभस्म केवलम् ॥कुमारसंभवम् ४.३ ॥")</f>
        <v> अयि जीवितनाथ ! जीवसीत्यभिधायोत्थितया तया पुरः ।  ददृशे पुरुषाकृति क्षितौ हरकोपानलभस्म केवलम् ॥कुमारसंभवम् ४.३ ॥</v>
      </c>
      <c r="B1900" s="1" t="s">
        <v>11</v>
      </c>
      <c r="C1900" s="1"/>
    </row>
    <row r="1901" spans="1:3" ht="24" customHeight="1">
      <c r="A1901" s="1" t="str">
        <f ca="1">IFERROR(__xludf.DUMMYFUNCTION("""COMPUTED_VALUE"""),"अथ सा पुनरेव विह्वला वसुधालिङ्गनधूसरस्तनी । विललाप विकीर्णमूर्धजा समदुःखामिव कुर्वती स्थलीम्॥कुमारसंभवम् ४.४ ॥")</f>
        <v>अथ सा पुनरेव विह्वला वसुधालिङ्गनधूसरस्तनी । विललाप विकीर्णमूर्धजा समदुःखामिव कुर्वती स्थलीम्॥कुमारसंभवम् ४.४ ॥</v>
      </c>
      <c r="B1901" s="1" t="s">
        <v>11</v>
      </c>
      <c r="C1901" s="1"/>
    </row>
    <row r="1902" spans="1:3" ht="24" customHeight="1">
      <c r="A1902" s="1" t="str">
        <f ca="1">IFERROR(__xludf.DUMMYFUNCTION("""COMPUTED_VALUE"""),"उपमानमभूद्विलासिनां करणं यत्तव कान्तिमत्तया । तदिदं गतमीदृशीं दशां न विदीर्ये कठिनाः खलु स्त्रियः॥कुमारसंभवम् ४.५ ॥")</f>
        <v>उपमानमभूद्विलासिनां करणं यत्तव कान्तिमत्तया । तदिदं गतमीदृशीं दशां न विदीर्ये कठिनाः खलु स्त्रियः॥कुमारसंभवम् ४.५ ॥</v>
      </c>
      <c r="B1902" s="1" t="s">
        <v>5</v>
      </c>
      <c r="C1902" s="1"/>
    </row>
    <row r="1903" spans="1:3" ht="24" customHeight="1">
      <c r="A1903" s="1" t="str">
        <f ca="1">IFERROR(__xludf.DUMMYFUNCTION("""COMPUTED_VALUE"""),"क्व नु मां त्वदधीनजीवितां विनिकीर्य क्षणभिन्नसौहृदः । नलिनीं क्षतसेतुबन्धनो जलसंघात इवासि विद्रुतः ॥कुमारसंभवम् ४.६ ॥")</f>
        <v>क्व नु मां त्वदधीनजीवितां विनिकीर्य क्षणभिन्नसौहृदः । नलिनीं क्षतसेतुबन्धनो जलसंघात इवासि विद्रुतः ॥कुमारसंभवम् ४.६ ॥</v>
      </c>
      <c r="B1903" s="1" t="s">
        <v>2</v>
      </c>
      <c r="C1903" s="1"/>
    </row>
    <row r="1904" spans="1:3" ht="24" customHeight="1">
      <c r="A1904" s="1" t="str">
        <f ca="1">IFERROR(__xludf.DUMMYFUNCTION("""COMPUTED_VALUE"""),"कृतवानसि विप्रियं न मे प्रतिकूलं न च ते मया कृतम् । किमकारणमेव दर्शनं विलपन्त्यै रतये न दीयते ॥कुमारसंभवम् ४.७ ॥")</f>
        <v>कृतवानसि विप्रियं न मे प्रतिकूलं न च ते मया कृतम् । किमकारणमेव दर्शनं विलपन्त्यै रतये न दीयते ॥कुमारसंभवम् ४.७ ॥</v>
      </c>
      <c r="B1904" s="1" t="s">
        <v>2</v>
      </c>
      <c r="C1904" s="1"/>
    </row>
    <row r="1905" spans="1:3" ht="24" customHeight="1">
      <c r="A1905" s="1" t="str">
        <f ca="1">IFERROR(__xludf.DUMMYFUNCTION("""COMPUTED_VALUE"""),"स्मरसि स्मर ! मेखलागुणैरुत गोत्रस्खलितेषु बन्धनम् । च्युतकेशरदूषितेक्षणान्यवतंसोत्पलताडनानि वा ॥कुमारसंभवम् ४.८ ॥")</f>
        <v>स्मरसि स्मर ! मेखलागुणैरुत गोत्रस्खलितेषु बन्धनम् । च्युतकेशरदूषितेक्षणान्यवतंसोत्पलताडनानि वा ॥कुमारसंभवम् ४.८ ॥</v>
      </c>
      <c r="B1905" s="1" t="s">
        <v>4</v>
      </c>
      <c r="C1905" s="1"/>
    </row>
    <row r="1906" spans="1:3" ht="24" customHeight="1">
      <c r="A1906" s="1" t="str">
        <f ca="1">IFERROR(__xludf.DUMMYFUNCTION("""COMPUTED_VALUE"""),"हृदये वससीति मत्प्रियं यदवोचस्तदवैमि कैतवम् । उपचारपदं न चेदिदं त्वमनङ्गः कथमक्षता रतिः ॥कुमारसंभवम् ४.९ ॥")</f>
        <v>हृदये वससीति मत्प्रियं यदवोचस्तदवैमि कैतवम् । उपचारपदं न चेदिदं त्वमनङ्गः कथमक्षता रतिः ॥कुमारसंभवम् ४.९ ॥</v>
      </c>
      <c r="B1906" s="1" t="s">
        <v>2</v>
      </c>
      <c r="C1906" s="1"/>
    </row>
    <row r="1907" spans="1:3" ht="24" customHeight="1">
      <c r="A1907" s="1" t="str">
        <f ca="1">IFERROR(__xludf.DUMMYFUNCTION("""COMPUTED_VALUE"""),"परलोकनवप्रवासिनः प्रतिपत्स्ये पदवीमहं तव । विधिना जन एष वञ्चितस्त्वदधीनं खलु देहिनां सुखम् ॥कुमारसंभवम् ४.१० ॥")</f>
        <v>परलोकनवप्रवासिनः प्रतिपत्स्ये पदवीमहं तव । विधिना जन एष वञ्चितस्त्वदधीनं खलु देहिनां सुखम् ॥कुमारसंभवम् ४.१० ॥</v>
      </c>
      <c r="B1907" s="1" t="s">
        <v>14</v>
      </c>
      <c r="C1907" s="1"/>
    </row>
    <row r="1908" spans="1:3" ht="24" customHeight="1">
      <c r="A1908" s="1" t="str">
        <f ca="1">IFERROR(__xludf.DUMMYFUNCTION("""COMPUTED_VALUE"""),"रजनीतिमिरावगुण्ठिते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॥कुमारसंभवम् ४.११ ॥")</f>
        <v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॥कुमारसंभवम् ४.११ ॥</v>
      </c>
      <c r="B1908" s="1" t="s">
        <v>0</v>
      </c>
      <c r="C1908" s="1"/>
    </row>
    <row r="1909" spans="1:3" ht="24" customHeight="1">
      <c r="A1909" s="1" t="str">
        <f ca="1">IFERROR(__xludf.DUMMYFUNCTION("""COMPUTED_VALUE"""),"नयनान्यरुणानि घूर्णयन्वचनानि स्खलयन्पदे पदे । असति त्वयि वारुणीमदः प्रमदानामधुना विडम्बना ॥कुमारसंभवम् ४.१२ ॥")</f>
        <v>नयनान्यरुणानि घूर्णयन्वचनानि स्खलयन्पदे पदे । असति त्वयि वारुणीमदः प्रमदानामधुना विडम्बना ॥कुमारसंभवम् ४.१२ ॥</v>
      </c>
      <c r="B1909" s="1" t="s">
        <v>1</v>
      </c>
      <c r="C1909" s="1"/>
    </row>
    <row r="1910" spans="1:3" ht="24" customHeight="1">
      <c r="A1910" s="1" t="str">
        <f ca="1">IFERROR(__xludf.DUMMYFUNCTION("""COMPUTED_VALUE"""),"अवगम्य कथीकृतं वपुः प्रियबन्धोस्तव निष्फलोदयः। बहुलेऽपि गते निशाकरस्तनुतां दुःखमनङ्ग ! मोक्ष्यति ॥कुमारसंभवम् ४.१३ ॥")</f>
        <v>अवगम्य कथीकृतं वपुः प्रियबन्धोस्तव निष्फलोदयः। बहुलेऽपि गते निशाकरस्तनुतां दुःखमनङ्ग ! मोक्ष्यति ॥कुमारसंभवम् ४.१३ ॥</v>
      </c>
      <c r="B1910" s="1" t="s">
        <v>2</v>
      </c>
      <c r="C1910" s="1"/>
    </row>
    <row r="1911" spans="1:3" ht="24" customHeight="1">
      <c r="A1911" s="1" t="str">
        <f ca="1">IFERROR(__xludf.DUMMYFUNCTION("""COMPUTED_VALUE"""),"हरितारुणचारुबन्धनः कलपुंस्कोकिलशब्दसूचितः । वद संप्रति कस्य बाणतां नवचूतप्रसवो गमिष्यति ॥कुमारसंभवम् ४.१४ ॥")</f>
        <v>हरितारुणचारुबन्धनः कलपुंस्कोकिलशब्दसूचितः । वद संप्रति कस्य बाणतां नवचूतप्रसवो गमिष्यति ॥कुमारसंभवम् ४.१४ ॥</v>
      </c>
      <c r="B1911" s="1" t="s">
        <v>2</v>
      </c>
      <c r="C1911" s="1"/>
    </row>
    <row r="1912" spans="1:3" ht="24" customHeight="1">
      <c r="A1912" s="1" t="str">
        <f ca="1">IFERROR(__xludf.DUMMYFUNCTION("""COMPUTED_VALUE""")," अलिपङ्त्तिरनेकशस्त्वया गुणकृत्ये धनुषो नियोजिता । विरुतैः करुणखनैरियं गुरुशोकामनुरोदितीव माम् ॥कुमारसंभवम् ४.१५ ॥")</f>
        <v> अलिपङ्त्तिरनेकशस्त्वया गुणकृत्ये धनुषो नियोजिता । विरुतैः करुणखनैरियं गुरुशोकामनुरोदितीव माम् ॥कुमारसंभवम् ४.१५ ॥</v>
      </c>
      <c r="B1912" s="1" t="s">
        <v>12</v>
      </c>
      <c r="C1912" s="1"/>
    </row>
    <row r="1913" spans="1:3" ht="24" customHeight="1">
      <c r="A1913" s="1" t="str">
        <f ca="1">IFERROR(__xludf.DUMMYFUNCTION("""COMPUTED_VALUE""")," प्रतिपद्य मनोहरं वपुः पुनरप्यादिश तावदुत्थितः । रतिदूतिपदेषु कोकिलां मधुरालापनिसर्गपण्डिताम् ॥कुमारसंभवम् ४.१६ ॥")</f>
        <v> प्रतिपद्य मनोहरं वपुः पुनरप्यादिश तावदुत्थितः । रतिदूतिपदेषु कोकिलां मधुरालापनिसर्गपण्डिताम् ॥कुमारसंभवम् ४.१६ ॥</v>
      </c>
      <c r="B1913" s="1" t="s">
        <v>2</v>
      </c>
      <c r="C1913" s="1"/>
    </row>
    <row r="1914" spans="1:3" ht="24" customHeight="1">
      <c r="A1914" s="1" t="str">
        <f ca="1">IFERROR(__xludf.DUMMYFUNCTION("""COMPUTED_VALUE""")," शिरसा प्रणिपत्य याचितान्युपगूढानि सवेपथूनि च । सुरतानि च तानि ते रहः स्मर! संस्मृत्य न शान्तिरस्ति मे ॥कुमारसंभवम् ४.१७ ॥")</f>
        <v> शिरसा प्रणिपत्य याचितान्युपगूढानि सवेपथूनि च । सुरतानि च तानि ते रहः स्मर! संस्मृत्य न शान्तिरस्ति मे ॥कुमारसंभवम् ४.१७ ॥</v>
      </c>
      <c r="B1914" s="1" t="s">
        <v>12</v>
      </c>
      <c r="C1914" s="1"/>
    </row>
    <row r="1915" spans="1:3" ht="24" customHeight="1">
      <c r="A1915" s="1" t="str">
        <f ca="1">IFERROR(__xludf.DUMMYFUNCTION("""COMPUTED_VALUE"""),"रंचितं रतिपण्डित ! त्वया स्वयमङ्गेषु ममेदमार्तवम् । ध्रियते कुसुमप्रसाधनं तव तच्चारु वपुर्न दृश्यते ॥कुमारसंभवम् ४.१८ ॥")</f>
        <v>रंचितं रतिपण्डित ! त्वया स्वयमङ्गेषु ममेदमार्तवम् । ध्रियते कुसुमप्रसाधनं तव तच्चारु वपुर्न दृश्यते ॥कुमारसंभवम् ४.१८ ॥</v>
      </c>
      <c r="B1915" s="1" t="s">
        <v>2</v>
      </c>
      <c r="C1915" s="1"/>
    </row>
    <row r="1916" spans="1:3" ht="24" customHeight="1">
      <c r="A1916" s="1" t="str">
        <f ca="1">IFERROR(__xludf.DUMMYFUNCTION("""COMPUTED_VALUE"""),"विबुधैरसि यस्य दारुणैरसमाप्ते परिकर्मणि स्मृतः । तमिमं कुरु दक्षिणेतरं चरणं निर्मितरागमेहि मे ॥कुमारसंभवम् ४.१९ ॥")</f>
        <v>विबुधैरसि यस्य दारुणैरसमाप्ते परिकर्मणि स्मृतः । तमिमं कुरु दक्षिणेतरं चरणं निर्मितरागमेहि मे ॥कुमारसंभवम् ४.१९ ॥</v>
      </c>
      <c r="B1916" s="1" t="s">
        <v>12</v>
      </c>
      <c r="C1916" s="1"/>
    </row>
    <row r="1917" spans="1:3" ht="24" customHeight="1">
      <c r="A1917" s="1" t="str">
        <f ca="1">IFERROR(__xludf.DUMMYFUNCTION("""COMPUTED_VALUE"""),"अहमेत्य पतङ्गवर्त्मना पुनरङ्काश्रयणी भवामि ते । चतुरैः सुरकामिनीजनैः प्रिय ! यावन्न विलोभ्यसे दिवि ॥कुमारसंभवम् ४.२० ॥ ")</f>
        <v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॥कुमारसंभवम् ४.२० ॥ </v>
      </c>
      <c r="B1917" s="1" t="s">
        <v>4</v>
      </c>
      <c r="C1917" s="1"/>
    </row>
    <row r="1918" spans="1:3" ht="24" customHeight="1">
      <c r="A1918" s="1" t="str">
        <f ca="1">IFERROR(__xludf.DUMMYFUNCTION("""COMPUTED_VALUE"""),"मदनेन विनाकृता रतिः क्षणमात्रं किल जीवितेति मे । वचनीयमिदं व्यवस्थितं रमण ! त्वामनुयामि यद्यपि ॥कुमारसंभवम्४.२१ ॥")</f>
        <v>मदनेन विनाकृता रतिः क्षणमात्रं किल जीवितेति मे । वचनीयमिदं व्यवस्थितं रमण ! त्वामनुयामि यद्यपि ॥कुमारसंभवम्४.२१ ॥</v>
      </c>
      <c r="B1918" s="1" t="s">
        <v>9</v>
      </c>
      <c r="C1918" s="1"/>
    </row>
    <row r="1919" spans="1:3" ht="24" customHeight="1">
      <c r="A1919" s="1" t="str">
        <f ca="1">IFERROR(__xludf.DUMMYFUNCTION("""COMPUTED_VALUE"""),"क्रियतां कथमन्त्यमण्डनं परलोकान्तरितस्य ते मया । सममेव गतोऽस्यतर्कितां गतिमङ्गेन च जीवितेन च ॥कुमारसंभवम् ४.२२ ॥")</f>
        <v>क्रियतां कथमन्त्यमण्डनं परलोकान्तरितस्य ते मया । सममेव गतोऽस्यतर्कितां गतिमङ्गेन च जीवितेन च ॥कुमारसंभवम् ४.२२ ॥</v>
      </c>
      <c r="B1919" s="1" t="s">
        <v>16</v>
      </c>
      <c r="C1919" s="1"/>
    </row>
    <row r="1920" spans="1:3" ht="24" customHeight="1">
      <c r="A1920" s="1" t="str">
        <f ca="1">IFERROR(__xludf.DUMMYFUNCTION("""COMPUTED_VALUE"""),"ऋजुतां नयतः स्मरामि ते शरमुत्सङ्गनिषण्णधन्वनः । मधुना सह सस्मितां कथां नयनोपान्तवि लोकितं च यत् ॥कुमारसंभवम् ४.२३ ॥")</f>
        <v>ऋजुतां नयतः स्मरामि ते शरमुत्सङ्गनिषण्णधन्वनः । मधुना सह सस्मितां कथां नयनोपान्तवि लोकितं च यत् ॥कुमारसंभवम् ४.२३ ॥</v>
      </c>
      <c r="B1920" s="1" t="s">
        <v>5</v>
      </c>
      <c r="C1920" s="1"/>
    </row>
    <row r="1921" spans="1:3" ht="24" customHeight="1">
      <c r="A1921" s="1" t="str">
        <f ca="1">IFERROR(__xludf.DUMMYFUNCTION("""COMPUTED_VALUE"""),"क्व नु ते हृदयंगमः सखा कुसुमायोजितकार्मुको मधुः । न खलूग्ररुषा पिनाकिना गमितः सोऽपि सुहृद्गतां गतिम् ॥कुमारसंभवम् ४.२४ ॥")</f>
        <v>क्व नु ते हृदयंगमः सखा कुसुमायोजितकार्मुको मधुः । न खलूग्ररुषा पिनाकिना गमितः सोऽपि सुहृद्गतां गतिम् ॥कुमारसंभवम् ४.२४ ॥</v>
      </c>
      <c r="B1921" s="1" t="s">
        <v>2</v>
      </c>
      <c r="C1921" s="1"/>
    </row>
    <row r="1922" spans="1:3" ht="24" customHeight="1">
      <c r="A1922" s="1" t="str">
        <f ca="1">IFERROR(__xludf.DUMMYFUNCTION("""COMPUTED_VALUE"""),"अथ तैः परिदेविताक्षरैर्हृदये दिग्ध शरैरिवाहतः । रतिमभ्युपपत्तुमातुरां मधुरात्मानमदर्शयत्पुरः ॥कुमारसंभवम् ४.२५ ॥")</f>
        <v>अथ तैः परिदेविताक्षरैर्हृदये दिग्ध शरैरिवाहतः । रतिमभ्युपपत्तुमातुरां मधुरात्मानमदर्शयत्पुरः ॥कुमारसंभवम् ४.२५ ॥</v>
      </c>
      <c r="B1922" s="1" t="s">
        <v>0</v>
      </c>
      <c r="C1922" s="1"/>
    </row>
    <row r="1923" spans="1:3" ht="24" customHeight="1">
      <c r="A1923" s="1" t="str">
        <f ca="1">IFERROR(__xludf.DUMMYFUNCTION("""COMPUTED_VALUE"""),"तमवेक्ष्य रुरोद सा भृशं स्तनसंबाधमुरो जघान च । स्वजनस्य हि दुःखमग्रतो विवृतद्वारमिवोपजायते ॥कुमारसंभवम् ४.२६ ॥")</f>
        <v>तमवेक्ष्य रुरोद सा भृशं स्तनसंबाधमुरो जघान च । स्वजनस्य हि दुःखमग्रतो विवृतद्वारमिवोपजायते ॥कुमारसंभवम् ४.२६ ॥</v>
      </c>
      <c r="B1923" s="1" t="s">
        <v>2</v>
      </c>
      <c r="C1923" s="1"/>
    </row>
    <row r="1924" spans="1:3" ht="24" customHeight="1">
      <c r="A1924" s="1" t="str">
        <f ca="1">IFERROR(__xludf.DUMMYFUNCTION("""COMPUTED_VALUE"""),"इति चैनमुवाच दुःखिता सुहृदः पश्य वसन्त ! किं स्थितम् । तदिदं कणशो विकीर्यते पवनैर्भस्म कपोतकर्बुरम् ॥कुमारसंभवम् ४.२७ ॥")</f>
        <v>इति चैनमुवाच दुःखिता सुहृदः पश्य वसन्त ! किं स्थितम् । तदिदं कणशो विकीर्यते पवनैर्भस्म कपोतकर्बुरम् ॥कुमारसंभवम् ४.२७ ॥</v>
      </c>
      <c r="B1924" s="1" t="s">
        <v>0</v>
      </c>
      <c r="C1924" s="1"/>
    </row>
    <row r="1925" spans="1:3" ht="24" customHeight="1">
      <c r="A1925" s="1" t="str">
        <f ca="1">IFERROR(__xludf.DUMMYFUNCTION("""COMPUTED_VALUE"""),"अयि संप्रति देहि दर्शनं स्मर ! पर्युत्सुक एष माधवः । दयितास्वनवस्थितं नृणां न खलु प्रेम चलं सुहृज्जने ॥कुमारसंभवम् ४.२८ ॥")</f>
        <v>अयि संप्रति देहि दर्शनं स्मर ! पर्युत्सुक एष माधवः । दयितास्वनवस्थितं नृणां न खलु प्रेम चलं सुहृज्जने ॥कुमारसंभवम् ४.२८ ॥</v>
      </c>
      <c r="B1925" s="1" t="s">
        <v>1</v>
      </c>
      <c r="C1925" s="1"/>
    </row>
    <row r="1926" spans="1:3" ht="24" customHeight="1">
      <c r="A1926" s="1" t="str">
        <f ca="1">IFERROR(__xludf.DUMMYFUNCTION("""COMPUTED_VALUE"""),"अमुना ननु ! पार्श्ववर्तिना जगदाज्ञां ससुरासुरं तव ।  बिसतन्तुगुणस्य कारितं धनुपः पेलवपुष्पपत्रिणः॥कुमारसंभवम् ४.२९ ॥")</f>
        <v>अमुना ननु ! पार्श्ववर्तिना जगदाज्ञां ससुरासुरं तव ।  बिसतन्तुगुणस्य कारितं धनुपः पेलवपुष्पपत्रिणः॥कुमारसंभवम् ४.२९ ॥</v>
      </c>
      <c r="B1926" s="1" t="s">
        <v>7</v>
      </c>
      <c r="C1926" s="1"/>
    </row>
    <row r="1927" spans="1:3" ht="24" customHeight="1">
      <c r="A1927" s="1" t="str">
        <f ca="1">IFERROR(__xludf.DUMMYFUNCTION("""COMPUTED_VALUE"""),"गत एव न ते निवर्तते स सखा दीप इवानिलाहतः । अहमस्य दर्शव पश्य मामविषह्यव्यसनेन धूमिताम् ॥कुमारसंभवम् ४.३० ॥")</f>
        <v>गत एव न ते निवर्तते स सखा दीप इवानिलाहतः । अहमस्य दर्शव पश्य मामविषह्यव्यसनेन धूमिताम् ॥कुमारसंभवम् ४.३० ॥</v>
      </c>
      <c r="B1927" s="1" t="s">
        <v>2</v>
      </c>
      <c r="C1927" s="1"/>
    </row>
    <row r="1928" spans="1:3" ht="24" customHeight="1">
      <c r="A1928" s="1" t="str">
        <f ca="1">IFERROR(__xludf.DUMMYFUNCTION("""COMPUTED_VALUE"""),"विधिना कृतमर्धवैशसं ननु ! मां कामवधे विमुञ्चता । अनपायिनि संश्रयद्रुमे गजभग्ने पतनाय वल्लरी ॥कुमारसंभवम् ४.३१ ॥")</f>
        <v>विधिना कृतमर्धवैशसं ननु ! मां कामवधे विमुञ्चता । अनपायिनि संश्रयद्रुमे गजभग्ने पतनाय वल्लरी ॥कुमारसंभवम् ४.३१ ॥</v>
      </c>
      <c r="B1928" s="1" t="s">
        <v>0</v>
      </c>
      <c r="C1928" s="1"/>
    </row>
    <row r="1929" spans="1:3" ht="24" customHeight="1">
      <c r="A1929" s="1" t="str">
        <f ca="1">IFERROR(__xludf.DUMMYFUNCTION("""COMPUTED_VALUE"""),"तदिदं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॥कुमारसंभवम् ४.३२ ॥")</f>
        <v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॥कुमारसंभवम् ४.३२ ॥</v>
      </c>
      <c r="B1929" s="1" t="s">
        <v>19</v>
      </c>
      <c r="C1929" s="1"/>
    </row>
    <row r="1930" spans="1:3" ht="24" customHeight="1">
      <c r="A1930" s="1" t="str">
        <f ca="1">IFERROR(__xludf.DUMMYFUNCTION("""COMPUTED_VALUE"""),"तथा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॥कुमारसंभवम् ५.१ ॥")</f>
        <v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॥कुमारसंभवम् ५.१ ॥</v>
      </c>
      <c r="B1930" s="1" t="s">
        <v>2</v>
      </c>
      <c r="C1930" s="1"/>
    </row>
    <row r="1931" spans="1:3" ht="24" customHeight="1">
      <c r="A1931" s="1" t="str">
        <f ca="1">IFERROR(__xludf.DUMMYFUNCTION("""COMPUTED_VALUE"""),"इयेष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॥कुमारसंभवम् ५.२ ॥")</f>
        <v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॥कुमारसंभवम् ५.२ ॥</v>
      </c>
      <c r="B1931" s="1" t="s">
        <v>8</v>
      </c>
      <c r="C1931" s="1"/>
    </row>
    <row r="1932" spans="1:3" ht="24" customHeight="1">
      <c r="A1932" s="1" t="str">
        <f ca="1">IFERROR(__xludf.DUMMYFUNCTION("""COMPUTED_VALUE"""),"निशम्य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॥कुमारसंभवम् ५.३ ॥")</f>
        <v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॥कुमारसंभवम् ५.३ ॥</v>
      </c>
      <c r="B1932" s="1" t="s">
        <v>2</v>
      </c>
      <c r="C1932" s="1"/>
    </row>
    <row r="1933" spans="1:3" ht="24" customHeight="1">
      <c r="A1933" s="1" t="str">
        <f ca="1">IFERROR(__xludf.DUMMYFUNCTION("""COMPUTED_VALUE"""),"सामान्यनिषेधमुक्त्वा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॥कुमारसंभवम् ५.४ ॥")</f>
        <v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॥कुमारसंभवम् ५.४ ॥</v>
      </c>
      <c r="B1933" s="1" t="s">
        <v>7</v>
      </c>
      <c r="C1933" s="1"/>
    </row>
    <row r="1934" spans="1:3" ht="24" customHeight="1">
      <c r="A1934" s="1" t="str">
        <f ca="1">IFERROR(__xludf.DUMMYFUNCTION("""COMPUTED_VALUE"""),"कदाचिदासन्नसखीमुखेन सा मनोरथज्ञं पितरं मनस्विनी । अयाचतारण्यनिवासमात्मनः फलोदयान्ताय तपःसमाधये ॥कुमारसंभवम् ५.६ ॥")</f>
        <v>कदाचिदासन्नसखीमुखेन सा मनोरथज्ञं पितरं मनस्विनी । अयाचतारण्यनिवासमात्मनः फलोदयान्ताय तपःसमाधये ॥कुमारसंभवम् ५.६ ॥</v>
      </c>
      <c r="B1934" s="1" t="s">
        <v>5</v>
      </c>
      <c r="C1934" s="1"/>
    </row>
    <row r="1935" spans="1:3" ht="24" customHeight="1">
      <c r="A1935" s="1" t="str">
        <f ca="1">IFERROR(__xludf.DUMMYFUNCTION("""COMPUTED_VALUE"""),"अथानुरूपाभिनिवेशतोपिणा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॥कुमारसंभवम् ५.७ ॥")</f>
        <v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॥कुमारसंभवम् ५.७ ॥</v>
      </c>
      <c r="B1935" s="1" t="s">
        <v>12</v>
      </c>
      <c r="C1935" s="1"/>
    </row>
    <row r="1936" spans="1:3" ht="24" customHeight="1">
      <c r="A1936" s="1" t="str">
        <f ca="1">IFERROR(__xludf.DUMMYFUNCTION("""COMPUTED_VALUE"""),"विमुच्य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॥कुमारसंभवम् ५.८ ॥")</f>
        <v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॥कुमारसंभवम् ५.८ ॥</v>
      </c>
      <c r="B1936" s="1" t="s">
        <v>2</v>
      </c>
      <c r="C1936" s="1"/>
    </row>
    <row r="1937" spans="1:3" ht="24" customHeight="1">
      <c r="A1937" s="1" t="str">
        <f ca="1">IFERROR(__xludf.DUMMYFUNCTION("""COMPUTED_VALUE"""),"यथा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॥कुमारसंभवम् ५.९ ॥")</f>
        <v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॥कुमारसंभवम् ५.९ ॥</v>
      </c>
      <c r="B1937" s="1" t="s">
        <v>2</v>
      </c>
      <c r="C1937" s="1"/>
    </row>
    <row r="1938" spans="1:3" ht="24" customHeight="1">
      <c r="A1938" s="1" t="str">
        <f ca="1">IFERROR(__xludf.DUMMYFUNCTION("""COMPUTED_VALUE"""),"प्रतिक्षणं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॥कुमारसंभवम् ५.१० ॥")</f>
        <v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॥कुमारसंभवम् ५.१० ॥</v>
      </c>
      <c r="B1938" s="1" t="s">
        <v>17</v>
      </c>
      <c r="C1938" s="1"/>
    </row>
    <row r="1939" spans="1:3" ht="24" customHeight="1">
      <c r="A1939" s="1" t="str">
        <f ca="1">IFERROR(__xludf.DUMMYFUNCTION("""COMPUTED_VALUE"""),"विसृष्टरागादधरान्निवर्तितः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॥कुमारसंभवम् ५.११ ॥")</f>
        <v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॥कुमारसंभवम् ५.११ ॥</v>
      </c>
      <c r="B1939" s="1" t="s">
        <v>0</v>
      </c>
      <c r="C1939" s="1"/>
    </row>
    <row r="1940" spans="1:3" ht="24" customHeight="1">
      <c r="A1940" s="1" t="str">
        <f ca="1">IFERROR(__xludf.DUMMYFUNCTION("""COMPUTED_VALUE"""),"महार्हशय्यापरिवर्तनच्युतैः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||कुमारसंभवम् ५.१२ ||")</f>
        <v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||कुमारसंभवम् ५.१२ ||</v>
      </c>
      <c r="B1940" s="1" t="s">
        <v>11</v>
      </c>
      <c r="C1940" s="1"/>
    </row>
    <row r="1941" spans="1:3" ht="24" customHeight="1">
      <c r="A1941" s="1" t="str">
        <f ca="1">IFERROR(__xludf.DUMMYFUNCTION("""COMPUTED_VALUE"""),"पुनर्ग्रहीतुं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||कुमारसंभवम् ५.१३ ||")</f>
        <v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||कुमारसंभवम् ५.१३ ||</v>
      </c>
      <c r="B1941" s="1" t="s">
        <v>16</v>
      </c>
      <c r="C1941" s="1"/>
    </row>
    <row r="1942" spans="1:3" ht="24" customHeight="1">
      <c r="A1942" s="1" t="str">
        <f ca="1">IFERROR(__xludf.DUMMYFUNCTION("""COMPUTED_VALUE"""),"अतन्द्रिता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||कुमारसंभवम् ५.१४ ||")</f>
        <v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||कुमारसंभवम् ५.१४ ||</v>
      </c>
      <c r="B1942" s="1" t="s">
        <v>2</v>
      </c>
      <c r="C1942" s="1"/>
    </row>
    <row r="1943" spans="1:3" ht="24" customHeight="1">
      <c r="A1943" s="1" t="str">
        <f ca="1">IFERROR(__xludf.DUMMYFUNCTION("""COMPUTED_VALUE"""),"अरण्यबीजाञ्जलिदानलालितास्तथा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||कुमारसंभवम् ५.१५ ||")</f>
        <v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||कुमारसंभवम् ५.१५ ||</v>
      </c>
      <c r="B1943" s="1" t="s">
        <v>1</v>
      </c>
      <c r="C1943" s="1"/>
    </row>
    <row r="1944" spans="1:3" ht="24" customHeight="1">
      <c r="A1944" s="1" t="str">
        <f ca="1">IFERROR(__xludf.DUMMYFUNCTION("""COMPUTED_VALUE"""),"कृताभिषेकां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||कुमारसंभवम् ५.१६ ||")</f>
        <v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||कुमारसंभवम् ५.१६ ||</v>
      </c>
      <c r="B1944" s="1" t="s">
        <v>2</v>
      </c>
      <c r="C1944" s="1"/>
    </row>
    <row r="1945" spans="1:3" ht="24" customHeight="1">
      <c r="A1945" s="1" t="str">
        <f ca="1">IFERROR(__xludf.DUMMYFUNCTION("""COMPUTED_VALUE"""),"विरोधिसत्त्वोज्झितपूर्वमत्सरं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||कुमारसंभवम् ५.१७||")</f>
        <v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||कुमारसंभवम् ५.१७||</v>
      </c>
      <c r="B1945" s="1" t="s">
        <v>1</v>
      </c>
      <c r="C1945" s="1"/>
    </row>
    <row r="1946" spans="1:3" ht="24" customHeight="1">
      <c r="A1946" s="1" t="str">
        <f ca="1">IFERROR(__xludf.DUMMYFUNCTION("""COMPUTED_VALUE"""),"यदा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||कुमारसंभवम् ५.१८ ||")</f>
        <v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||कुमारसंभवम् ५.१८ ||</v>
      </c>
      <c r="B1946" s="1" t="s">
        <v>12</v>
      </c>
      <c r="C1946" s="1"/>
    </row>
    <row r="1947" spans="1:3" ht="24" customHeight="1">
      <c r="A1947" s="1" t="str">
        <f ca="1">IFERROR(__xludf.DUMMYFUNCTION("""COMPUTED_VALUE"""),"क्लमं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||कुमारसंभवम् ५.१९||")</f>
        <v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||कुमारसंभवम् ५.१९||</v>
      </c>
      <c r="B1947" s="1" t="s">
        <v>16</v>
      </c>
      <c r="C1947" s="1"/>
    </row>
    <row r="1948" spans="1:3" ht="24" customHeight="1">
      <c r="A1948" s="1" t="str">
        <f ca="1">IFERROR(__xludf.DUMMYFUNCTION("""COMPUTED_VALUE"""),"शुचौ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||कुमारसंभवम् ५.२०||")</f>
        <v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||कुमारसंभवम् ५.२०||</v>
      </c>
      <c r="B1948" s="1" t="s">
        <v>2</v>
      </c>
      <c r="C1948" s="1"/>
    </row>
    <row r="1949" spans="1:3" ht="24" customHeight="1">
      <c r="A1949" s="1" t="str">
        <f ca="1">IFERROR(__xludf.DUMMYFUNCTION("""COMPUTED_VALUE"""),"अयाचितोपस्थितमम्बु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॥कुमारसंभवम् ५.२२ ॥")</f>
        <v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॥कुमारसंभवम् ५.२२ ॥</v>
      </c>
      <c r="B1949" s="1" t="s">
        <v>1</v>
      </c>
      <c r="C1949" s="1"/>
    </row>
    <row r="1950" spans="1:3" ht="24" customHeight="1">
      <c r="A1950" s="1" t="str">
        <f ca="1">IFERROR(__xludf.DUMMYFUNCTION("""COMPUTED_VALUE"""),"निकामतप्ता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||कुमारसंभवम् ५.२३ ||")</f>
        <v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||कुमारसंभवम् ५.२३ ||</v>
      </c>
      <c r="B1950" s="1" t="s">
        <v>15</v>
      </c>
      <c r="C1950" s="1"/>
    </row>
    <row r="1951" spans="1:3" ht="24" customHeight="1">
      <c r="A1951" s="1" t="str">
        <f ca="1">IFERROR(__xludf.DUMMYFUNCTION("""COMPUTED_VALUE"""),"स्थिताः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॥कुमारसंभवम् ५.२४ ॥")</f>
        <v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॥कुमारसंभवम् ५.२४ ॥</v>
      </c>
      <c r="B1951" s="1" t="s">
        <v>4</v>
      </c>
      <c r="C1951" s="1"/>
    </row>
    <row r="1952" spans="1:3" ht="24" customHeight="1">
      <c r="A1952" s="1" t="str">
        <f ca="1">IFERROR(__xludf.DUMMYFUNCTION("""COMPUTED_VALUE"""),"शिलाशयां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॥कुमारसंभवम् ५.२५ ॥")</f>
        <v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॥कुमारसंभवम् ५.२५ ॥</v>
      </c>
      <c r="B1952" s="1" t="s">
        <v>9</v>
      </c>
      <c r="C1952" s="1"/>
    </row>
    <row r="1953" spans="1:3" ht="24" customHeight="1">
      <c r="A1953" s="1" t="str">
        <f ca="1">IFERROR(__xludf.DUMMYFUNCTION("""COMPUTED_VALUE"""),"निनाय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||कुमारसंभवम् ५.२६ ||")</f>
        <v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||कुमारसंभवम् ५.२६ ||</v>
      </c>
      <c r="B1953" s="1" t="s">
        <v>2</v>
      </c>
      <c r="C1953" s="1"/>
    </row>
    <row r="1954" spans="1:3" ht="24" customHeight="1">
      <c r="A1954" s="1" t="str">
        <f ca="1">IFERROR(__xludf.DUMMYFUNCTION("""COMPUTED_VALUE"""),"मुखेन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||कुमारसंभवम् ५.२७ ||")</f>
        <v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||कुमारसंभवम् ५.२७ ||</v>
      </c>
      <c r="B1954" s="1" t="s">
        <v>9</v>
      </c>
      <c r="C1954" s="1"/>
    </row>
    <row r="1955" spans="1:3" ht="24" customHeight="1">
      <c r="A1955" s="1" t="str">
        <f ca="1">IFERROR(__xludf.DUMMYFUNCTION("""COMPUTED_VALUE"""),"स्वयंविशीर्णद्रुभपर्णवृत्तिता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||कुमारसंभवम् ५.२८ ||")</f>
        <v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||कुमारसंभवम् ५.२८ ||</v>
      </c>
      <c r="B1955" s="1" t="s">
        <v>17</v>
      </c>
      <c r="C1955" s="1"/>
    </row>
    <row r="1956" spans="1:3" ht="24" customHeight="1">
      <c r="A1956" s="1" t="str">
        <f ca="1">IFERROR(__xludf.DUMMYFUNCTION("""COMPUTED_VALUE"""),"मृणालिकापेलवमेवमादिभिव्रतैः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||कुमारसंभवम् ५.२९ ||")</f>
        <v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||कुमारसंभवम् ५.२९ ||</v>
      </c>
      <c r="B1956" s="1" t="s">
        <v>18</v>
      </c>
      <c r="C1956" s="1"/>
    </row>
    <row r="1957" spans="1:3" ht="24" customHeight="1">
      <c r="A1957" s="1" t="str">
        <f ca="1">IFERROR(__xludf.DUMMYFUNCTION("""COMPUTED_VALUE"""),"अथाजिनापाढधरः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||कुमारसंभवम् ५.३० ||")</f>
        <v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||कुमारसंभवम् ५.३० ||</v>
      </c>
      <c r="B1957" s="1" t="s">
        <v>10</v>
      </c>
      <c r="C1957" s="1"/>
    </row>
    <row r="1958" spans="1:3" ht="24" customHeight="1">
      <c r="A1958" s="1" t="str">
        <f ca="1">IFERROR(__xludf.DUMMYFUNCTION("""COMPUTED_VALUE"""),"तमातिथेयी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||कुमारसंभवम् ५.३१||")</f>
        <v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||कुमारसंभवम् ५.३१||</v>
      </c>
      <c r="B1958" s="1" t="s">
        <v>5</v>
      </c>
      <c r="C1958" s="1"/>
    </row>
    <row r="1959" spans="1:3" ht="24" customHeight="1">
      <c r="A1959" s="1" t="str">
        <f ca="1">IFERROR(__xludf.DUMMYFUNCTION("""COMPUTED_VALUE"""),"विधिप्रयुक्तां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||कुमारसंभवम् ५.३२ ||")</f>
        <v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||कुमारसंभवम् ५.३२ ||</v>
      </c>
      <c r="B1959" s="1" t="s">
        <v>12</v>
      </c>
      <c r="C1959" s="1"/>
    </row>
    <row r="1960" spans="1:3" ht="24" customHeight="1">
      <c r="A1960" s="1" t="str">
        <f ca="1">IFERROR(__xludf.DUMMYFUNCTION("""COMPUTED_VALUE"""),"अपि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||कुमारसंभवम् ५.३३ ||")</f>
        <v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||कुमारसंभवम् ५.३३ ||</v>
      </c>
      <c r="B1960" s="1" t="s">
        <v>1</v>
      </c>
      <c r="C1960" s="1"/>
    </row>
    <row r="1961" spans="1:3" ht="24" customHeight="1">
      <c r="A1961" s="1" t="str">
        <f ca="1">IFERROR(__xludf.DUMMYFUNCTION("""COMPUTED_VALUE"""),"अपि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||कुमारसंभवम् ५.३४ ||")</f>
        <v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||कुमारसंभवम् ५.३४ ||</v>
      </c>
      <c r="B1961" s="1" t="s">
        <v>18</v>
      </c>
      <c r="C1961" s="1"/>
    </row>
    <row r="1962" spans="1:3" ht="24" customHeight="1">
      <c r="A1962" s="1" t="str">
        <f ca="1">IFERROR(__xludf.DUMMYFUNCTION("""COMPUTED_VALUE"""),"अपि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||कुमारसंभवम् ५.३५ ||")</f>
        <v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||कुमारसंभवम् ५.३५ ||</v>
      </c>
      <c r="B1962" s="1" t="s">
        <v>2</v>
      </c>
      <c r="C1962" s="1"/>
    </row>
    <row r="1963" spans="1:3" ht="24" customHeight="1">
      <c r="A1963" s="1" t="str">
        <f ca="1">IFERROR(__xludf.DUMMYFUNCTION("""COMPUTED_VALUE"""),"यदुच्यते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||कुमारसंभवम् ५.३६ ||")</f>
        <v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||कुमारसंभवम् ५.३६ ||</v>
      </c>
      <c r="B1963" s="1" t="s">
        <v>2</v>
      </c>
      <c r="C1963" s="1"/>
    </row>
    <row r="1964" spans="1:3" ht="24" customHeight="1">
      <c r="A1964" s="1" t="str">
        <f ca="1">IFERROR(__xludf.DUMMYFUNCTION("""COMPUTED_VALUE"""),"विकीर्णसप्तर्षिबलि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॥कुमारसंभवम्५.३७॥")</f>
        <v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॥कुमारसंभवम्५.३७॥</v>
      </c>
      <c r="B1964" s="1" t="s">
        <v>5</v>
      </c>
      <c r="C1964" s="1"/>
    </row>
    <row r="1965" spans="1:3" ht="24" customHeight="1">
      <c r="A1965" s="1" t="str">
        <f ca="1">IFERROR(__xludf.DUMMYFUNCTION("""COMPUTED_VALUE"""),"अनेन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॥कुमारसंभवम्५.३८॥")</f>
        <v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॥कुमारसंभवम्५.३८॥</v>
      </c>
      <c r="B1965" s="1" t="s">
        <v>2</v>
      </c>
      <c r="C1965" s="1"/>
    </row>
    <row r="1966" spans="1:3" ht="24" customHeight="1">
      <c r="A1966" s="1" t="str">
        <f ca="1">IFERROR(__xludf.DUMMYFUNCTION("""COMPUTED_VALUE""")," 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॥कुमारसंभवम्५.३९॥")</f>
        <v xml:space="preserve"> 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॥कुमारसंभवम्५.३९॥</v>
      </c>
      <c r="B1966" s="1" t="s">
        <v>2</v>
      </c>
      <c r="C1966" s="1"/>
    </row>
    <row r="1967" spans="1:3" ht="24" customHeight="1">
      <c r="A1967" s="1" t="str">
        <f ca="1">IFERROR(__xludf.DUMMYFUNCTION("""COMPUTED_VALUE""")," 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॥कुमारसंभवम्५.४०॥")</f>
        <v xml:space="preserve"> 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॥कुमारसंभवम्५.४०॥</v>
      </c>
      <c r="B1967" s="1" t="s">
        <v>18</v>
      </c>
      <c r="C1967" s="1"/>
    </row>
    <row r="1968" spans="1:3" ht="24" customHeight="1">
      <c r="A1968" s="1" t="str">
        <f ca="1">IFERROR(__xludf.DUMMYFUNCTION("""COMPUTED_VALUE""")," 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॥कुमारसंभवम्५.४१ ॥")</f>
        <v> 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॥कुमारसंभवम्५.४१ ॥</v>
      </c>
      <c r="B1968" s="1" t="s">
        <v>17</v>
      </c>
      <c r="C1968" s="1"/>
    </row>
    <row r="1969" spans="1:3" ht="24" customHeight="1">
      <c r="A1969" s="1" t="str">
        <f ca="1">IFERROR(__xludf.DUMMYFUNCTION("""COMPUTED_VALUE"""),"भवत्यनिष्टादपि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॥कुमारसंभवम् ५.४२ ॥")</f>
        <v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॥कुमारसंभवम् ५.४२ ॥</v>
      </c>
      <c r="B1969" s="1" t="s">
        <v>5</v>
      </c>
      <c r="C1969" s="1"/>
    </row>
    <row r="1970" spans="1:3" ht="24" customHeight="1">
      <c r="A1970" s="1" t="str">
        <f ca="1">IFERROR(__xludf.DUMMYFUNCTION("""COMPUTED_VALUE""")," 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॥कुमारसंभवम् ५.४३ ॥")</f>
        <v> 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॥कुमारसंभवम् ५.४३ ॥</v>
      </c>
      <c r="B1970" s="1" t="s">
        <v>5</v>
      </c>
      <c r="C1970" s="1"/>
    </row>
    <row r="1971" spans="1:3" ht="24" customHeight="1">
      <c r="A1971" s="1" t="str">
        <f ca="1">IFERROR(__xludf.DUMMYFUNCTION("""COMPUTED_VALUE""")," 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॥कुमारसंभवम्५.४४ ॥")</f>
        <v> 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॥कुमारसंभवम्५.४४ ॥</v>
      </c>
      <c r="B1971" s="1" t="s">
        <v>2</v>
      </c>
      <c r="C1971" s="1"/>
    </row>
    <row r="1972" spans="1:3" ht="24" customHeight="1">
      <c r="A1972" s="1" t="str">
        <f ca="1">IFERROR(__xludf.DUMMYFUNCTION("""COMPUTED_VALUE"""),"दिवं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॥कुमारसंभवम् ५.४५ ॥")</f>
        <v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॥कुमारसंभवम् ५.४५ ॥</v>
      </c>
      <c r="B1972" s="1" t="s">
        <v>2</v>
      </c>
      <c r="C1972" s="1"/>
    </row>
    <row r="1973" spans="1:3" ht="24" customHeight="1">
      <c r="A1973" s="1" t="str">
        <f ca="1">IFERROR(__xludf.DUMMYFUNCTION("""COMPUTED_VALUE"""),"निवेदितं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॥कुमारसंभवम् ५.४६ ॥")</f>
        <v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॥कुमारसंभवम् ५.४६ ॥</v>
      </c>
      <c r="B1973" s="1" t="s">
        <v>10</v>
      </c>
      <c r="C1973" s="1"/>
    </row>
    <row r="1974" spans="1:3" ht="24" customHeight="1">
      <c r="A1974" s="1" t="str">
        <f ca="1">IFERROR(__xludf.DUMMYFUNCTION("""COMPUTED_VALUE"""),"अहो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॥कुमारसंभवम् ५.४७ ॥")</f>
        <v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॥कुमारसंभवम् ५.४७ ॥</v>
      </c>
      <c r="B1974" s="1" t="s">
        <v>11</v>
      </c>
      <c r="C1974" s="1"/>
    </row>
    <row r="1975" spans="1:3" ht="24" customHeight="1">
      <c r="A1975" s="1" t="str">
        <f ca="1">IFERROR(__xludf.DUMMYFUNCTION("""COMPUTED_VALUE"""),"मुनिव्रतेस्त्वामतिमात्रकर्शितां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॥कुमारसंभवम् ५.४८ ॥")</f>
        <v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॥कुमारसंभवम् ५.४८ ॥</v>
      </c>
      <c r="B1975" s="1" t="s">
        <v>2</v>
      </c>
      <c r="C1975" s="1"/>
    </row>
    <row r="1976" spans="1:3" ht="24" customHeight="1">
      <c r="A1976" s="1" t="str">
        <f ca="1">IFERROR(__xludf.DUMMYFUNCTION("""COMPUTED_VALUE"""),"अवैमि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॥कुमारसंभवम् ५.४९ ॥")</f>
        <v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॥कुमारसंभवम् ५.४९ ॥</v>
      </c>
      <c r="B1976" s="1" t="s">
        <v>7</v>
      </c>
      <c r="C1976" s="1"/>
    </row>
    <row r="1977" spans="1:3" ht="24" customHeight="1">
      <c r="A1977" s="1" t="str">
        <f ca="1">IFERROR(__xludf.DUMMYFUNCTION("""COMPUTED_VALUE"""),"कियचिरं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॥कुमारसंभवम् ५.५० ॥")</f>
        <v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॥कुमारसंभवम् ५.५० ॥</v>
      </c>
      <c r="B1977" s="1" t="s">
        <v>2</v>
      </c>
      <c r="C1977" s="1"/>
    </row>
    <row r="1978" spans="1:3" ht="24" customHeight="1">
      <c r="A1978" s="1" t="str">
        <f ca="1">IFERROR(__xludf.DUMMYFUNCTION("""COMPUTED_VALUE""")," 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॥कुमारसंभवम् ५.५१ ॥")</f>
        <v> 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॥कुमारसंभवम् ५.५१ ॥</v>
      </c>
      <c r="B1978" s="1" t="s">
        <v>2</v>
      </c>
      <c r="C1978" s="1"/>
    </row>
    <row r="1979" spans="1:3" ht="24" customHeight="1">
      <c r="A1979" s="1" t="str">
        <f ca="1">IFERROR(__xludf.DUMMYFUNCTION("""COMPUTED_VALUE""")," 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॥कुमारसंभवम् ५.५२ ॥")</f>
        <v> 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॥कुमारसंभवम् ५.५२ ॥</v>
      </c>
      <c r="B1979" s="1" t="s">
        <v>9</v>
      </c>
      <c r="C1979" s="1"/>
    </row>
    <row r="1980" spans="1:3" ht="24" customHeight="1">
      <c r="A1980" s="1" t="str">
        <f ca="1">IFERROR(__xludf.DUMMYFUNCTION("""COMPUTED_VALUE"""),"अलभ्यशोकाभिभवेयमाकृतिर्विमानना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॥कुमारसंभवम् ५.४३॥")</f>
        <v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॥कुमारसंभवम् ५.४३॥</v>
      </c>
      <c r="B1980" s="1" t="s">
        <v>5</v>
      </c>
      <c r="C1980" s="1"/>
    </row>
    <row r="1981" spans="1:3" ht="24" customHeight="1">
      <c r="A1981" s="1" t="str">
        <f ca="1">IFERROR(__xludf.DUMMYFUNCTION("""COMPUTED_VALUE"""),"असह्यहुंकारनिवर्तितः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॥कुमारसंभवम् ५.५४ ॥")</f>
        <v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॥कुमारसंभवम् ५.५४ ॥</v>
      </c>
      <c r="B1981" s="1" t="s">
        <v>1</v>
      </c>
      <c r="C1981" s="1"/>
    </row>
    <row r="1982" spans="1:3" ht="24" customHeight="1">
      <c r="A1982" s="1" t="str">
        <f ca="1">IFERROR(__xludf.DUMMYFUNCTION("""COMPUTED_VALUE"""),"तदा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॥कुमारसंभवम् ५.५५ ||")</f>
        <v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॥कुमारसंभवम् ५.५५ ||</v>
      </c>
      <c r="B1982" s="1" t="s">
        <v>9</v>
      </c>
      <c r="C1982" s="1"/>
    </row>
    <row r="1983" spans="1:3" ht="24" customHeight="1">
      <c r="A1983" s="1" t="str">
        <f ca="1">IFERROR(__xludf.DUMMYFUNCTION("""COMPUTED_VALUE"""),"दिवं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॥कुमारसंभवम् ५.४५॥")</f>
        <v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॥कुमारसंभवम् ५.४५॥</v>
      </c>
      <c r="B1983" s="1" t="s">
        <v>2</v>
      </c>
      <c r="C1983" s="1"/>
    </row>
    <row r="1984" spans="1:3" ht="24" customHeight="1">
      <c r="A1984" s="1" t="str">
        <f ca="1">IFERROR(__xludf.DUMMYFUNCTION("""COMPUTED_VALUE"""),"उपात्तवणे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॥कुमारसंभवम् ५.५६ ॥")</f>
        <v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॥कुमारसंभवम् ५.५६ ॥</v>
      </c>
      <c r="B1984" s="1" t="s">
        <v>5</v>
      </c>
      <c r="C1984" s="1"/>
    </row>
    <row r="1985" spans="1:3" ht="24" customHeight="1">
      <c r="A1985" s="1" t="str">
        <f ca="1">IFERROR(__xludf.DUMMYFUNCTION("""COMPUTED_VALUE"""),"त्रिभागशेषासु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॥कुमारसंभवम् ५.५७ ॥")</f>
        <v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॥कुमारसंभवम् ५.५७ ॥</v>
      </c>
      <c r="B1985" s="1" t="s">
        <v>1</v>
      </c>
      <c r="C1985" s="1"/>
    </row>
    <row r="1986" spans="1:3" ht="24" customHeight="1">
      <c r="A1986" s="1" t="str">
        <f ca="1">IFERROR(__xludf.DUMMYFUNCTION("""COMPUTED_VALUE"""),"यदा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॥कुमारसंभवम् ५.५८ ||")</f>
        <v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॥कुमारसंभवम् ५.५८ ||</v>
      </c>
      <c r="B1986" s="1" t="s">
        <v>0</v>
      </c>
      <c r="C1986" s="1"/>
    </row>
    <row r="1987" spans="1:3" ht="24" customHeight="1">
      <c r="A1987" s="1" t="str">
        <f ca="1">IFERROR(__xludf.DUMMYFUNCTION("""COMPUTED_VALUE"""),"यदा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॥कुमारसंभवम् ५.५९ ॥")</f>
        <v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॥कुमारसंभवम् ५.५९ ॥</v>
      </c>
      <c r="B1987" s="1" t="s">
        <v>1</v>
      </c>
      <c r="C1987" s="1"/>
    </row>
    <row r="1988" spans="1:3" ht="24" customHeight="1">
      <c r="A1988" s="1" t="str">
        <f ca="1">IFERROR(__xludf.DUMMYFUNCTION("""COMPUTED_VALUE"""),"द्रुमेषु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शशिमौलिसंश्रयः॥कुमारसंभवम् ५.६० ॥")</f>
        <v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शशिमौलिसंश्रयः॥कुमारसंभवम् ५.६० ॥</v>
      </c>
      <c r="B1988" s="1" t="s">
        <v>5</v>
      </c>
      <c r="C1988" s="1"/>
    </row>
    <row r="1989" spans="1:3" ht="24" customHeight="1">
      <c r="A1989" s="1" t="str">
        <f ca="1">IFERROR(__xludf.DUMMYFUNCTION("""COMPUTED_VALUE"""),"न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॥कुमारसंभवम् ५.६१ ॥")</f>
        <v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॥कुमारसंभवम् ५.६१ ॥</v>
      </c>
      <c r="B1989" s="1" t="s">
        <v>2</v>
      </c>
      <c r="C1989" s="1"/>
    </row>
    <row r="1990" spans="1:3" ht="24" customHeight="1">
      <c r="A1990" s="1" t="str">
        <f ca="1">IFERROR(__xludf.DUMMYFUNCTION("""COMPUTED_VALUE"""),"अगूढसद्भावमितीङ्गितज्ञया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||")</f>
        <v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||</v>
      </c>
      <c r="B1990" s="1" t="s">
        <v>7</v>
      </c>
      <c r="C1990" s="1"/>
    </row>
    <row r="1991" spans="1:3" ht="24" customHeight="1">
      <c r="A1991" s="1" t="str">
        <f ca="1">IFERROR(__xludf.DUMMYFUNCTION("""COMPUTED_VALUE"""),"अथाग्रहस्ते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॥कुमारसंभवम् ५.६३ ॥")</f>
        <v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॥कुमारसंभवम् ५.६३ ॥</v>
      </c>
      <c r="B1991" s="1" t="s">
        <v>2</v>
      </c>
      <c r="C1991" s="1"/>
    </row>
    <row r="1992" spans="1:3" ht="24" customHeight="1">
      <c r="A1992" s="1" t="str">
        <f ca="1">IFERROR(__xludf.DUMMYFUNCTION("""COMPUTED_VALUE"""),"यथा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॥कुमारसंभवम् ५.६४ ॥")</f>
        <v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॥कुमारसंभवम् ५.६४ ॥</v>
      </c>
      <c r="B1992" s="1" t="s">
        <v>2</v>
      </c>
      <c r="C1992" s="1"/>
    </row>
    <row r="1993" spans="1:3" ht="24" customHeight="1">
      <c r="A1993" s="1" t="str">
        <f ca="1">IFERROR(__xludf.DUMMYFUNCTION("""COMPUTED_VALUE"""),"अथाह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॥कुमारसंभवम् ५.६५ ॥")</f>
        <v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॥कुमारसंभवम् ५.६५ ॥</v>
      </c>
      <c r="B1993" s="1" t="s">
        <v>24</v>
      </c>
      <c r="C1993" s="1"/>
    </row>
    <row r="1994" spans="1:3" ht="24" customHeight="1">
      <c r="A1994" s="1" t="str">
        <f ca="1">IFERROR(__xludf.DUMMYFUNCTION("""COMPUTED_VALUE"""),"अवस्तुनिर्बन्धपरे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॥कुमारसंभवम् ५.६६ ॥")</f>
        <v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॥कुमारसंभवम् ५.६६ ॥</v>
      </c>
      <c r="B1994" s="1" t="s">
        <v>1</v>
      </c>
      <c r="C1994" s="1"/>
    </row>
    <row r="1995" spans="1:3" ht="24" customHeight="1">
      <c r="A1995" s="1" t="str">
        <f ca="1">IFERROR(__xludf.DUMMYFUNCTION("""COMPUTED_VALUE"""),"त्वमेव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॥कुमारसंभवम् ५.६७ ॥")</f>
        <v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॥कुमारसंभवम् ५.६७ ॥</v>
      </c>
      <c r="B1995" s="1" t="s">
        <v>16</v>
      </c>
      <c r="C1995" s="1"/>
    </row>
    <row r="1996" spans="1:3" ht="24" customHeight="1">
      <c r="A1996" s="1" t="str">
        <f ca="1">IFERROR(__xludf.DUMMYFUNCTION("""COMPUTED_VALUE"""),"चतुष्कपुष्पप्रकरावकीर्णयोः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 षु॥कुमारसंभवम् ५.६८ ॥ ")</f>
        <v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 षु॥कुमारसंभवम् ५.६८ ॥ </v>
      </c>
      <c r="B1996" s="1" t="s">
        <v>13</v>
      </c>
      <c r="C1996" s="1"/>
    </row>
    <row r="1997" spans="1:3" ht="24" customHeight="1">
      <c r="A1997" s="1" t="str">
        <f ca="1">IFERROR(__xludf.DUMMYFUNCTION("""COMPUTED_VALUE"""),"अयुक्तरूपं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॥कुमारसंभवम् ५.६९ ॥")</f>
        <v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॥कुमारसंभवम् ५.६९ ॥</v>
      </c>
      <c r="B1997" s="1" t="s">
        <v>2</v>
      </c>
      <c r="C1997" s="1"/>
    </row>
    <row r="1998" spans="1:3" ht="24" customHeight="1">
      <c r="A1998" s="1" t="str">
        <f ca="1">IFERROR(__xludf.DUMMYFUNCTION("""COMPUTED_VALUE"""),"इयं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॥कुमारसंभवम् ५.७० ॥")</f>
        <v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॥कुमारसंभवम् ५.७० ॥</v>
      </c>
      <c r="B1998" s="1" t="s">
        <v>2</v>
      </c>
      <c r="C1998" s="1"/>
    </row>
    <row r="1999" spans="1:3" ht="24" customHeight="1">
      <c r="A1999" s="1" t="str">
        <f ca="1">IFERROR(__xludf.DUMMYFUNCTION("""COMPUTED_VALUE"""),"द्वयं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॥कुमारसंभवम् ५.७१ ॥")</f>
        <v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॥कुमारसंभवम् ५.७१ ॥</v>
      </c>
      <c r="B1999" s="1" t="s">
        <v>17</v>
      </c>
      <c r="C1999" s="1"/>
    </row>
    <row r="2000" spans="1:3" ht="24" customHeight="1">
      <c r="A2000" s="1" t="str">
        <f ca="1">IFERROR(__xludf.DUMMYFUNCTION("""COMPUTED_VALUE"""),"वपुर्विरूपाक्षमलक्ष्यजन्मता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त्रिलोचने॥कुमारसंभवम् ५.७२ ॥")</f>
        <v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त्रिलोचने॥कुमारसंभवम् ५.७२ ॥</v>
      </c>
      <c r="B2000" s="1" t="s">
        <v>1</v>
      </c>
      <c r="C2000" s="1"/>
    </row>
    <row r="2001" spans="1:3" ht="24" customHeight="1">
      <c r="A2001" s="1" t="str">
        <f ca="1">IFERROR(__xludf.DUMMYFUNCTION("""COMPUTED_VALUE"""),"निवर्तयास्मादसदीप्सितान्मनः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यूपसत्किया॥कुमारसंभवम् ५.७३ ॥")</f>
        <v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यूपसत्किया॥कुमारसंभवम् ५.७३ ॥</v>
      </c>
      <c r="B2001" s="1" t="s">
        <v>5</v>
      </c>
      <c r="C2001" s="1"/>
    </row>
    <row r="2002" spans="1:3" ht="24" customHeight="1">
      <c r="A2002" s="1" t="str">
        <f ca="1">IFERROR(__xludf.DUMMYFUNCTION("""COMPUTED_VALUE"""),"इति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॥कुमारसंभवम् ५.७४ ॥")</f>
        <v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॥कुमारसंभवम् ५.७४ ॥</v>
      </c>
      <c r="B2002" s="1" t="s">
        <v>2</v>
      </c>
      <c r="C2002" s="1"/>
    </row>
    <row r="2003" spans="1:3" ht="24" customHeight="1">
      <c r="A2003" s="1" t="str">
        <f ca="1">IFERROR(__xludf.DUMMYFUNCTION("""COMPUTED_VALUE"""),"उवाच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॥कुमारसंभवम् ५.७५ ॥")</f>
        <v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॥कुमारसंभवम् ५.७५ ॥</v>
      </c>
      <c r="B2003" s="1" t="s">
        <v>1</v>
      </c>
      <c r="C2003" s="1"/>
    </row>
    <row r="2004" spans="1:3" ht="24" customHeight="1">
      <c r="A2004" s="1" t="str">
        <f ca="1">IFERROR(__xludf.DUMMYFUNCTION("""COMPUTED_VALUE"""),"विपत्प्रतीकारपरेण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॥कुमारसंभवम् ५.७६ ॥")</f>
        <v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॥कुमारसंभवम् ५.७६ ॥</v>
      </c>
      <c r="B2004" s="1" t="s">
        <v>6</v>
      </c>
      <c r="C2004" s="1"/>
    </row>
    <row r="2005" spans="1:3" ht="24" customHeight="1">
      <c r="A2005" s="1" t="str">
        <f ca="1">IFERROR(__xludf.DUMMYFUNCTION("""COMPUTED_VALUE"""),"अकिंचनः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पिनाकिनः॥कुमारसंभवम् ५.७७ ॥")</f>
        <v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पिनाकिनः॥कुमारसंभवम् ५.७७ ॥</v>
      </c>
      <c r="B2005" s="1" t="s">
        <v>1</v>
      </c>
      <c r="C2005" s="1"/>
    </row>
    <row r="2006" spans="1:3" ht="24" customHeight="1">
      <c r="A2006" s="1" t="str">
        <f ca="1">IFERROR(__xludf.DUMMYFUNCTION("""COMPUTED_VALUE"""),"विभूषणोद्भासि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॥कुमारसंभवम् ५.७८ ॥")</f>
        <v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॥कुमारसंभवम् ५.७८ ॥</v>
      </c>
      <c r="B2006" s="1" t="s">
        <v>9</v>
      </c>
      <c r="C2006" s="1"/>
    </row>
    <row r="2007" spans="1:3" ht="24" customHeight="1">
      <c r="A2007" s="1" t="str">
        <f ca="1">IFERROR(__xludf.DUMMYFUNCTION("""COMPUTED_VALUE"""),"तदङ्गसंसर्गमवाप्य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॥कुमारसंभवम् ५.७९ ॥")</f>
        <v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॥कुमारसंभवम् ५.७९ ॥</v>
      </c>
      <c r="B2007" s="1" t="s">
        <v>18</v>
      </c>
      <c r="C2007" s="1"/>
    </row>
    <row r="2008" spans="1:3" ht="24" customHeight="1">
      <c r="A2008" s="1" t="str">
        <f ca="1">IFERROR(__xludf.DUMMYFUNCTION("""COMPUTED_VALUE"""),"असंपदस्तस्य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॥कुमारसंभवम्५.८०॥")</f>
        <v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॥कुमारसंभवम्५.८०॥</v>
      </c>
      <c r="B2008" s="1" t="s">
        <v>11</v>
      </c>
      <c r="C2008" s="1"/>
    </row>
    <row r="2009" spans="1:3" ht="24" customHeight="1">
      <c r="A2009" s="1" t="str">
        <f ca="1">IFERROR(__xludf.DUMMYFUNCTION("""COMPUTED_VALUE"""),"विवक्षता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॥कुमारसंभवम् ५.८१ ॥")</f>
        <v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॥कुमारसंभवम् ५.८१ ॥</v>
      </c>
      <c r="B2009" s="1" t="s">
        <v>2</v>
      </c>
      <c r="C2009" s="1"/>
    </row>
    <row r="2010" spans="1:3" ht="24" customHeight="1">
      <c r="A2010" s="1" t="str">
        <f ca="1">IFERROR(__xludf.DUMMYFUNCTION("""COMPUTED_VALUE"""),"अलं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॥कुमारसंभवम् ५.८२ ॥")</f>
        <v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॥कुमारसंभवम् ५.८२ ॥</v>
      </c>
      <c r="B2010" s="1" t="s">
        <v>2</v>
      </c>
      <c r="C2010" s="1"/>
    </row>
    <row r="2011" spans="1:3" ht="24" customHeight="1">
      <c r="A2011" s="1" t="str">
        <f ca="1">IFERROR(__xludf.DUMMYFUNCTION("""COMPUTED_VALUE"""),"निवार्यतामालि!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॥कुमारसंभवम् ५.८३ ॥")</f>
        <v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॥कुमारसंभवम् ५.८३ ॥</v>
      </c>
      <c r="B2011" s="1" t="s">
        <v>6</v>
      </c>
      <c r="C2011" s="1"/>
    </row>
    <row r="2012" spans="1:3" ht="24" customHeight="1">
      <c r="A2012" s="1" t="str">
        <f ca="1">IFERROR(__xludf.DUMMYFUNCTION("""COMPUTED_VALUE"""),"इतो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॥कुमारसंभवम् ५.८४ ॥")</f>
        <v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॥कुमारसंभवम् ५.८४ ॥</v>
      </c>
      <c r="B2012" s="1" t="s">
        <v>1</v>
      </c>
      <c r="C2012" s="1"/>
    </row>
    <row r="2013" spans="1:3" ht="24" customHeight="1">
      <c r="A2013" s="1" t="str">
        <f ca="1">IFERROR(__xludf.DUMMYFUNCTION("""COMPUTED_VALUE"""),"तं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॥कुमारसंभवम् ५.८५ ॥")</f>
        <v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॥कुमारसंभवम् ५.८५ ॥</v>
      </c>
      <c r="B2013" s="1" t="s">
        <v>10</v>
      </c>
      <c r="C2013" s="1"/>
    </row>
    <row r="2014" spans="1:3" ht="24" customHeight="1">
      <c r="A2014" s="1" t="str">
        <f ca="1">IFERROR(__xludf.DUMMYFUNCTION("""COMPUTED_VALUE"""),"अद्यप्रभृत्यवनताङ्गि!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॥कुमारसंभवम् ५.८६ ॥")</f>
        <v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॥कुमारसंभवम् ५.८६ ॥</v>
      </c>
      <c r="B2014" s="1" t="s">
        <v>2</v>
      </c>
      <c r="C2014" s="1"/>
    </row>
    <row r="2015" spans="1:3" ht="24" customHeight="1">
      <c r="A2015" s="1" t="str">
        <f ca="1">IFERROR(__xludf.DUMMYFUNCTION("""COMPUTED_VALUE"""),"अथ विश्वात्मने गौरी संदिदेश मिथः सखीम् । दाता मे भूभृतां नाथः प्रमाणीक्रियतामिति ॥कुमारसंभवम्६.१ ॥")</f>
        <v>अथ विश्वात्मने गौरी संदिदेश मिथः सखीम् । दाता मे भूभृतां नाथः प्रमाणीक्रियतामिति ॥कुमारसंभवम्६.१ ॥</v>
      </c>
      <c r="B2015" s="1" t="s">
        <v>2</v>
      </c>
      <c r="C2015" s="1"/>
    </row>
    <row r="2016" spans="1:3" ht="24" customHeight="1">
      <c r="A2016" s="1" t="str">
        <f ca="1">IFERROR(__xludf.DUMMYFUNCTION("""COMPUTED_VALUE"""),"तया व्याहृतसंदेशा सा बभौ निभृता प्रिये । चूतयष्टिरिवाभ्याशे मधौ परभृतोन्मुखी ॥कुमारसंभवम्६.२॥")</f>
        <v>तया व्याहृतसंदेशा सा बभौ निभृता प्रिये । चूतयष्टिरिवाभ्याशे मधौ परभृतोन्मुखी ॥कुमारसंभवम्६.२॥</v>
      </c>
      <c r="B2016" s="1" t="s">
        <v>14</v>
      </c>
      <c r="C2016" s="1"/>
    </row>
    <row r="2017" spans="1:3" ht="24" customHeight="1">
      <c r="A2017" s="1" t="str">
        <f ca="1">IFERROR(__xludf.DUMMYFUNCTION("""COMPUTED_VALUE"""),"स तथेति प्रतिज्ञाय विसृज्य कथमप्युमाम् । ऋषीञ्ज्योतिर्मयान्सप्त सम्मार स्मरशासनः ॥कुमारसंभवम्६.३॥")</f>
        <v>स तथेति प्रतिज्ञाय विसृज्य कथमप्युमाम् । ऋषीञ्ज्योतिर्मयान्सप्त सम्मार स्मरशासनः ॥कुमारसंभवम्६.३॥</v>
      </c>
      <c r="B2017" s="1" t="s">
        <v>1</v>
      </c>
      <c r="C2017" s="1"/>
    </row>
    <row r="2018" spans="1:3" ht="24" customHeight="1">
      <c r="A2018" s="1" t="str">
        <f ca="1">IFERROR(__xludf.DUMMYFUNCTION("""COMPUTED_VALUE"""),"ते प्रभामण्डलैर्व्योम द्योतयन्तस्तपोधनाः । सारुन्धतीकाः सपदि प्रादुरासन्पुरः प्रभोः ॥कुमारसंभवम्६.४ ॥")</f>
        <v>ते प्रभामण्डलैर्व्योम द्योतयन्तस्तपोधनाः । सारुन्धतीकाः सपदि प्रादुरासन्पुरः प्रभोः ॥कुमारसंभवम्६.४ ॥</v>
      </c>
      <c r="B2018" s="1" t="s">
        <v>6</v>
      </c>
      <c r="C2018" s="1"/>
    </row>
    <row r="2019" spans="1:3" ht="24" customHeight="1">
      <c r="A2019" s="1" t="str">
        <f ca="1">IFERROR(__xludf.DUMMYFUNCTION("""COMPUTED_VALUE"""),"आप्लुतास्तीरमन्दारकुसुमोत्किरवीचिषु । व्योमगङ्गाप्रवाहेषु दिङ्नागमदगन्धिषु ॥कुमारसंभवम्६.५॥")</f>
        <v>आप्लुतास्तीरमन्दारकुसुमोत्किरवीचिषु । व्योमगङ्गाप्रवाहेषु दिङ्नागमदगन्धिषु ॥कुमारसंभवम्६.५॥</v>
      </c>
      <c r="B2019" s="1" t="s">
        <v>13</v>
      </c>
      <c r="C2019" s="1"/>
    </row>
    <row r="2020" spans="1:3" ht="24" customHeight="1">
      <c r="A2020" s="1" t="str">
        <f ca="1">IFERROR(__xludf.DUMMYFUNCTION("""COMPUTED_VALUE"""),"मुक्तायज्ञोपवीतानि बिभ्रतो हैम वल्कलाः । रत्नाक्षसूत्राः प्रव्रज्यां कल्पवृक्षा इवाश्रिताः ॥कुमारसंभवम्६.६ ॥")</f>
        <v>मुक्तायज्ञोपवीतानि बिभ्रतो हैम वल्कलाः । रत्नाक्षसूत्राः प्रव्रज्यां कल्पवृक्षा इवाश्रिताः ॥कुमारसंभवम्६.६ ॥</v>
      </c>
      <c r="B2020" s="1" t="s">
        <v>2</v>
      </c>
      <c r="C2020" s="1"/>
    </row>
    <row r="2021" spans="1:3" ht="24" customHeight="1">
      <c r="A2021" s="1" t="str">
        <f ca="1">IFERROR(__xludf.DUMMYFUNCTION("""COMPUTED_VALUE"""),"अधःप्रस्थापिताश्वेन समावर्जितकेतुना । सहस्ररश्मिना साक्षात्सप्रणाममुदीक्षिताः ॥कुमारसंभवम्६.७ ॥")</f>
        <v>अधःप्रस्थापिताश्वेन समावर्जितकेतुना । सहस्ररश्मिना साक्षात्सप्रणाममुदीक्षिताः ॥कुमारसंभवम्६.७ ॥</v>
      </c>
      <c r="B2021" s="1" t="s">
        <v>2</v>
      </c>
      <c r="C2021" s="1"/>
    </row>
    <row r="2022" spans="1:3" ht="24" customHeight="1">
      <c r="A2022" s="1" t="str">
        <f ca="1">IFERROR(__xludf.DUMMYFUNCTION("""COMPUTED_VALUE"""),"आसक्तबाहुलतया सार्धमु[३]द्धृतया भुवा । महावराहदष्ट्रायां विश्रान्ताः प्रलयापदि ॥कुमारसंभवम्६.८ ॥")</f>
        <v>आसक्तबाहुलतया सार्धमु[३]द्धृतया भुवा । महावराहदष्ट्रायां विश्रान्ताः प्रलयापदि ॥कुमारसंभवम्६.८ ॥</v>
      </c>
      <c r="B2022" s="1" t="s">
        <v>17</v>
      </c>
      <c r="C2022" s="1"/>
    </row>
    <row r="2023" spans="1:3" ht="24" customHeight="1">
      <c r="A2023" s="1" t="str">
        <f ca="1">IFERROR(__xludf.DUMMYFUNCTION("""COMPUTED_VALUE"""),"सर्गशेषप्रणयनाद्विश्वयोनेरनन्तरम् । पुरातनाः पुराविद्भिर्धातार इति कीर्तिताः ॥कुमारसंभवम्६.९ ॥")</f>
        <v>सर्गशेषप्रणयनाद्विश्वयोनेरनन्तरम् । पुरातनाः पुराविद्भिर्धातार इति कीर्तिताः ॥कुमारसंभवम्६.९ ॥</v>
      </c>
      <c r="B2023" s="1" t="s">
        <v>2</v>
      </c>
      <c r="C2023" s="1"/>
    </row>
    <row r="2024" spans="1:3" ht="24" customHeight="1">
      <c r="A2024" s="1" t="str">
        <f ca="1">IFERROR(__xludf.DUMMYFUNCTION("""COMPUTED_VALUE"""),"प्राक्तनानां विशुद्धानां परिपाकमुपेयुषाम् । तपसामुपभुञ्जानाः फलान्यपि तपखिनः ॥कुमारसंभवम्६.१०॥")</f>
        <v>प्राक्तनानां विशुद्धानां परिपाकमुपेयुषाम् । तपसामुपभुञ्जानाः फलान्यपि तपखिनः ॥कुमारसंभवम्६.१०॥</v>
      </c>
      <c r="B2024" s="1" t="s">
        <v>1</v>
      </c>
      <c r="C2024" s="1"/>
    </row>
    <row r="2025" spans="1:3" ht="24" customHeight="1">
      <c r="A2025" s="1" t="str">
        <f ca="1">IFERROR(__xludf.DUMMYFUNCTION("""COMPUTED_VALUE"""),"तेषां मध्यगता साध्वी पत्युः पादार्पितेक्षणा । साक्षादिव तपःसिद्धिर्बभासे बह्वरुन्धती ॥कुमारसंभवम्६.११ ॥")</f>
        <v>तेषां मध्यगता साध्वी पत्युः पादार्पितेक्षणा । साक्षादिव तपःसिद्धिर्बभासे बह्वरुन्धती ॥कुमारसंभवम्६.११ ॥</v>
      </c>
      <c r="B2025" s="1" t="s">
        <v>2</v>
      </c>
      <c r="C2025" s="1"/>
    </row>
    <row r="2026" spans="1:3" ht="24" customHeight="1">
      <c r="A2026" s="1" t="str">
        <f ca="1">IFERROR(__xludf.DUMMYFUNCTION("""COMPUTED_VALUE"""),"तामगौरवभेदेन मुनींश्चापश्यदीश्वरः । स्त्री पुमानित्यनास्थैषा वृत्तं हि महितं सताम् ॥कुमारसंभवम्६.१२ ॥")</f>
        <v>तामगौरवभेदेन मुनींश्चापश्यदीश्वरः । स्त्री पुमानित्यनास्थैषा वृत्तं हि महितं सताम् ॥कुमारसंभवम्६.१२ ॥</v>
      </c>
      <c r="B2026" s="1" t="s">
        <v>2</v>
      </c>
      <c r="C2026" s="1"/>
    </row>
    <row r="2027" spans="1:3" ht="24" customHeight="1">
      <c r="A2027" s="1" t="str">
        <f ca="1">IFERROR(__xludf.DUMMYFUNCTION("""COMPUTED_VALUE"""),"अथ मौलिगतस्येन्दोर्विशदैर्दशनांशुभिः । उपचिन्वन्प्रभां तन्वीं प्रत्याह परमेश्वरः ॥कुमारसंभवम्६.२५ ॥")</f>
        <v>अथ मौलिगतस्येन्दोर्विशदैर्दशनांशुभिः । उपचिन्वन्प्रभां तन्वीं प्रत्याह परमेश्वरः ॥कुमारसंभवम्६.२५ ॥</v>
      </c>
      <c r="B2027" s="1" t="s">
        <v>0</v>
      </c>
      <c r="C2027" s="1"/>
    </row>
    <row r="2028" spans="1:3" ht="24" customHeight="1">
      <c r="A2028" s="1" t="str">
        <f ca="1">IFERROR(__xludf.DUMMYFUNCTION("""COMPUTED_VALUE"""),"विदितं वो यथा स्वाथा न मे काश्चित्प्रवृत्तयः । ननु मूर्तिभिरष्टाभिरित्थंभूतोऽस्मि सूचितः ॥कुमारसंभवम्६.२६ ॥")</f>
        <v>विदितं वो यथा स्वाथा न मे काश्चित्प्रवृत्तयः । ननु मूर्तिभिरष्टाभिरित्थंभूतोऽस्मि सूचितः ॥कुमारसंभवम्६.२६ ॥</v>
      </c>
      <c r="B2028" s="1" t="s">
        <v>2</v>
      </c>
      <c r="C2028" s="1"/>
    </row>
    <row r="2029" spans="1:3" ht="24" customHeight="1">
      <c r="A2029" s="1" t="str">
        <f ca="1">IFERROR(__xludf.DUMMYFUNCTION("""COMPUTED_VALUE"""),"सोहं तृष्णातुरैर्वृष्टिं विद्युत्वानिव चातकैः । अरिविप्रकृतैर्देवैः प्रसूतिं प्रति याचितः ॥कुमारसंभवम्६.२७ ॥")</f>
        <v>सोहं तृष्णातुरैर्वृष्टिं विद्युत्वानिव चातकैः । अरिविप्रकृतैर्देवैः प्रसूतिं प्रति याचितः ॥कुमारसंभवम्६.२७ ॥</v>
      </c>
      <c r="B2029" s="1" t="s">
        <v>2</v>
      </c>
      <c r="C2029" s="1"/>
    </row>
    <row r="2030" spans="1:3" ht="24" customHeight="1">
      <c r="A2030" s="1" t="str">
        <f ca="1">IFERROR(__xludf.DUMMYFUNCTION("""COMPUTED_VALUE"""),"अत आहर्तुमिच्छामि पार्वतीमात्मजन्मने । उत्पत्तये हविर्भोक्तुर्यजमान इवारणिम् ॥कुमारसंभवम्६.२८ ॥")</f>
        <v>अत आहर्तुमिच्छामि पार्वतीमात्मजन्मने । उत्पत्तये हविर्भोक्तुर्यजमान इवारणिम् ॥कुमारसंभवम्६.२८ ॥</v>
      </c>
      <c r="B2030" s="1" t="s">
        <v>7</v>
      </c>
      <c r="C2030" s="1"/>
    </row>
    <row r="2031" spans="1:3" ht="24" customHeight="1">
      <c r="A2031" s="1" t="str">
        <f ca="1">IFERROR(__xludf.DUMMYFUNCTION("""COMPUTED_VALUE"""),"तामस्मदर्थे युष्माभिर्याचितव्यो हिमाल१यः। विक्रियायै न कल्पन्ते संबन्धाः सदनुष्ठिताः ॥कुमारसंभवम्६.२९ ॥")</f>
        <v>तामस्मदर्थे युष्माभिर्याचितव्यो हिमाल१यः। विक्रियायै न कल्पन्ते संबन्धाः सदनुष्ठिताः ॥कुमारसंभवम्६.२९ ॥</v>
      </c>
      <c r="B2031" s="1" t="s">
        <v>2</v>
      </c>
      <c r="C2031" s="1"/>
    </row>
    <row r="2032" spans="1:3" ht="24" customHeight="1">
      <c r="A2032" s="1" t="str">
        <f ca="1">IFERROR(__xludf.DUMMYFUNCTION("""COMPUTED_VALUE"""),"उन्नतेन स्थितिमता धुरमुद्वहता भुवः । तेन योजितसंबन्धं वित्त मामप्यवञ्चितम् ॥कुमारसंभवम्६.३० ॥")</f>
        <v>उन्नतेन स्थितिमता धुरमुद्वहता भुवः । तेन योजितसंबन्धं वित्त मामप्यवञ्चितम् ॥कुमारसंभवम्६.३० ॥</v>
      </c>
      <c r="B2032" s="1" t="s">
        <v>2</v>
      </c>
      <c r="C2032" s="1"/>
    </row>
    <row r="2033" spans="1:3" ht="24" customHeight="1">
      <c r="A2033" s="1" t="str">
        <f ca="1">IFERROR(__xludf.DUMMYFUNCTION("""COMPUTED_VALUE"""),"एवं वाच्यः स कन्यार्थमिति वो नोपदिश्यते । भवत्प्रणीतमाचारमामनन्ति हि साधवः ॥कुमारसंभवम्६.३१॥")</f>
        <v>एवं वाच्यः स कन्यार्थमिति वो नोपदिश्यते । भवत्प्रणीतमाचारमामनन्ति हि साधवः ॥कुमारसंभवम्६.३१॥</v>
      </c>
      <c r="B2033" s="1" t="s">
        <v>4</v>
      </c>
      <c r="C2033" s="1"/>
    </row>
    <row r="2034" spans="1:3" ht="24" customHeight="1">
      <c r="A2034" s="1" t="str">
        <f ca="1">IFERROR(__xludf.DUMMYFUNCTION("""COMPUTED_VALUE"""),"आर्याप्यरुन्धती तत्र व्यापारं कर्तुमर्हति । प्रायेणैंवविधे कार्ये पुरन्ध्रीणां प्रगल्भता ॥कुमारसंभवम्६.३२ ॥")</f>
        <v>आर्याप्यरुन्धती तत्र व्यापारं कर्तुमर्हति । प्रायेणैंवविधे कार्ये पुरन्ध्रीणां प्रगल्भता ॥कुमारसंभवम्६.३२ ॥</v>
      </c>
      <c r="B2034" s="1" t="s">
        <v>2</v>
      </c>
      <c r="C2034" s="1"/>
    </row>
    <row r="2035" spans="1:3" ht="24" customHeight="1">
      <c r="A2035" s="1" t="str">
        <f ca="1">IFERROR(__xludf.DUMMYFUNCTION("""COMPUTED_VALUE"""),"तत्प्रयातोषधिप्रस्थं सिद्धये हिमवत्पुरम् । महाकोशीप्रपाते स्मिन्संगमः पुनरेव नः ॥कुमारसंभवम्६.३३ ॥")</f>
        <v>तत्प्रयातोषधिप्रस्थं सिद्धये हिमवत्पुरम् । महाकोशीप्रपाते स्मिन्संगमः पुनरेव नः ॥कुमारसंभवम्६.३३ ॥</v>
      </c>
      <c r="B2035" s="1" t="s">
        <v>1</v>
      </c>
      <c r="C2035" s="1"/>
    </row>
    <row r="2036" spans="1:3" ht="24" customHeight="1">
      <c r="A2036" s="1" t="str">
        <f ca="1">IFERROR(__xludf.DUMMYFUNCTION("""COMPUTED_VALUE"""),"तस्मिन्संघमिनामाये जाते परिणयो१न्मुखे । जहुः परिग्रहव्रीडां प्राजापत्यास्तपखिनः ॥कुमारसंभवम्६.३४ ॥")</f>
        <v>तस्मिन्संघमिनामाये जाते परिणयो१न्मुखे । जहुः परिग्रहव्रीडां प्राजापत्यास्तपखिनः ॥कुमारसंभवम्६.३४ ॥</v>
      </c>
      <c r="B2036" s="1" t="s">
        <v>1</v>
      </c>
      <c r="C2036" s="1"/>
    </row>
    <row r="2037" spans="1:3" ht="24" customHeight="1">
      <c r="A2037" s="1" t="str">
        <f ca="1">IFERROR(__xludf.DUMMYFUNCTION("""COMPUTED_VALUE"""),"ततः परममित्युक्त्वा प्रतस्थे मुनिमण्डलम् । भगवानपि संप्राप्तः प्रथमोद्दिष्टमा२स्पदम् ॥कुमारसंभवम्६.३५ ॥")</f>
        <v>ततः परममित्युक्त्वा प्रतस्थे मुनिमण्डलम् । भगवानपि संप्राप्तः प्रथमोद्दिष्टमा२स्पदम् ॥कुमारसंभवम्६.३५ ॥</v>
      </c>
      <c r="B2037" s="1" t="s">
        <v>17</v>
      </c>
      <c r="C2037" s="1"/>
    </row>
    <row r="2038" spans="1:3" ht="24" customHeight="1">
      <c r="A2038" s="1" t="str">
        <f ca="1">IFERROR(__xludf.DUMMYFUNCTION("""COMPUTED_VALUE"""),"ते चा३काशमसिश्याममुत्पत्य परमर्पयः । आसेदुरोपधिप्रस्थं मनसा समरंहसः ॥कुमारसंभवम्६.३६॥")</f>
        <v>ते चा३काशमसिश्याममुत्पत्य परमर्पयः । आसेदुरोपधिप्रस्थं मनसा समरंहसः ॥कुमारसंभवम्६.३६॥</v>
      </c>
      <c r="B2038" s="1" t="s">
        <v>18</v>
      </c>
      <c r="C2038" s="1"/>
    </row>
    <row r="2039" spans="1:3" ht="24" customHeight="1">
      <c r="A2039" s="1" t="str">
        <f ca="1">IFERROR(__xludf.DUMMYFUNCTION("""COMPUTED_VALUE"""),"अलकामतिवाह्यै४व वसतिं वसुसंपदाम् । स्वर्गाभिष्यन्दवमनं कृत्वेवोपनिवेशितम् ॥कुमारसंभवम्६.३७॥")</f>
        <v>अलकामतिवाह्यै४व वसतिं वसुसंपदाम् । स्वर्गाभिष्यन्दवमनं कृत्वेवोपनिवेशितम् ॥कुमारसंभवम्६.३७॥</v>
      </c>
      <c r="B2039" s="1" t="s">
        <v>2</v>
      </c>
      <c r="C2039" s="1"/>
    </row>
    <row r="2040" spans="1:3" ht="24" customHeight="1">
      <c r="A2040" s="1" t="str">
        <f ca="1">IFERROR(__xludf.DUMMYFUNCTION("""COMPUTED_VALUE"""),"गङ्गास्रोतःपरिक्षिप्तं वप्रान्तर्ध्वलितौषधि । बृहन्मणिशिलासालं गुप्तावपि मनोहरम् ॥कुमारसंभवम्६.३८ ॥")</f>
        <v>गङ्गास्रोतःपरिक्षिप्तं वप्रान्तर्ध्वलितौषधि । बृहन्मणिशिलासालं गुप्तावपि मनोहरम् ॥कुमारसंभवम्६.३८ ॥</v>
      </c>
      <c r="B2040" s="1" t="s">
        <v>0</v>
      </c>
      <c r="C2040" s="1"/>
    </row>
    <row r="2041" spans="1:3" ht="24" customHeight="1">
      <c r="A2041" s="1" t="str">
        <f ca="1">IFERROR(__xludf.DUMMYFUNCTION("""COMPUTED_VALUE"""),"जितसिंहभया नागा यत्राश्वा बिलयोनयः । यक्षाः किंपुरुषाः पौरा योपितो वनदेवताः ॥कुमारसंभवम्६.३९ ॥")</f>
        <v>जितसिंहभया नागा यत्राश्वा बिलयोनयः । यक्षाः किंपुरुषाः पौरा योपितो वनदेवताः ॥कुमारसंभवम्६.३९ ॥</v>
      </c>
      <c r="B2041" s="1" t="s">
        <v>2</v>
      </c>
      <c r="C2041" s="1"/>
    </row>
    <row r="2042" spans="1:3" ht="24" customHeight="1">
      <c r="A2042" s="1" t="str">
        <f ca="1">IFERROR(__xludf.DUMMYFUNCTION("""COMPUTED_VALUE"""),"शिखरासक्तमेघानां व्यज्यन्ते यत्र वेश्मनाम् । अ२नुगर्जितसंदिग्धाः करणैर्मुरजस्वनाः॥कुमारसंभवम्६.४० ॥")</f>
        <v>शिखरासक्तमेघानां व्यज्यन्ते यत्र वेश्मनाम् । अ२नुगर्जितसंदिग्धाः करणैर्मुरजस्वनाः॥कुमारसंभवम्६.४० ॥</v>
      </c>
      <c r="B2042" s="1" t="s">
        <v>1</v>
      </c>
      <c r="C2042" s="1"/>
    </row>
    <row r="2043" spans="1:3" ht="24" customHeight="1">
      <c r="A2043" s="1" t="str">
        <f ca="1">IFERROR(__xludf.DUMMYFUNCTION("""COMPUTED_VALUE"""),"यत्र कल्पद्रुमैरेव विलोलविटपांशुकैः । गृहयत्रपताकाश्रीरपौरादरनिर्मिता ॥कुमारसंभवम्६.४१॥")</f>
        <v>यत्र कल्पद्रुमैरेव विलोलविटपांशुकैः । गृहयत्रपताकाश्रीरपौरादरनिर्मिता ॥कुमारसंभवम्६.४१॥</v>
      </c>
      <c r="B2043" s="1" t="s">
        <v>2</v>
      </c>
      <c r="C2043" s="1"/>
    </row>
    <row r="2044" spans="1:3" ht="24" customHeight="1">
      <c r="A2044" s="1" t="str">
        <f ca="1">IFERROR(__xludf.DUMMYFUNCTION("""COMPUTED_VALUE"""),"यत्र स्फटिकहर्येषु नक्तमापानभूमिषु । ज्योतिषां प्रतिबिम्बानि प्राप्नुवन्त्युपहारताम् ॥कुमारसंभवम्६.४२")</f>
        <v>यत्र स्फटिकहर्येषु नक्तमापानभूमिषु । ज्योतिषां प्रतिबिम्बानि प्राप्नुवन्त्युपहारताम् ॥कुमारसंभवम्६.४२</v>
      </c>
      <c r="B2044" s="1" t="s">
        <v>2</v>
      </c>
      <c r="C2044" s="1"/>
    </row>
    <row r="2045" spans="1:3" ht="24" customHeight="1">
      <c r="A2045" s="1" t="str">
        <f ca="1">IFERROR(__xludf.DUMMYFUNCTION("""COMPUTED_VALUE"""),"यत्रौषधिप्रकाशेन नक्तं दर्शितसंचराः । अनभिज्ञास्तमिस्राणां दुर्दिनेष्वभिसारिकाः ॥कुमारसंभवम्६.४३ ॥")</f>
        <v>यत्रौषधिप्रकाशेन नक्तं दर्शितसंचराः । अनभिज्ञास्तमिस्राणां दुर्दिनेष्वभिसारिकाः ॥कुमारसंभवम्६.४३ ॥</v>
      </c>
      <c r="B2045" s="1" t="s">
        <v>19</v>
      </c>
      <c r="C2045" s="1"/>
    </row>
    <row r="2046" spans="1:3" ht="24" customHeight="1">
      <c r="A2046" s="1" t="str">
        <f ca="1">IFERROR(__xludf.DUMMYFUNCTION("""COMPUTED_VALUE"""),"यौवनान्तं वयो यस्मिन्नान्तकः कुसुमायुधात् । रतिखेदेसमुत्पन्ना निद्रा संज्ञाविपर्ययः ॥कुमारसंभवम्६.४४ ॥")</f>
        <v>यौवनान्तं वयो यस्मिन्नान्तकः कुसुमायुधात् । रतिखेदेसमुत्पन्ना निद्रा संज्ञाविपर्ययः ॥कुमारसंभवम्६.४४ ॥</v>
      </c>
      <c r="B2046" s="1" t="s">
        <v>5</v>
      </c>
      <c r="C2046" s="1"/>
    </row>
    <row r="2047" spans="1:3" ht="24" customHeight="1">
      <c r="A2047" s="1" t="str">
        <f ca="1">IFERROR(__xludf.DUMMYFUNCTION("""COMPUTED_VALUE"""),"भ्ऱूभेदिभिः सकम्पोष्टललिताङ्गुलितर्जनैः । यत्र कोपैः कृताः स्त्रीणामाप्रसादार्थिनः प्रियाः ॥कुमारसंभवम्६.४५॥")</f>
        <v>भ्ऱूभेदिभिः सकम्पोष्टललिताङ्गुलितर्जनैः । यत्र कोपैः कृताः स्त्रीणामाप्रसादार्थिनः प्रियाः ॥कुमारसंभवम्६.४५॥</v>
      </c>
      <c r="B2047" s="1" t="s">
        <v>5</v>
      </c>
      <c r="C2047" s="1"/>
    </row>
    <row r="2048" spans="1:3" ht="24" customHeight="1">
      <c r="A2048" s="1" t="str">
        <f ca="1">IFERROR(__xludf.DUMMYFUNCTION("""COMPUTED_VALUE"""),"संतानकतरुच्छायासुप्तविद्याधराध्वगम् । यस्य चोपवनं बाह्यं गन्धवद्गन्धमादनम् ॥कुमारसंभवम्६.४६॥")</f>
        <v>संतानकतरुच्छायासुप्तविद्याधराध्वगम् । यस्य चोपवनं बाह्यं गन्धवद्गन्धमादनम् ॥कुमारसंभवम्६.४६॥</v>
      </c>
      <c r="B2048" s="1" t="s">
        <v>1</v>
      </c>
      <c r="C2048" s="1"/>
    </row>
    <row r="2049" spans="1:3" ht="24" customHeight="1">
      <c r="A2049" s="1" t="str">
        <f ca="1">IFERROR(__xludf.DUMMYFUNCTION("""COMPUTED_VALUE"""),"अथ ते मुनयो दिव्याः प्रेक्ष्य हैमवतं पुरम् । स्वर्गाभिसंधिसुकृतं वश्चनामिव मेनिरे ॥कुमारसंभवम्६.४७ ॥")</f>
        <v>अथ ते मुनयो दिव्याः प्रेक्ष्य हैमवतं पुरम् । स्वर्गाभिसंधिसुकृतं वश्चनामिव मेनिरे ॥कुमारसंभवम्६.४७ ॥</v>
      </c>
      <c r="B2049" s="1" t="s">
        <v>0</v>
      </c>
      <c r="C2049" s="1"/>
    </row>
    <row r="2050" spans="1:3" ht="24" customHeight="1">
      <c r="A2050" s="1" t="str">
        <f ca="1">IFERROR(__xludf.DUMMYFUNCTION("""COMPUTED_VALUE"""),"ते सद्मनि गिरेर्वेंगादुन्मुखद्वाःस्थवीक्षिताः । अवतेरुजटाभारैलिखितानलनिश्चलैः ॥कुमारसंभवम्६.४८ ॥")</f>
        <v>ते सद्मनि गिरेर्वेंगादुन्मुखद्वाःस्थवीक्षिताः । अवतेरुजटाभारैलिखितानलनिश्चलैः ॥कुमारसंभवम्६.४८ ॥</v>
      </c>
      <c r="B2050" s="1" t="s">
        <v>11</v>
      </c>
      <c r="C2050" s="1"/>
    </row>
    <row r="2051" spans="1:3" ht="24" customHeight="1">
      <c r="A2051" s="1" t="str">
        <f ca="1">IFERROR(__xludf.DUMMYFUNCTION("""COMPUTED_VALUE"""),"गगनादवतीर्णा सा यथावृद्धपुरस्सरा । तोयान्तर्भास्करालीव रेजे मुनिपरम्परा ॥कुमारसंभवम्६.४९ ॥")</f>
        <v>गगनादवतीर्णा सा यथावृद्धपुरस्सरा । तोयान्तर्भास्करालीव रेजे मुनिपरम्परा ॥कुमारसंभवम्६.४९ ॥</v>
      </c>
      <c r="B2051" s="1" t="s">
        <v>0</v>
      </c>
      <c r="C2051" s="1"/>
    </row>
    <row r="2052" spans="1:3" ht="24" customHeight="1">
      <c r="A2052" s="1" t="str">
        <f ca="1">IFERROR(__xludf.DUMMYFUNCTION("""COMPUTED_VALUE"""),"तानर्घ्यानर्घ्यमादाय दूरात्प्रत्युद्ययौ गिरिः। नमयन्सारगुरुभिः पादन्यासैर्वसुंधराम्॥कुमारसंभवम्६.५०॥")</f>
        <v>तानर्घ्यानर्घ्यमादाय दूरात्प्रत्युद्ययौ गिरिः। नमयन्सारगुरुभिः पादन्यासैर्वसुंधराम्॥कुमारसंभवम्६.५०॥</v>
      </c>
      <c r="B2052" s="1" t="s">
        <v>0</v>
      </c>
      <c r="C2052" s="1"/>
    </row>
    <row r="2053" spans="1:3" ht="24" customHeight="1">
      <c r="A2053" s="1" t="str">
        <f ca="1">IFERROR(__xludf.DUMMYFUNCTION("""COMPUTED_VALUE"""),"धातुताम्राधरः प्रांशुर्देवदारुबृहद्भुजः। प्रकृत्यैव शिलोरस्कः सुव्यक्तो हिमवानिति॥कुमारसंभवम्६.५१॥")</f>
        <v>धातुताम्राधरः प्रांशुर्देवदारुबृहद्भुजः। प्रकृत्यैव शिलोरस्कः सुव्यक्तो हिमवानिति॥कुमारसंभवम्६.५१॥</v>
      </c>
      <c r="B2053" s="1" t="s">
        <v>2</v>
      </c>
      <c r="C2053" s="1"/>
    </row>
    <row r="2054" spans="1:3" ht="24" customHeight="1">
      <c r="A2054" s="1" t="str">
        <f ca="1">IFERROR(__xludf.DUMMYFUNCTION("""COMPUTED_VALUE"""),"विधिप्रयुक्तसत्कारैः स्वयं मार्गस्य दर्शकः। स तैराक्रमयामास शुद्धान्तं शुद्धकर्मभिः॥कुमारसंभवम्६.५२॥")</f>
        <v>विधिप्रयुक्तसत्कारैः स्वयं मार्गस्य दर्शकः। स तैराक्रमयामास शुद्धान्तं शुद्धकर्मभिः॥कुमारसंभवम्६.५२॥</v>
      </c>
      <c r="B2054" s="1" t="s">
        <v>6</v>
      </c>
      <c r="C2054" s="1"/>
    </row>
    <row r="2055" spans="1:3" ht="24" customHeight="1">
      <c r="A2055" s="1" t="str">
        <f ca="1">IFERROR(__xludf.DUMMYFUNCTION("""COMPUTED_VALUE"""),"तत्र वेत्रासनासीनान्कृतासनपरिग्रहः । इत्युवाचेश्वरान्वाचं प्राञ्जलिर्भूधरेश्वरः॥कुमारसंभवम्६.५३॥")</f>
        <v>तत्र वेत्रासनासीनान्कृतासनपरिग्रहः । इत्युवाचेश्वरान्वाचं प्राञ्जलिर्भूधरेश्वरः॥कुमारसंभवम्६.५३॥</v>
      </c>
      <c r="B2055" s="1" t="s">
        <v>0</v>
      </c>
      <c r="C2055" s="1"/>
    </row>
    <row r="2056" spans="1:3" ht="24" customHeight="1">
      <c r="A2056" s="1" t="str">
        <f ca="1">IFERROR(__xludf.DUMMYFUNCTION("""COMPUTED_VALUE"""),"अपमेघोदयं वर्षमदृष्टकुसुमं फलम् । अतर्कितोपपन्नं वो दर्शनं प्रतिभाति मे॥कुमारसंभवम्६.५४॥")</f>
        <v>अपमेघोदयं वर्षमदृष्टकुसुमं फलम् । अतर्कितोपपन्नं वो दर्शनं प्रतिभाति मे॥कुमारसंभवम्६.५४॥</v>
      </c>
      <c r="B2056" s="1" t="s">
        <v>12</v>
      </c>
      <c r="C2056" s="1"/>
    </row>
    <row r="2057" spans="1:3" ht="24" customHeight="1">
      <c r="A2057" s="1" t="str">
        <f ca="1">IFERROR(__xludf.DUMMYFUNCTION("""COMPUTED_VALUE"""),"मूढं बुद्धमिवात्मानं हैमीभूतमिवायसम् । भूमेर्दिवमिवारुढं मन्ये भवदनुग्रहात्॥कुमारसंभवम्६.५५॥")</f>
        <v>मूढं बुद्धमिवात्मानं हैमीभूतमिवायसम् । भूमेर्दिवमिवारुढं मन्ये भवदनुग्रहात्॥कुमारसंभवम्६.५५॥</v>
      </c>
      <c r="B2057" s="1" t="s">
        <v>24</v>
      </c>
      <c r="C2057" s="1"/>
    </row>
    <row r="2058" spans="1:3" ht="24" customHeight="1">
      <c r="A2058" s="1" t="str">
        <f ca="1">IFERROR(__xludf.DUMMYFUNCTION("""COMPUTED_VALUE"""),"अद्यप्रभृति भूतानामधिगम्योऽस्मि शुद्धये । यदध्यासितमर्हद्भिस्तद्धि तीर्थ प्रचक्षते॥कुमारसंभवम्६.५६॥")</f>
        <v>अद्यप्रभृति भूतानामधिगम्योऽस्मि शुद्धये । यदध्यासितमर्हद्भिस्तद्धि तीर्थ प्रचक्षते॥कुमारसंभवम्६.५६॥</v>
      </c>
      <c r="B2058" s="1" t="s">
        <v>2</v>
      </c>
      <c r="C2058" s="1"/>
    </row>
    <row r="2059" spans="1:3" ht="24" customHeight="1">
      <c r="A2059" s="1" t="str">
        <f ca="1">IFERROR(__xludf.DUMMYFUNCTION("""COMPUTED_VALUE"""),"अवैमि पूतमात्मानं द्वयेनैव द्विजोत्तमाः ! । मूर्ध्नि गङ्गाप्रपातेन धौतपादाम्भसा च वः॥कुमारसंभवम्६.५७॥")</f>
        <v>अवैमि पूतमात्मानं द्वयेनैव द्विजोत्तमाः ! । मूर्ध्नि गङ्गाप्रपातेन धौतपादाम्भसा च वः॥कुमारसंभवम्६.५७॥</v>
      </c>
      <c r="B2059" s="1" t="s">
        <v>4</v>
      </c>
      <c r="C2059" s="1"/>
    </row>
    <row r="2060" spans="1:3" ht="24" customHeight="1">
      <c r="A2060" s="1" t="str">
        <f ca="1">IFERROR(__xludf.DUMMYFUNCTION("""COMPUTED_VALUE"""),"जंगमं प्रैष्यभावे वः स्थावरं चरणाङ्कितम् । विभक्तानुग्रहं मन्ये द्विरूपमपि मे वपुः॥कुमारसंभवम्६.५८॥")</f>
        <v>जंगमं प्रैष्यभावे वः स्थावरं चरणाङ्कितम् । विभक्तानुग्रहं मन्ये द्विरूपमपि मे वपुः॥कुमारसंभवम्६.५८॥</v>
      </c>
      <c r="B2060" s="1" t="s">
        <v>9</v>
      </c>
      <c r="C2060" s="1"/>
    </row>
    <row r="2061" spans="1:3" ht="24" customHeight="1">
      <c r="A2061" s="1" t="str">
        <f ca="1">IFERROR(__xludf.DUMMYFUNCTION("""COMPUTED_VALUE"""),"भवत्संभावनोत्थाय परितोषाय मूर्च्छते। अपि व्याप्तदिगन्तानि नाङ्गानि प्रभवन्ति मे॥कुमारसंभवम्६.५९॥")</f>
        <v>भवत्संभावनोत्थाय परितोषाय मूर्च्छते। अपि व्याप्तदिगन्तानि नाङ्गानि प्रभवन्ति मे॥कुमारसंभवम्६.५९॥</v>
      </c>
      <c r="B2061" s="1" t="s">
        <v>12</v>
      </c>
      <c r="C2061" s="1"/>
    </row>
    <row r="2062" spans="1:3" ht="24" customHeight="1">
      <c r="A2062" s="1" t="str">
        <f ca="1">IFERROR(__xludf.DUMMYFUNCTION("""COMPUTED_VALUE"""),"न केवलं दरीसंस्थं भास्वतां दर्शनेन वः। अन्तर्गतमपास्तं मे रजसोऽपि परं तमः॥कुमारसंभवम्६.६०॥")</f>
        <v>न केवलं दरीसंस्थं भास्वतां दर्शनेन वः। अन्तर्गतमपास्तं मे रजसोऽपि परं तमः॥कुमारसंभवम्६.६०॥</v>
      </c>
      <c r="B2062" s="1" t="s">
        <v>12</v>
      </c>
      <c r="C2062" s="1"/>
    </row>
    <row r="2063" spans="1:3" ht="24" customHeight="1">
      <c r="A2063" s="1" t="str">
        <f ca="1">IFERROR(__xludf.DUMMYFUNCTION("""COMPUTED_VALUE"""),"कर्तव्यं वो न पश्यामि स्याच्चेत्किं नोपपद्यते । मन्ये मत्पावनायैव प्रस्थानं भवतामिह॥कुमारसंभवम्६.६१॥ ")</f>
        <v xml:space="preserve">कर्तव्यं वो न पश्यामि स्याच्चेत्किं नोपपद्यते । मन्ये मत्पावनायैव प्रस्थानं भवतामिह॥कुमारसंभवम्६.६१॥ </v>
      </c>
      <c r="B2063" s="1" t="s">
        <v>24</v>
      </c>
      <c r="C2063" s="1"/>
    </row>
    <row r="2064" spans="1:3" ht="24" customHeight="1">
      <c r="A2064" s="1" t="str">
        <f ca="1">IFERROR(__xludf.DUMMYFUNCTION("""COMPUTED_VALUE"""),"तथापि तावत्कस्मिंश्चिदाज्ञां मे दातुमर्हथ । विनियोगप्रसादा हि किंकराः प्रभविष्णुषु॥कुमारसंभवम्६.६२॥ ")</f>
        <v xml:space="preserve">तथापि तावत्कस्मिंश्चिदाज्ञां मे दातुमर्हथ । विनियोगप्रसादा हि किंकराः प्रभविष्णुषु॥कुमारसंभवम्६.६२॥ </v>
      </c>
      <c r="B2064" s="1" t="s">
        <v>13</v>
      </c>
      <c r="C2064" s="1"/>
    </row>
    <row r="2065" spans="1:3" ht="24" customHeight="1">
      <c r="A2065" s="1" t="str">
        <f ca="1">IFERROR(__xludf.DUMMYFUNCTION("""COMPUTED_VALUE"""),"एते वयममी दाराः, कन्येयं कुलजीवितम् । ब्रूत येनात्र वः कार्यमनास्था बाह्यवस्तुषु॥कुमारसंभवम्६.६३॥")</f>
        <v>एते वयममी दाराः, कन्येयं कुलजीवितम् । ब्रूत येनात्र वः कार्यमनास्था बाह्यवस्तुषु॥कुमारसंभवम्६.६३॥</v>
      </c>
      <c r="B2065" s="1" t="s">
        <v>13</v>
      </c>
      <c r="C2065" s="1"/>
    </row>
    <row r="2066" spans="1:3" ht="24" customHeight="1">
      <c r="A2066" s="1" t="str">
        <f ca="1">IFERROR(__xludf.DUMMYFUNCTION("""COMPUTED_VALUE"""),"इत्यूचिवांस्तमेवार्थं गुहामुखविसार्पिणा । द्विरिव प्रतिशब्देन व्याजहार हिमालयः॥कुमारसंभवम्६.६४॥")</f>
        <v>इत्यूचिवांस्तमेवार्थं गुहामुखविसार्पिणा । द्विरिव प्रतिशब्देन व्याजहार हिमालयः॥कुमारसंभवम्६.६४॥</v>
      </c>
      <c r="B2066" s="1" t="s">
        <v>5</v>
      </c>
      <c r="C2066" s="1"/>
    </row>
    <row r="2067" spans="1:3" ht="24" customHeight="1">
      <c r="A2067" s="1" t="str">
        <f ca="1">IFERROR(__xludf.DUMMYFUNCTION("""COMPUTED_VALUE"""),"अथाङ्गिरसमग्रण्यमुदाहरणवस्तुषु । ऋषयो नोदयामासुः प्रत्युवाच स भूधरम्॥कुमारसंभवम्६.६५॥")</f>
        <v>अथाङ्गिरसमग्रण्यमुदाहरणवस्तुषु । ऋषयो नोदयामासुः प्रत्युवाच स भूधरम्॥कुमारसंभवम्६.६५॥</v>
      </c>
      <c r="B2067" s="1" t="s">
        <v>0</v>
      </c>
      <c r="C2067" s="1"/>
    </row>
    <row r="2068" spans="1:3" ht="24" customHeight="1">
      <c r="A2068" s="1" t="str">
        <f ca="1">IFERROR(__xludf.DUMMYFUNCTION("""COMPUTED_VALUE"""),"उपपन्नमिदं सर्वमतः परमपि त्वयि । मनसः शिखराणां च सदृशी ते समुन्नतिः॥कुमारसंभवम्६.६६॥")</f>
        <v>उपपन्नमिदं सर्वमतः परमपि त्वयि । मनसः शिखराणां च सदृशी ते समुन्नतिः॥कुमारसंभवम्६.६६॥</v>
      </c>
      <c r="B2068" s="1" t="s">
        <v>2</v>
      </c>
      <c r="C2068" s="1"/>
    </row>
    <row r="2069" spans="1:3" ht="24" customHeight="1">
      <c r="A2069" s="1" t="str">
        <f ca="1">IFERROR(__xludf.DUMMYFUNCTION("""COMPUTED_VALUE"""),"स्थाने त्वां स्थावरात्मानं विष्णुमाहुस्तथाहि ते । चराचराणां भूतानां कुक्षिराधारतां गतः॥कुमारसंभवम्६.६७॥ ")</f>
        <v xml:space="preserve">स्थाने त्वां स्थावरात्मानं विष्णुमाहुस्तथाहि ते । चराचराणां भूतानां कुक्षिराधारतां गतः॥कुमारसंभवम्६.६७॥ </v>
      </c>
      <c r="B2069" s="1" t="s">
        <v>2</v>
      </c>
      <c r="C2069" s="1"/>
    </row>
    <row r="2070" spans="1:3" ht="24" customHeight="1">
      <c r="A2070" s="1" t="str">
        <f ca="1">IFERROR(__xludf.DUMMYFUNCTION("""COMPUTED_VALUE"""),"गामधास्यत्कथं नागो मृणालमृदुभिः फणैः। आरसातलमूलात्त्वमवालम्बिष्यथा न चेत्॥कुमारसंभवम्६.६८॥")</f>
        <v>गामधास्यत्कथं नागो मृणालमृदुभिः फणैः। आरसातलमूलात्त्वमवालम्बिष्यथा न चेत्॥कुमारसंभवम्६.६८॥</v>
      </c>
      <c r="B2070" s="1" t="s">
        <v>16</v>
      </c>
      <c r="C2070" s="1"/>
    </row>
    <row r="2071" spans="1:3" ht="24" customHeight="1">
      <c r="A2071" s="1" t="str">
        <f ca="1">IFERROR(__xludf.DUMMYFUNCTION("""COMPUTED_VALUE"""),"अच्छिन्नामलसंतानाः समुद्रोर्म्यनिवारिताः। पुनन्ति लोकान्पुण्यत्वात्कीर्तयः सरितश्च ते॥कुमारसंभवम्६.६९॥")</f>
        <v>अच्छिन्नामलसंतानाः समुद्रोर्म्यनिवारिताः। पुनन्ति लोकान्पुण्यत्वात्कीर्तयः सरितश्च ते॥कुमारसंभवम्६.६९॥</v>
      </c>
      <c r="B2071" s="1" t="s">
        <v>2</v>
      </c>
      <c r="C2071" s="1"/>
    </row>
    <row r="2072" spans="1:3" ht="24" customHeight="1">
      <c r="A2072" s="1" t="str">
        <f ca="1">IFERROR(__xludf.DUMMYFUNCTION("""COMPUTED_VALUE"""),"यथैव श्लाध्यते गङ्गा पादेन परमेष्ठिनः। प्रभवेण द्वितीयेन तथैवोच्छिरसा त्वया॥कुमारसंभवम्६.७०॥")</f>
        <v>यथैव श्लाध्यते गङ्गा पादेन परमेष्ठिनः। प्रभवेण द्वितीयेन तथैवोच्छिरसा त्वया॥कुमारसंभवम्६.७०॥</v>
      </c>
      <c r="B2072" s="1" t="s">
        <v>5</v>
      </c>
      <c r="C2072" s="1"/>
    </row>
    <row r="2073" spans="1:3" ht="24" customHeight="1">
      <c r="A2073" s="1" t="str">
        <f ca="1">IFERROR(__xludf.DUMMYFUNCTION("""COMPUTED_VALUE"""),"तिर्यगूर्ध्वमधस्ताच्च व्यापको महिमा हरेः। त्रिविक्रमोद्यतस्यासीत्स तु स्वाभाविकस्तव॥कुमारसंभवम्६.७१॥")</f>
        <v>तिर्यगूर्ध्वमधस्ताच्च व्यापको महिमा हरेः। त्रिविक्रमोद्यतस्यासीत्स तु स्वाभाविकस्तव॥कुमारसंभवम्६.७१॥</v>
      </c>
      <c r="B2073" s="1" t="s">
        <v>4</v>
      </c>
      <c r="C2073" s="1"/>
    </row>
    <row r="2074" spans="1:3" ht="24" customHeight="1">
      <c r="A2074" s="1" t="str">
        <f ca="1">IFERROR(__xludf.DUMMYFUNCTION("""COMPUTED_VALUE"""),"यज्ञभागभुजां मध्ये पदमातस्थुषा त्वया । उच्चैर्हिरण्मयं श्रृङ्गं सुमेरोर्वितथीकृतम्॥कुमारसंभवम्६.७२॥")</f>
        <v>यज्ञभागभुजां मध्ये पदमातस्थुषा त्वया । उच्चैर्हिरण्मयं श्रृङ्गं सुमेरोर्वितथीकृतम्॥कुमारसंभवम्६.७२॥</v>
      </c>
      <c r="B2074" s="1" t="s">
        <v>2</v>
      </c>
      <c r="C2074" s="1"/>
    </row>
    <row r="2075" spans="1:3" ht="24" customHeight="1">
      <c r="A2075" s="1" t="str">
        <f ca="1">IFERROR(__xludf.DUMMYFUNCTION("""COMPUTED_VALUE"""),"काठिन्यं स्थावरे काये भवता सर्वमर्पितम् । इदं तु ते भक्तिनम्रं सतामाराधनं वपुः॥कुमारसंभवम्६.७३॥")</f>
        <v>काठिन्यं स्थावरे काये भवता सर्वमर्पितम् । इदं तु ते भक्तिनम्रं सतामाराधनं वपुः॥कुमारसंभवम्६.७३॥</v>
      </c>
      <c r="B2075" s="1" t="s">
        <v>9</v>
      </c>
      <c r="C2075" s="1"/>
    </row>
    <row r="2076" spans="1:3" ht="24" customHeight="1">
      <c r="A2076" s="1" t="str">
        <f ca="1">IFERROR(__xludf.DUMMYFUNCTION("""COMPUTED_VALUE"""),"तदागमनकार्यं नः श्रृणु कार्यं तवैव तत् । श्रेयसामुपदेशात्तु वयमत्रांशभागिनः॥कुमारसंभवम्६.७४॥")</f>
        <v>तदागमनकार्यं नः श्रृणु कार्यं तवैव तत् । श्रेयसामुपदेशात्तु वयमत्रांशभागिनः॥कुमारसंभवम्६.७४॥</v>
      </c>
      <c r="B2076" s="1" t="s">
        <v>1</v>
      </c>
      <c r="C2076" s="1"/>
    </row>
    <row r="2077" spans="1:3" ht="24" customHeight="1">
      <c r="A2077" s="1" t="str">
        <f ca="1">IFERROR(__xludf.DUMMYFUNCTION("""COMPUTED_VALUE"""),"अणिमादिगुणोपेतमस्पृष्टपुरुषान्तरम् । शब्दमीश्वर इत्युच्चैः सार्धचन्द्रं बिभर्ति यः॥कुमारसंभवम्६.७५॥")</f>
        <v>अणिमादिगुणोपेतमस्पृष्टपुरुषान्तरम् । शब्दमीश्वर इत्युच्चैः सार्धचन्द्रं बिभर्ति यः॥कुमारसंभवम्६.७५॥</v>
      </c>
      <c r="B2077" s="1" t="s">
        <v>5</v>
      </c>
      <c r="C2077" s="1"/>
    </row>
    <row r="2078" spans="1:3" ht="24" customHeight="1">
      <c r="A2078" s="1" t="str">
        <f ca="1">IFERROR(__xludf.DUMMYFUNCTION("""COMPUTED_VALUE"""),"कलितान्योन्यसामर्थ्यैः पृथिव्यादिभिरात्मभिः । येनेदं ध्रियते विश्वं धुर्यैर्यानमिवाध्वनि॥कुमारसंभवम्६.७६॥")</f>
        <v>कलितान्योन्यसामर्थ्यैः पृथिव्यादिभिरात्मभिः । येनेदं ध्रियते विश्वं धुर्यैर्यानमिवाध्वनि॥कुमारसंभवम्६.७६॥</v>
      </c>
      <c r="B2078" s="1" t="s">
        <v>1</v>
      </c>
      <c r="C2078" s="1"/>
    </row>
    <row r="2079" spans="1:3" ht="24" customHeight="1">
      <c r="A2079" s="1" t="str">
        <f ca="1">IFERROR(__xludf.DUMMYFUNCTION("""COMPUTED_VALUE"""),"योगिनो यं विचिन्वन्ति क्षेत्राभ्यन्तरवर्तिनम् । अनावृत्तभयं यस्य पदमाहुर्मनीषिणः॥कुमारसंभवम्६.७७॥")</f>
        <v>योगिनो यं विचिन्वन्ति क्षेत्राभ्यन्तरवर्तिनम् । अनावृत्तभयं यस्य पदमाहुर्मनीषिणः॥कुमारसंभवम्६.७७॥</v>
      </c>
      <c r="B2079" s="1" t="s">
        <v>7</v>
      </c>
      <c r="C2079" s="1"/>
    </row>
    <row r="2080" spans="1:3" ht="24" customHeight="1">
      <c r="A2080" s="1" t="str">
        <f ca="1">IFERROR(__xludf.DUMMYFUNCTION("""COMPUTED_VALUE"""),"स ते दुहितरं साक्षात्साक्षी विश्वस्य कर्मणाम् । वृणुते वरदः शंभुरस्मत्संक्रामितैः पदैः॥कुमारसंभवम्६.७८॥")</f>
        <v>स ते दुहितरं साक्षात्साक्षी विश्वस्य कर्मणाम् । वृणुते वरदः शंभुरस्मत्संक्रामितैः पदैः॥कुमारसंभवम्६.७८॥</v>
      </c>
      <c r="B2080" s="1" t="s">
        <v>17</v>
      </c>
      <c r="C2080" s="1"/>
    </row>
    <row r="2081" spans="1:3" ht="24" customHeight="1">
      <c r="A2081" s="1" t="str">
        <f ca="1">IFERROR(__xludf.DUMMYFUNCTION("""COMPUTED_VALUE"""),"तमर्थमिव भारत्या सुतया योक्तुमर्हसि । अशोच्या हि पितुः कन्या सद्भर्तृप्रतिपादिता॥कुमारसंभवम्६.७९॥")</f>
        <v>तमर्थमिव भारत्या सुतया योक्तुमर्हसि । अशोच्या हि पितुः कन्या सद्भर्तृप्रतिपादिता॥कुमारसंभवम्६.७९॥</v>
      </c>
      <c r="B2081" s="1" t="s">
        <v>2</v>
      </c>
      <c r="C2081" s="1"/>
    </row>
    <row r="2082" spans="1:3" ht="24" customHeight="1">
      <c r="A2082" s="1" t="str">
        <f ca="1">IFERROR(__xludf.DUMMYFUNCTION("""COMPUTED_VALUE"""),"यावन्त्येतानि भूतानि स्थावराणि चराणि च । मातरं कल्पयन्त्वेनामीशो हि जगतः पिता॥कुमारसंभवम्६.८०॥")</f>
        <v>यावन्त्येतानि भूतानि स्थावराणि चराणि च । मातरं कल्पयन्त्वेनामीशो हि जगतः पिता॥कुमारसंभवम्६.८०॥</v>
      </c>
      <c r="B2082" s="1" t="s">
        <v>2</v>
      </c>
      <c r="C2082" s="1"/>
    </row>
    <row r="2083" spans="1:3" ht="24" customHeight="1">
      <c r="A2083" s="1" t="str">
        <f ca="1">IFERROR(__xludf.DUMMYFUNCTION("""COMPUTED_VALUE"""),"प्रणम्य शितिकण्ठाय विबुधास्तदनन्तरम् । चरणौ रञ्जयन्त्वस्याश्चूडामणिमरीचिभिः॥कुमारसंभवम्६.८१॥")</f>
        <v>प्रणम्य शितिकण्ठाय विबुधास्तदनन्तरम् । चरणौ रञ्जयन्त्वस्याश्चूडामणिमरीचिभिः॥कुमारसंभवम्६.८१॥</v>
      </c>
      <c r="B2083" s="1" t="s">
        <v>6</v>
      </c>
      <c r="C2083" s="1"/>
    </row>
    <row r="2084" spans="1:3" ht="24" customHeight="1">
      <c r="A2084" s="1" t="str">
        <f ca="1">IFERROR(__xludf.DUMMYFUNCTION("""COMPUTED_VALUE"""),"उमा वधूर्भवान्दाता, याचितार इमे वयम् । वरः शंभुरलं ह्येष त्वत्कुलोद्भूतये विधिः ॥कुमारसंभवम्६.८२॥")</f>
        <v>उमा वधूर्भवान्दाता, याचितार इमे वयम् । वरः शंभुरलं ह्येष त्वत्कुलोद्भूतये विधिः ॥कुमारसंभवम्६.८२॥</v>
      </c>
      <c r="B2084" s="1" t="s">
        <v>20</v>
      </c>
      <c r="C2084" s="1"/>
    </row>
    <row r="2085" spans="1:3" ht="24" customHeight="1">
      <c r="A2085" s="1" t="str">
        <f ca="1">IFERROR(__xludf.DUMMYFUNCTION("""COMPUTED_VALUE"""),"अस्तोतुः स्तूयमानस्य, वन्द्यस्यानन्यवन्दिनः । सुतासंबन्धविधिना भव विश्वगुरोर्गुरुः॥कुमारसंभवम्६.८३॥")</f>
        <v>अस्तोतुः स्तूयमानस्य, वन्द्यस्यानन्यवन्दिनः । सुतासंबन्धविधिना भव विश्वगुरोर्गुरुः॥कुमारसंभवम्६.८३॥</v>
      </c>
      <c r="B2085" s="1" t="s">
        <v>0</v>
      </c>
      <c r="C2085" s="1"/>
    </row>
    <row r="2086" spans="1:3" ht="24" customHeight="1">
      <c r="A2086" s="1" t="str">
        <f ca="1">IFERROR(__xludf.DUMMYFUNCTION("""COMPUTED_VALUE"""),"एवंवादिनि देवर्षौ पार्श्वे पितुरधोमुखी । लीलाकमलपत्राणि गणयामास पार्वती॥कुमारसंभवम्६.८४॥")</f>
        <v>एवंवादिनि देवर्षौ पार्श्वे पितुरधोमुखी । लीलाकमलपत्राणि गणयामास पार्वती॥कुमारसंभवम्६.८४॥</v>
      </c>
      <c r="B2086" s="1" t="s">
        <v>2</v>
      </c>
      <c r="C2086" s="1"/>
    </row>
    <row r="2087" spans="1:3" ht="24" customHeight="1">
      <c r="A2087" s="1" t="str">
        <f ca="1">IFERROR(__xludf.DUMMYFUNCTION("""COMPUTED_VALUE"""),"शैलः संपूर्णकामोऽपि मेनामुखमुदैक्षत । प्रायेण गृहिणीनेत्राः कन्यार्थेषु कुटुम्बिनः॥कुमारसंभवम्६.८५॥")</f>
        <v>शैलः संपूर्णकामोऽपि मेनामुखमुदैक्षत । प्रायेण गृहिणीनेत्राः कन्यार्थेषु कुटुम्बिनः॥कुमारसंभवम्६.८५॥</v>
      </c>
      <c r="B2087" s="1" t="s">
        <v>1</v>
      </c>
      <c r="C2087" s="1"/>
    </row>
    <row r="2088" spans="1:3" ht="24" customHeight="1">
      <c r="A2088" s="1" t="str">
        <f ca="1">IFERROR(__xludf.DUMMYFUNCTION("""COMPUTED_VALUE"""),"मेने मेनापि तत्सर्वं पत्युः कार्यमभीप्सितम् । भवन्त्यव्यभिचारिण्यो भर्तुरिष्टे पतिव्रताः॥कुमारसंभवम्६.८६॥")</f>
        <v>मेने मेनापि तत्सर्वं पत्युः कार्यमभीप्सितम् । भवन्त्यव्यभिचारिण्यो भर्तुरिष्टे पतिव्रताः॥कुमारसंभवम्६.८६॥</v>
      </c>
      <c r="B2088" s="1" t="s">
        <v>2</v>
      </c>
      <c r="C2088" s="1"/>
    </row>
    <row r="2089" spans="1:3" ht="24" customHeight="1">
      <c r="A2089" s="1" t="str">
        <f ca="1">IFERROR(__xludf.DUMMYFUNCTION("""COMPUTED_VALUE"""),"इदमत्रोत्तरं न्याय्यमिति बुद्ध्या बिमृश्य सः । आददे वचसामन्ते मङ्गलालंकृतां सुताम्॥कुमारसंभवम्६.८७॥")</f>
        <v>इदमत्रोत्तरं न्याय्यमिति बुद्ध्या बिमृश्य सः । आददे वचसामन्ते मङ्गलालंकृतां सुताम्॥कुमारसंभवम्६.८७॥</v>
      </c>
      <c r="B2089" s="1" t="s">
        <v>2</v>
      </c>
      <c r="C2089" s="1"/>
    </row>
    <row r="2090" spans="1:3" ht="24" customHeight="1">
      <c r="A2090" s="1" t="str">
        <f ca="1">IFERROR(__xludf.DUMMYFUNCTION("""COMPUTED_VALUE"""),"एहि विश्वात्मने वत्से ! भिक्षासि परिकल्पिता । अर्थिनो मुनयः प्राप्तं गृहमेधिफलं मया॥कुमारसंभवम्६.८८॥")</f>
        <v>एहि विश्वात्मने वत्से ! भिक्षासि परिकल्पिता । अर्थिनो मुनयः प्राप्तं गृहमेधिफलं मया॥कुमारसंभवम्६.८८॥</v>
      </c>
      <c r="B2090" s="1" t="s">
        <v>5</v>
      </c>
      <c r="C2090" s="1"/>
    </row>
    <row r="2091" spans="1:3" ht="24" customHeight="1">
      <c r="A2091" s="1" t="str">
        <f ca="1">IFERROR(__xludf.DUMMYFUNCTION("""COMPUTED_VALUE"""),"एतावदुक्त्वा तनयामृषीनाह महीधरः । इयं नमति वः सर्वास्त्रिलोचनवधूरिति॥कुमारसंभवम्६.८९॥")</f>
        <v>एतावदुक्त्वा तनयामृषीनाह महीधरः । इयं नमति वः सर्वास्त्रिलोचनवधूरिति॥कुमारसंभवम्६.८९॥</v>
      </c>
      <c r="B2091" s="1" t="s">
        <v>2</v>
      </c>
      <c r="C2091" s="1"/>
    </row>
    <row r="2092" spans="1:3" ht="24" customHeight="1">
      <c r="A2092" s="1" t="str">
        <f ca="1">IFERROR(__xludf.DUMMYFUNCTION("""COMPUTED_VALUE"""),"ईप्सितार्थक्रियोदारं तेऽभिनन्द्य गिरेर्वचः । आशीर्भिरेधयामासुः पुरःपाकाभिरम्बिकाम्॥कुमारसंभवम्६.९०॥")</f>
        <v>ईप्सितार्थक्रियोदारं तेऽभिनन्द्य गिरेर्वचः । आशीर्भिरेधयामासुः पुरःपाकाभिरम्बिकाम्॥कुमारसंभवम्६.९०॥</v>
      </c>
      <c r="B2092" s="1" t="s">
        <v>19</v>
      </c>
      <c r="C2092" s="1"/>
    </row>
    <row r="2093" spans="1:3" ht="24" customHeight="1">
      <c r="A2093" s="1" t="str">
        <f ca="1">IFERROR(__xludf.DUMMYFUNCTION("""COMPUTED_VALUE"""),"तां प्रणामादरस्रस्तजाम्बूनदवतंसकाम् । अङ्कमारोपयामास लज्जमानामरुन्धती॥कुमारसंभवम्६.९१॥")</f>
        <v>तां प्रणामादरस्रस्तजाम्बूनदवतंसकाम् । अङ्कमारोपयामास लज्जमानामरुन्धती॥कुमारसंभवम्६.९१॥</v>
      </c>
      <c r="B2093" s="1" t="s">
        <v>2</v>
      </c>
      <c r="C2093" s="1"/>
    </row>
    <row r="2094" spans="1:3" ht="24" customHeight="1">
      <c r="A2094" s="1" t="str">
        <f ca="1">IFERROR(__xludf.DUMMYFUNCTION("""COMPUTED_VALUE"""),"तन्मातरं चाश्रुमुखीं दुहितृस्नेहविक्लवाम् । वरस्यानन्यपूर्वस्य विशोकामकरोद् गुणैः॥कुमारसंभवम्६.९२॥")</f>
        <v>तन्मातरं चाश्रुमुखीं दुहितृस्नेहविक्लवाम् । वरस्यानन्यपूर्वस्य विशोकामकरोद् गुणैः॥कुमारसंभवम्६.९२॥</v>
      </c>
      <c r="B2094" s="1" t="s">
        <v>7</v>
      </c>
      <c r="C2094" s="1"/>
    </row>
    <row r="2095" spans="1:3" ht="24" customHeight="1">
      <c r="A2095" s="1" t="str">
        <f ca="1">IFERROR(__xludf.DUMMYFUNCTION("""COMPUTED_VALUE"""),"वैवाहिकीं तिथिं पृष्टास्तत्क्षणं हरबन्धुना। ते त्र्यहादूर्ध्वमाख्याय चेरुश्चीरपरिग्रहाः॥कुमारसंभवम्६.९३॥")</f>
        <v>वैवाहिकीं तिथिं पृष्टास्तत्क्षणं हरबन्धुना। ते त्र्यहादूर्ध्वमाख्याय चेरुश्चीरपरिग्रहाः॥कुमारसंभवम्६.९३॥</v>
      </c>
      <c r="B2095" s="1" t="s">
        <v>24</v>
      </c>
      <c r="C2095" s="1"/>
    </row>
    <row r="2096" spans="1:3" ht="24" customHeight="1">
      <c r="A2096" s="1" t="str">
        <f ca="1">IFERROR(__xludf.DUMMYFUNCTION("""COMPUTED_VALUE"""),"ते हिमालयमामन्त्र्य पुनः प्राप्य च शूलिनम् । सिद्धं चास्मै निवेद्यार्थं तद्विसृष्टाः खमुद्ययुः॥कुमारसंभवम्६.९४॥")</f>
        <v>ते हिमालयमामन्त्र्य पुनः प्राप्य च शूलिनम् । सिद्धं चास्मै निवेद्यार्थं तद्विसृष्टाः खमुद्ययुः॥कुमारसंभवम्६.९४॥</v>
      </c>
      <c r="B2096" s="1" t="s">
        <v>5</v>
      </c>
      <c r="C2096" s="1"/>
    </row>
    <row r="2097" spans="1:3" ht="24" customHeight="1">
      <c r="A2097" s="1" t="str">
        <f ca="1">IFERROR(__xludf.DUMMYFUNCTION("""COMPUTED_VALUE"""),"पशुपतिरपि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भावाः॥कुमारसंभवम्६.९५॥")</f>
        <v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भावाः॥कुमारसंभवम्६.९५॥</v>
      </c>
      <c r="B2097" s="1" t="s">
        <v>4</v>
      </c>
      <c r="C2097" s="1"/>
    </row>
    <row r="2098" spans="1:3" ht="24" customHeight="1">
      <c r="A2098" s="1" t="str">
        <f ca="1">IFERROR(__xludf.DUMMYFUNCTION("""COMPUTED_VALUE"""),"अथोषधीनामधिपस्य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विवाहदीक्षाविधिमन्वतिष्ठत्॥कुमारसंभवम्७.१॥")</f>
        <v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विवाहदीक्षाविधिमन्वतिष्ठत्॥कुमारसंभवम्७.१॥</v>
      </c>
      <c r="B2098" s="1" t="s">
        <v>22</v>
      </c>
      <c r="C2098" s="1"/>
    </row>
    <row r="2099" spans="1:3" ht="24" customHeight="1">
      <c r="A2099" s="1" t="str">
        <f ca="1">IFERROR(__xludf.DUMMYFUNCTION("""COMPUTED_VALUE"""),"वैवाहिकैः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चैककुलोपमेयम्॥कुमारसंभवम्७.२॥")</f>
        <v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चैककुलोपमेयम्॥कुमारसंभवम्७.२॥</v>
      </c>
      <c r="B2099" s="1" t="s">
        <v>5</v>
      </c>
      <c r="C2099" s="1"/>
    </row>
    <row r="2100" spans="1:3" ht="24" customHeight="1">
      <c r="A2100" s="1" t="str">
        <f ca="1">IFERROR(__xludf.DUMMYFUNCTION("""COMPUTED_VALUE"""),"संतानकाकीर्णमहापथं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इवाबभासे॥कुमारसंभवम्७.३॥")</f>
        <v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इवाबभासे॥कुमारसंभवम्७.३॥</v>
      </c>
      <c r="B2100" s="1" t="s">
        <v>18</v>
      </c>
      <c r="C2100" s="1"/>
    </row>
    <row r="2101" spans="1:3" ht="24" customHeight="1">
      <c r="A2101" s="1" t="str">
        <f ca="1">IFERROR(__xludf.DUMMYFUNCTION("""COMPUTED_VALUE"""),"एकैव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बभूव॥कुमारसंभवम्७.४॥")</f>
        <v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बभूव॥कुमारसंभवम्७.४॥</v>
      </c>
      <c r="B2101" s="1" t="s">
        <v>4</v>
      </c>
      <c r="C2101" s="1"/>
    </row>
    <row r="2102" spans="1:3" ht="24" customHeight="1">
      <c r="A2102" s="1" t="str">
        <f ca="1">IFERROR(__xludf.DUMMYFUNCTION("""COMPUTED_VALUE"""),"अङ्काद्ययावङ्कमुदीरिताशीः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जगाम॥कुमारसंभवम्७.५॥")</f>
        <v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जगाम॥कुमारसंभवम्७.५॥</v>
      </c>
      <c r="B2102" s="1" t="s">
        <v>12</v>
      </c>
      <c r="C2102" s="1"/>
    </row>
    <row r="2103" spans="1:3" ht="24" customHeight="1">
      <c r="A2103" s="1" t="str">
        <f ca="1">IFERROR(__xludf.DUMMYFUNCTION("""COMPUTED_VALUE"""),"मैत्रे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पतिपुत्रवत्यः॥कुमारसंभवम्७.६॥")</f>
        <v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पतिपुत्रवत्यः॥कुमारसंभवम्७.६॥</v>
      </c>
      <c r="B2103" s="1" t="s">
        <v>5</v>
      </c>
      <c r="C2103" s="1"/>
    </row>
    <row r="2104" spans="1:3" ht="24" customHeight="1">
      <c r="A2104" s="1" t="str">
        <f ca="1">IFERROR(__xludf.DUMMYFUNCTION("""COMPUTED_VALUE"""),"सा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निर्नाभिकौशेयमुपात्तबाणमभ्यङ्गनेपथ्यमलंचकार॥कुमारसंभवम्७.७॥")</f>
        <v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निर्नाभिकौशेयमुपात्तबाणमभ्यङ्गनेपथ्यमलंचकार॥कुमारसंभवम्७.७॥</v>
      </c>
      <c r="B2104" s="1" t="s">
        <v>0</v>
      </c>
      <c r="C2104" s="1"/>
    </row>
    <row r="2105" spans="1:3" ht="24" customHeight="1">
      <c r="A2105" s="1" t="str">
        <f ca="1">IFERROR(__xludf.DUMMYFUNCTION("""COMPUTED_VALUE"""),"बभौ च संपर्कमुपेत्य बाला नवेव दीक्षाविधिसायकेन । करेण भानोर्बहुलावसाने संधुक्ष्यमाणेव शशाङ्करेखा॥कुमारसंभवम्७.८॥")</f>
        <v>बभौ च संपर्कमुपेत्य बाला नवेव दीक्षाविधिसायकेन । करेण भानोर्बहुलावसाने संधुक्ष्यमाणेव शशाङ्करेखा॥कुमारसंभवम्७.८॥</v>
      </c>
      <c r="B2105" s="1" t="s">
        <v>14</v>
      </c>
      <c r="C2105" s="1"/>
    </row>
    <row r="2106" spans="1:3" ht="24" customHeight="1">
      <c r="A2106" s="1" t="str">
        <f ca="1">IFERROR(__xludf.DUMMYFUNCTION("""COMPUTED_VALUE"""),"तां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व्यनैषुः॥कुमारसंभवम्७.९॥")</f>
        <v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व्यनैषुः॥कुमारसंभवम्७.९॥</v>
      </c>
      <c r="B2106" s="1" t="s">
        <v>13</v>
      </c>
      <c r="C2106" s="1"/>
    </row>
    <row r="2107" spans="1:3" ht="24" customHeight="1">
      <c r="A2107" s="1" t="str">
        <f ca="1">IFERROR(__xludf.DUMMYFUNCTION("""COMPUTED_VALUE"""),"विन्यस्तवैदूर्यशिलातलेऽस्मिन्नाबद्धमुक्ताफलभक्तिचित्रे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स्नपयांबभूवुः॥कुमारसंभवम्७.१०॥")</f>
        <v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स्नपयांबभूवुः॥कुमारसंभवम्७.१०॥</v>
      </c>
      <c r="B2107" s="1" t="s">
        <v>4</v>
      </c>
      <c r="C2107" s="1"/>
    </row>
    <row r="2108" spans="1:3" ht="24" customHeight="1">
      <c r="A2108" s="1" t="str">
        <f ca="1">IFERROR(__xludf.DUMMYFUNCTION("""COMPUTED_VALUE"""),"सा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रेजे॥कुमारसंभवम्७.११॥")</f>
        <v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रेजे॥कुमारसंभवम्७.११॥</v>
      </c>
      <c r="B2108" s="1" t="s">
        <v>3</v>
      </c>
      <c r="C2108" s="1"/>
    </row>
    <row r="2109" spans="1:3" ht="24" customHeight="1">
      <c r="A2109" s="1" t="str">
        <f ca="1">IFERROR(__xludf.DUMMYFUNCTION("""COMPUTED_VALUE"""),"तस्मात्प्रदेशाच्च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कौतुकवेदिमध्यम्॥कुमारसंभवम्७.१२॥")</f>
        <v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कौतुकवेदिमध्यम्॥कुमारसंभवम्७.१२॥</v>
      </c>
      <c r="B2109" s="1" t="s">
        <v>5</v>
      </c>
      <c r="C2109" s="1"/>
    </row>
    <row r="2110" spans="1:3" ht="24" customHeight="1">
      <c r="A2110" s="1" t="str">
        <f ca="1">IFERROR(__xludf.DUMMYFUNCTION("""COMPUTED_VALUE"""),"तां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नार्यः॥कुमारसंभवम्७.१३॥")</f>
        <v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नार्यः॥कुमारसंभवम्७.१३॥</v>
      </c>
      <c r="B2110" s="1" t="s">
        <v>5</v>
      </c>
      <c r="C2110" s="1"/>
    </row>
    <row r="2111" spans="1:3" ht="24" customHeight="1">
      <c r="A2111" s="1" t="str">
        <f ca="1">IFERROR(__xludf.DUMMYFUNCTION("""COMPUTED_VALUE"""),"धूपोष्मणा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पाण्डुमधूकदाम्ना॥कुमारसंभवम्७.१४॥")</f>
        <v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पाण्डुमधूकदाम्ना॥कुमारसंभवम्७.१४॥</v>
      </c>
      <c r="B2111" s="1" t="s">
        <v>1</v>
      </c>
      <c r="C2111" s="1"/>
    </row>
    <row r="2112" spans="1:3" ht="24" customHeight="1">
      <c r="A2112" s="1" t="str">
        <f ca="1">IFERROR(__xludf.DUMMYFUNCTION("""COMPUTED_VALUE"""),"विन्यस्तशुक्लागुरु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तस्थौ॥कुमारसंभवम्७.१५॥")</f>
        <v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तस्थौ॥कुमारसंभवम्७.१५॥</v>
      </c>
      <c r="B2112" s="1" t="s">
        <v>10</v>
      </c>
      <c r="C2112" s="1"/>
    </row>
    <row r="2113" spans="1:3" ht="24" customHeight="1">
      <c r="A2113" s="1" t="str">
        <f ca="1">IFERROR(__xludf.DUMMYFUNCTION("""COMPUTED_VALUE"""),"लग्नद्विरेफं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सादृश्यकथाप्रसङ्गम्॥कुमारसंभवम्७.१६॥")</f>
        <v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सादृश्यकथाप्रसङ्गम्॥कुमारसंभवम्७.१६॥</v>
      </c>
      <c r="B2113" s="1" t="s">
        <v>15</v>
      </c>
      <c r="C2113" s="1"/>
    </row>
    <row r="2114" spans="1:3" ht="24" customHeight="1">
      <c r="A2114" s="1" t="str">
        <f ca="1">IFERROR(__xludf.DUMMYFUNCTION("""COMPUTED_VALUE"""),"कर्णार्पितो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यवप्ररोहः॥कुमारसंभवम्७.१७॥")</f>
        <v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यवप्ररोहः॥कुमारसंभवम्७.१७॥</v>
      </c>
      <c r="B2114" s="1" t="s">
        <v>24</v>
      </c>
      <c r="C2114" s="1"/>
    </row>
    <row r="2115" spans="1:3" ht="24" customHeight="1">
      <c r="A2115" s="1" t="str">
        <f ca="1">IFERROR(__xludf.DUMMYFUNCTION("""COMPUTED_VALUE"""),"रेखाविभक्तः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स्फुरितैरपुष्यदासन्नलावण्यफलोऽधरोष्ठः॥कुमारसंभवम्७.१८॥")</f>
        <v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स्फुरितैरपुष्यदासन्नलावण्यफलोऽधरोष्ठः॥कुमारसंभवम्७.१८॥</v>
      </c>
      <c r="B2115" s="1" t="s">
        <v>22</v>
      </c>
      <c r="C2115" s="1"/>
    </row>
    <row r="2116" spans="1:3" ht="24" customHeight="1">
      <c r="A2116" s="1" t="str">
        <f ca="1">IFERROR(__xludf.DUMMYFUNCTION("""COMPUTED_VALUE"""),"पत्युः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जघान॥कुमारसंभवम्७.१९॥")</f>
        <v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जघान॥कुमारसंभवम्७.१९॥</v>
      </c>
      <c r="B2116" s="1" t="s">
        <v>1</v>
      </c>
      <c r="C2116" s="1"/>
    </row>
    <row r="2117" spans="1:3" ht="24" customHeight="1">
      <c r="A2117" s="1" t="str">
        <f ca="1">IFERROR(__xludf.DUMMYFUNCTION("""COMPUTED_VALUE"""),"तस्याः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मङ्गलमित्युपात्तम्॥कुमारसंभवम्७.२०॥")</f>
        <v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मङ्गलमित्युपात्तम्॥कुमारसंभवम्७.२०॥</v>
      </c>
      <c r="B2117" s="1" t="s">
        <v>2</v>
      </c>
      <c r="C2117" s="1"/>
    </row>
    <row r="2118" spans="1:3" ht="24" customHeight="1">
      <c r="A2118" s="1" t="str">
        <f ca="1">IFERROR(__xludf.DUMMYFUNCTION("""COMPUTED_VALUE"""),"सा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चकासे॥कुमारसंभवम्७.२१॥")</f>
        <v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चकासे॥कुमारसंभवम्७.२१॥</v>
      </c>
      <c r="B2118" s="1" t="s">
        <v>18</v>
      </c>
      <c r="C2118" s="1"/>
    </row>
    <row r="2119" spans="1:3" ht="24" customHeight="1">
      <c r="A2119" s="1" t="str">
        <f ca="1">IFERROR(__xludf.DUMMYFUNCTION("""COMPUTED_VALUE"""),"आत्मानमालोक्य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वेषः॥कुमारसंभवम्७.२२॥")</f>
        <v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वेषः॥कुमारसंभवम्७.२२॥</v>
      </c>
      <c r="B2119" s="1" t="s">
        <v>13</v>
      </c>
      <c r="C2119" s="1"/>
    </row>
    <row r="2120" spans="1:3" ht="24" customHeight="1">
      <c r="A2120" s="1" t="str">
        <f ca="1">IFERROR(__xludf.DUMMYFUNCTION("""COMPUTED_VALUE"""),"अथाङगुलिभ्यां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मुखमुन्नमय्य॥कुमारसंभवम्७.२३॥")</f>
        <v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मुखमुन्नमय्य॥कुमारसंभवम्७.२३॥</v>
      </c>
      <c r="B2120" s="1" t="s">
        <v>5</v>
      </c>
      <c r="C2120" s="1"/>
    </row>
    <row r="2121" spans="1:3" ht="24" customHeight="1">
      <c r="A2121" s="1" t="str">
        <f ca="1">IFERROR(__xludf.DUMMYFUNCTION("""COMPUTED_VALUE"""),"उमास्तनोद्भेदमनुप्रवृद्धो मनोरथो यः प्रथमं बभूव । तमेव मेना दुहितुः कथञ्चिद्विवाहदीक्षातिलकं चकार॥कुमारसंभवम्७.२४॥")</f>
        <v>उमास्तनोद्भेदमनुप्रवृद्धो मनोरथो यः प्रथमं बभूव । तमेव मेना दुहितुः कथञ्चिद्विवाहदीक्षातिलकं चकार॥कुमारसंभवम्७.२४॥</v>
      </c>
      <c r="B2121" s="1" t="s">
        <v>0</v>
      </c>
      <c r="C2121" s="1"/>
    </row>
    <row r="2122" spans="1:3" ht="24" customHeight="1">
      <c r="A2122" s="1" t="str">
        <f ca="1">IFERROR(__xludf.DUMMYFUNCTION("""COMPUTED_VALUE"""),"बबन्ध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कौतुकहस्तसूत्रम्॥कुमारसंभवम्७.२५॥")</f>
        <v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कौतुकहस्तसूत्रम्॥कुमारसंभवम्७.२५॥</v>
      </c>
      <c r="B2122" s="1" t="s">
        <v>0</v>
      </c>
      <c r="C2122" s="1"/>
    </row>
    <row r="2123" spans="1:3" ht="24" customHeight="1">
      <c r="A2123" s="1" t="str">
        <f ca="1">IFERROR(__xludf.DUMMYFUNCTION("""COMPUTED_VALUE"""),"क्षीरोदवेलेव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दर्पणमादधाना॥कुमारसंभवम्७.२६॥")</f>
        <v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दर्पणमादधाना॥कुमारसंभवम्७.२६॥</v>
      </c>
      <c r="B2123" s="1" t="s">
        <v>1</v>
      </c>
      <c r="C2123" s="1"/>
    </row>
    <row r="2124" spans="1:3" ht="24" customHeight="1">
      <c r="A2124" s="1" t="str">
        <f ca="1">IFERROR(__xludf.DUMMYFUNCTION("""COMPUTED_VALUE"""),"तामर्चिताभ्यः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सतीनाम्॥कुमारसंभवम्७.२७॥")</f>
        <v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सतीनाम्॥कुमारसंभवम्७.२७॥</v>
      </c>
      <c r="B2124" s="1" t="s">
        <v>1</v>
      </c>
      <c r="C2124" s="1"/>
    </row>
    <row r="2125" spans="1:3" ht="24" customHeight="1">
      <c r="A2125" s="1" t="str">
        <f ca="1">IFERROR(__xludf.DUMMYFUNCTION("""COMPUTED_VALUE"""),"अखण्डितं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स्निग्धजनाशिषोऽपि॥कुमारसंभवम्७.२८॥")</f>
        <v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स्निग्धजनाशिषोऽपि॥कुमारसंभवम्७.२८॥</v>
      </c>
      <c r="B2125" s="1" t="s">
        <v>9</v>
      </c>
      <c r="C2125" s="1"/>
    </row>
    <row r="2126" spans="1:3" ht="24" customHeight="1">
      <c r="A2126" s="1" t="str">
        <f ca="1">IFERROR(__xludf.DUMMYFUNCTION("""COMPUTED_VALUE"""),"इच्छाविभूत्योरनुरुपमद्रिस्तस्याः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वृषाङ्कागमनप्रतीक्षः॥कुमारसंभवम्७.२९॥")</f>
        <v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वृषाङ्कागमनप्रतीक्षः॥कुमारसंभवम्७.२९॥</v>
      </c>
      <c r="B2126" s="1" t="s">
        <v>13</v>
      </c>
      <c r="C2126" s="1"/>
    </row>
    <row r="2127" spans="1:3" ht="24" customHeight="1">
      <c r="A2127" s="1" t="str">
        <f ca="1">IFERROR(__xludf.DUMMYFUNCTION("""COMPUTED_VALUE"""),"तावद्भवस्यापि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पुरस्तात्पुरशासनस्य॥कुमारसंभवम्७.३०॥")</f>
        <v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पुरस्तात्पुरशासनस्य॥कुमारसंभवम्७.३०॥</v>
      </c>
      <c r="B2127" s="1" t="s">
        <v>5</v>
      </c>
      <c r="C2127" s="1"/>
    </row>
    <row r="2128" spans="1:3" ht="24" customHeight="1">
      <c r="A2128" s="1" t="str">
        <f ca="1">IFERROR(__xludf.DUMMYFUNCTION("""COMPUTED_VALUE"""),"तद्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प्रपेदे॥कुमारसंभवम्७.३१॥")</f>
        <v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प्रपेदे॥कुमारसंभवम्७.३१॥</v>
      </c>
      <c r="B2128" s="1" t="s">
        <v>17</v>
      </c>
      <c r="C2128" s="1"/>
    </row>
    <row r="2129" spans="1:3" ht="24" customHeight="1">
      <c r="A2129" s="1" t="str">
        <f ca="1">IFERROR(__xludf.DUMMYFUNCTION("""COMPUTED_VALUE"""),"बभूव भस्मैव सिताङ्गरागः, कपालमेवामलशेखरश्रीः। उपान्तभागेषु च रोचनाङ्को गजाजिनस्यैव दुकूलभावः॥कुमारसंभवम्७.३२॥")</f>
        <v>बभूव भस्मैव सिताङ्गरागः, कपालमेवामलशेखरश्रीः। उपान्तभागेषु च रोचनाङ्को गजाजिनस्यैव दुकूलभावः॥कुमारसंभवम्७.३२॥</v>
      </c>
      <c r="B2129" s="1" t="s">
        <v>4</v>
      </c>
      <c r="C2129" s="1"/>
    </row>
    <row r="2130" spans="1:3" ht="24" customHeight="1">
      <c r="A2130" s="1" t="str">
        <f ca="1">IFERROR(__xludf.DUMMYFUNCTION("""COMPUTED_VALUE"""),"शङ्खान्तरद्योति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तिलकक्रियायाः॥कुमारसंभवम्७.३३॥")</f>
        <v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तिलकक्रियायाः॥कुमारसंभवम्७.३३॥</v>
      </c>
      <c r="B2130" s="1" t="s">
        <v>5</v>
      </c>
      <c r="C2130" s="1"/>
    </row>
    <row r="2131" spans="1:3" ht="24" customHeight="1">
      <c r="A2131" s="1" t="str">
        <f ca="1">IFERROR(__xludf.DUMMYFUNCTION("""COMPUTED_VALUE"""),"यथाप्रदेशं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फणरत्नशोभाः॥कुमारसंभवम्७.३४॥")</f>
        <v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फणरत्नशोभाः॥कुमारसंभवम्७.३४॥</v>
      </c>
      <c r="B2131" s="1" t="s">
        <v>6</v>
      </c>
      <c r="C2131" s="1"/>
    </row>
    <row r="2132" spans="1:3" ht="24" customHeight="1">
      <c r="A2132" s="1" t="str">
        <f ca="1">IFERROR(__xludf.DUMMYFUNCTION("""COMPUTED_VALUE"""),"दिवापि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?॥कुमारसंभवम्७.३५॥")</f>
        <v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?॥कुमारसंभवम्७.३५॥</v>
      </c>
      <c r="B2132" s="1" t="s">
        <v>5</v>
      </c>
      <c r="C2132" s="1"/>
    </row>
    <row r="2133" spans="1:3" ht="24" customHeight="1">
      <c r="A2133" s="1" t="str">
        <f ca="1">IFERROR(__xludf.DUMMYFUNCTION("""COMPUTED_VALUE"""),"इत्यद्भुतैकप्रभवः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ददर्श॥कुमारसंभवम्७.३६॥")</f>
        <v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ददर्श॥कुमारसंभवम्७.३६॥</v>
      </c>
      <c r="B2133" s="1" t="s">
        <v>8</v>
      </c>
      <c r="C2133" s="1"/>
    </row>
    <row r="2134" spans="1:3" ht="24" customHeight="1">
      <c r="A2134" s="1" t="str">
        <f ca="1">IFERROR(__xludf.DUMMYFUNCTION("""COMPUTED_VALUE"""),"स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प्रतस्थे॥कुमारसंभवम्७.३७॥")</f>
        <v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प्रतस्थे॥कुमारसंभवम्७.३७॥</v>
      </c>
      <c r="B2134" s="1" t="s">
        <v>10</v>
      </c>
      <c r="C2134" s="1"/>
    </row>
    <row r="2135" spans="1:3" ht="24" customHeight="1">
      <c r="A2135" s="1" t="str">
        <f ca="1">IFERROR(__xludf.DUMMYFUNCTION("""COMPUTED_VALUE"""),"तं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चक्रुरिवान्तरीक्षम्॥कुमारसंभवम्७.३८॥")</f>
        <v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चक्रुरिवान्तरीक्षम्॥कुमारसंभवम्७.३८॥</v>
      </c>
      <c r="B2135" s="1" t="s">
        <v>13</v>
      </c>
      <c r="C2135" s="1"/>
    </row>
    <row r="2136" spans="1:3" ht="24" customHeight="1">
      <c r="A2136" s="1" t="str">
        <f ca="1">IFERROR(__xludf.DUMMYFUNCTION("""COMPUTED_VALUE"""),"तासां च पश्चात्कनकप्रभाणां काली कपालाभरणा चकासे । बलाकिनी नीलपयोदराजी दूरं पुरःक्षिप्तशातह्रदेव॥कुमारसंभवम्७.३९॥")</f>
        <v>तासां च पश्चात्कनकप्रभाणां काली कपालाभरणा चकासे । बलाकिनी नीलपयोदराजी दूरं पुरःक्षिप्तशातह्रदेव॥कुमारसंभवम्७.३९॥</v>
      </c>
      <c r="B2136" s="1" t="s">
        <v>4</v>
      </c>
      <c r="C2136" s="1"/>
    </row>
    <row r="2137" spans="1:3" ht="24" customHeight="1">
      <c r="A2137" s="1" t="str">
        <f ca="1">IFERROR(__xludf.DUMMYFUNCTION("""COMPUTED_VALUE"""),"ततो गणैः शूलभृतः पुरोगैरुदीरितो मङ्गलतूर्यघोषः। विमानश्रृङ्गाण्यवगाहमानः शशंस सेवावसरं सुरेभ्यः॥कुमारसंभवम्७.४०॥")</f>
        <v>ततो गणैः शूलभृतः पुरोगैरुदीरितो मङ्गलतूर्यघोषः। विमानश्रृङ्गाण्यवगाहमानः शशंस सेवावसरं सुरेभ्यः॥कुमारसंभवम्७.४०॥</v>
      </c>
      <c r="B2137" s="1" t="s">
        <v>5</v>
      </c>
      <c r="C2137" s="1"/>
    </row>
    <row r="2138" spans="1:3" ht="24" customHeight="1">
      <c r="A2138" s="1" t="str">
        <f ca="1">IFERROR(__xludf.DUMMYFUNCTION("""COMPUTED_VALUE"""),"उपाददे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इवोत्तमाङ्गे॥कुमारसंभवम्७.४१॥")</f>
        <v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इवोत्तमाङ्गे॥कुमारसंभवम्७.४१॥</v>
      </c>
      <c r="B2138" s="1" t="s">
        <v>15</v>
      </c>
      <c r="C2138" s="1"/>
    </row>
    <row r="2139" spans="1:3" ht="24" customHeight="1">
      <c r="A2139" s="1" t="str">
        <f ca="1">IFERROR(__xludf.DUMMYFUNCTION("""COMPUTED_VALUE"""),"मूर्ते च गङ्गायमुने तदानीं सचामरे देवमसेविषाताम् । समुद्रगारूपविर्ययेऽपि सहंसपाते इव लक्ष्यमाणे॥कुमारसंभवम्७.४२॥")</f>
        <v>मूर्ते च गङ्गायमुने तदानीं सचामरे देवमसेविषाताम् । समुद्रगारूपविर्ययेऽपि सहंसपाते इव लक्ष्यमाणे॥कुमारसंभवम्७.४२॥</v>
      </c>
      <c r="B2139" s="1" t="s">
        <v>7</v>
      </c>
      <c r="C2139" s="1"/>
    </row>
    <row r="2140" spans="1:3" ht="24" customHeight="1">
      <c r="A2140" s="1" t="str">
        <f ca="1">IFERROR(__xludf.DUMMYFUNCTION("""COMPUTED_VALUE"""),"तमभ्यगच्छत्प्रथमो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वह्निम्॥कुमारसंभवम्७.४३॥")</f>
        <v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वह्निम्॥कुमारसंभवम्७.४३॥</v>
      </c>
      <c r="B2140" s="1" t="s">
        <v>1</v>
      </c>
      <c r="C2140" s="1"/>
    </row>
    <row r="2141" spans="1:3" ht="24" customHeight="1">
      <c r="A2141" s="1" t="str">
        <f ca="1">IFERROR(__xludf.DUMMYFUNCTION("""COMPUTED_VALUE"""),"एकैव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धातुराद्यौ॥कुमारसंभवम्७.४४॥")</f>
        <v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धातुराद्यौ॥कुमारसंभवम्७.४४॥</v>
      </c>
      <c r="B2141" s="1" t="s">
        <v>5</v>
      </c>
      <c r="C2141" s="1"/>
    </row>
    <row r="2142" spans="1:3" ht="24" customHeight="1">
      <c r="A2142" s="1" t="str">
        <f ca="1">IFERROR(__xludf.DUMMYFUNCTION("""COMPUTED_VALUE"""),"तं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प्रणेमुः॥कुमारसंभवम्७.४५॥")</f>
        <v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प्रणेमुः॥कुमारसंभवम्७.४५॥</v>
      </c>
      <c r="B2142" s="1" t="s">
        <v>12</v>
      </c>
      <c r="C2142" s="1"/>
    </row>
    <row r="2143" spans="1:3" ht="24" customHeight="1">
      <c r="A2143" s="1" t="str">
        <f ca="1">IFERROR(__xludf.DUMMYFUNCTION("""COMPUTED_VALUE"""),"कम्पेन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यथाप्रधानम्॥कुमारसंभवम्७.४६॥")</f>
        <v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यथाप्रधानम्॥कुमारसंभवम्७.४६॥</v>
      </c>
      <c r="B2143" s="1" t="s">
        <v>1</v>
      </c>
      <c r="C2143" s="1"/>
    </row>
    <row r="2144" spans="1:3" ht="24" customHeight="1">
      <c r="A2144" s="1" t="str">
        <f ca="1">IFERROR(__xludf.DUMMYFUNCTION("""COMPUTED_VALUE"""),"तस्मै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मयेति॥कुमारसंभवम्७.४७॥")</f>
        <v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मयेति॥कुमारसंभवम्७.४७॥</v>
      </c>
      <c r="B2144" s="1" t="s">
        <v>2</v>
      </c>
      <c r="C2144" s="1"/>
    </row>
    <row r="2145" spans="1:3" ht="24" customHeight="1">
      <c r="A2145" s="1" t="str">
        <f ca="1">IFERROR(__xludf.DUMMYFUNCTION("""COMPUTED_VALUE"""),"विश्वावसुप्राग्रहरैः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ताराधिपखण्डधारी॥कुमारसंभवम्७.४८॥")</f>
        <v>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ताराधिपखण्डधारी॥कुमारसंभवम्७.४८॥</v>
      </c>
      <c r="B2145" s="1" t="s">
        <v>0</v>
      </c>
      <c r="C2145" s="1"/>
    </row>
    <row r="2146" spans="1:3" ht="24" customHeight="1">
      <c r="A2146" s="1" t="str">
        <f ca="1">IFERROR(__xludf.DUMMYFUNCTION("""COMPUTED_VALUE"""),"खे खेलगामी तमुवाह वाहः सशब्दचामीकरकिङ्किणीकः। तटाभिघातादिव लग्नपङ्के धुन्वन्मुहुः प्रोतघने विषाणे॥कुमारसंभवम्७.४९॥")</f>
        <v>खे खेलगामी तमुवाह वाहः सशब्दचामीकरकिङ्किणीकः। तटाभिघातादिव लग्नपङ्के धुन्वन्मुहुः प्रोतघने विषाणे॥कुमारसंभवम्७.४९॥</v>
      </c>
      <c r="B2146" s="1" t="s">
        <v>7</v>
      </c>
      <c r="C2146" s="1"/>
    </row>
    <row r="2147" spans="1:3" ht="24" customHeight="1">
      <c r="A2147" s="1" t="str">
        <f ca="1">IFERROR(__xludf.DUMMYFUNCTION("""COMPUTED_VALUE"""),"स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कृष्यमाणः॥कुमारसंभवम्७.५०॥")</f>
        <v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कृष्यमाणः॥कुमारसंभवम्७.५०॥</v>
      </c>
      <c r="B2147" s="1" t="s">
        <v>7</v>
      </c>
      <c r="C2147" s="1"/>
    </row>
    <row r="2148" spans="1:3" ht="24" customHeight="1">
      <c r="A2148" s="1" t="str">
        <f ca="1">IFERROR(__xludf.DUMMYFUNCTION("""COMPUTED_VALUE"""),"तस्योपकण्ठे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देवः॥कुमारसंभवम्७.५१॥")</f>
        <v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देवः॥कुमारसंभवम्७.५१॥</v>
      </c>
      <c r="B2148" s="1" t="s">
        <v>4</v>
      </c>
      <c r="C2148" s="1"/>
    </row>
    <row r="2149" spans="1:3" ht="24" customHeight="1">
      <c r="A2149" s="1" t="str">
        <f ca="1">IFERROR(__xludf.DUMMYFUNCTION("""COMPUTED_VALUE"""),"तमृद्धिमद्वन्धुजनाधिरुढैर्वृन्दैर्गजानां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स्वैः॥कुमारसंभवम्७.५२॥")</f>
        <v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स्वैः॥कुमारसंभवम्७.५२॥</v>
      </c>
      <c r="B2149" s="1" t="s">
        <v>4</v>
      </c>
      <c r="C2149" s="1"/>
    </row>
    <row r="2150" spans="1:3" ht="24" customHeight="1">
      <c r="A2150" s="1" t="str">
        <f ca="1">IFERROR(__xludf.DUMMYFUNCTION("""COMPUTED_VALUE"""),"वर्गावुभौ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पयसामिवौघौ॥कुमारसंभवम्७.५३॥")</f>
        <v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पयसामिवौघौ॥कुमारसंभवम्७.५३॥</v>
      </c>
      <c r="B2150" s="1" t="s">
        <v>28</v>
      </c>
      <c r="C2150" s="1"/>
    </row>
    <row r="2151" spans="1:3" ht="24" customHeight="1">
      <c r="A2151" s="1" t="str">
        <f ca="1">IFERROR(__xludf.DUMMYFUNCTION("""COMPUTED_VALUE"""),"ह्रीमानभूद्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विवेद॥कुमारसंभवम्७.५४॥")</f>
        <v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विवेद॥कुमारसंभवम्७.५४॥</v>
      </c>
      <c r="B2151" s="1" t="s">
        <v>17</v>
      </c>
      <c r="C2151" s="1"/>
    </row>
    <row r="2152" spans="1:3" ht="24" customHeight="1">
      <c r="A2152" s="1" t="str">
        <f ca="1">IFERROR(__xludf.DUMMYFUNCTION("""COMPUTED_VALUE"""),"स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मागुल्फकीर्णापणमार्गपुष्पम्॥कुमारसंभवम्७.५५॥")</f>
        <v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मागुल्फकीर्णापणमार्गपुष्पम्॥कुमारसंभवम्७.५५॥</v>
      </c>
      <c r="B2152" s="1" t="s">
        <v>9</v>
      </c>
      <c r="C2152" s="1"/>
    </row>
    <row r="2153" spans="1:3" ht="24" customHeight="1">
      <c r="A2153" s="1" t="str">
        <f ca="1">IFERROR(__xludf.DUMMYFUNCTION("""COMPUTED_VALUE"""),"तस्मिन्मुहूर्ते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विचेष्टितानि॥कुमारसंभवम्७.५६॥")</f>
        <v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विचेष्टितानि॥कुमारसंभवम्७.५६॥</v>
      </c>
      <c r="B2153" s="1" t="s">
        <v>1</v>
      </c>
      <c r="C2153" s="1"/>
    </row>
    <row r="2154" spans="1:3" ht="24" customHeight="1">
      <c r="A2154" s="1" t="str">
        <f ca="1">IFERROR(__xludf.DUMMYFUNCTION("""COMPUTED_VALUE"""),"आलोकमार्गं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केशपाशः॥कुमारसंभवम्७.५७॥")</f>
        <v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केशपाशः॥कुमारसंभवम्७.५७॥</v>
      </c>
      <c r="B2154" s="1" t="s">
        <v>8</v>
      </c>
      <c r="C2154" s="1"/>
    </row>
    <row r="2155" spans="1:3" ht="24" customHeight="1">
      <c r="A2155" s="1" t="str">
        <f ca="1">IFERROR(__xludf.DUMMYFUNCTION("""COMPUTED_VALUE"""),"प्रसाधिकालम्बितमग्रपादमाक्षिप्य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ततान॥कुमारसंभवम्७.५८॥")</f>
        <v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ततान॥कुमारसंभवम्७.५८॥</v>
      </c>
      <c r="B2155" s="1" t="s">
        <v>1</v>
      </c>
      <c r="C2155" s="1"/>
    </row>
    <row r="2156" spans="1:3" ht="24" customHeight="1">
      <c r="A2156" s="1" t="str">
        <f ca="1">IFERROR(__xludf.DUMMYFUNCTION("""COMPUTED_VALUE"""),"विलोचनं दक्षिणमञ्जनेन संभाव्य तद्वञ्चितवामनेत्रा । तथैव वातायनसंनिकर्षं ययौ शलाकामपरा वहन्ती॥कुमारसंभवम्७.५९॥")</f>
        <v>विलोचनं दक्षिणमञ्जनेन संभाव्य तद्वञ्चितवामनेत्रा । तथैव वातायनसंनिकर्षं ययौ शलाकामपरा वहन्ती॥कुमारसंभवम्७.५९॥</v>
      </c>
      <c r="B2156" s="1" t="s">
        <v>2</v>
      </c>
      <c r="C2156" s="1"/>
    </row>
    <row r="2157" spans="1:3" ht="24" customHeight="1">
      <c r="A2157" s="1" t="str">
        <f ca="1">IFERROR(__xludf.DUMMYFUNCTION("""COMPUTED_VALUE"""),"जालान्तरप्रेषितदृष्टिरन्या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वासः॥कुमारसंभवम्७.६०॥")</f>
        <v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वासः॥कुमारसंभवम्७.६०॥</v>
      </c>
      <c r="B2157" s="1" t="s">
        <v>18</v>
      </c>
      <c r="C2157" s="1"/>
    </row>
    <row r="2158" spans="1:3" ht="24" customHeight="1">
      <c r="A2158" s="1" t="str">
        <f ca="1">IFERROR(__xludf.DUMMYFUNCTION("""COMPUTED_VALUE"""),"अर्धाचिता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तदानीमङ्गुष्ठमूलार्पितसूत्रशेषा॥कुमारसंभवम्७.६१॥")</f>
        <v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तदानीमङ्गुष्ठमूलार्पितसूत्रशेषा॥कुमारसंभवम्७.६१॥</v>
      </c>
      <c r="B2158" s="1" t="s">
        <v>13</v>
      </c>
      <c r="C2158" s="1"/>
    </row>
    <row r="2159" spans="1:3" ht="24" customHeight="1">
      <c r="A2159" s="1" t="str">
        <f ca="1">IFERROR(__xludf.DUMMYFUNCTION("""COMPUTED_VALUE"""),"तासां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इवासन्॥कुमारसंभवम्७.६२॥")</f>
        <v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इवासन्॥कुमारसंभवम्७.६२॥</v>
      </c>
      <c r="B2159" s="1" t="s">
        <v>18</v>
      </c>
      <c r="C2159" s="1"/>
    </row>
    <row r="2160" spans="1:3" ht="24" customHeight="1">
      <c r="A2160" s="1" t="str">
        <f ca="1">IFERROR(__xludf.DUMMYFUNCTION("""COMPUTED_VALUE"""),"तावत्पताकाकुलमिन्दुमौलिरुत्तोरणं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कुर्वञ्ज्योत्स्नाभिषेकद्विगुणद्युतीनि॥कुमारसंभवम्७.६३॥")</f>
        <v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कुर्वञ्ज्योत्स्नाभिषेकद्विगुणद्युतीनि॥कुमारसंभवम्७.६३॥</v>
      </c>
      <c r="B2160" s="1" t="s">
        <v>1</v>
      </c>
      <c r="C2160" s="1"/>
    </row>
    <row r="2161" spans="1:3" ht="24" customHeight="1">
      <c r="A2161" s="1" t="str">
        <f ca="1">IFERROR(__xludf.DUMMYFUNCTION("""COMPUTED_VALUE"""),"तमेकदृश्यं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प्रविष्टा॥कुमारसंभवम्७.६४॥")</f>
        <v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प्रविष्टा॥कुमारसंभवम्७.६४॥</v>
      </c>
      <c r="B2161" s="1" t="s">
        <v>23</v>
      </c>
      <c r="C2161" s="1"/>
    </row>
    <row r="2162" spans="1:3" ht="24" customHeight="1">
      <c r="A2162" s="1" t="str">
        <f ca="1">IFERROR(__xludf.DUMMYFUNCTION("""COMPUTED_VALUE"""),"स्थाने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किमुताङ्कशय्याम्॥कुमारसंभवम्७.६५॥")</f>
        <v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किमुताङ्कशय्याम्॥कुमारसंभवम्७.६५॥</v>
      </c>
      <c r="B2162" s="1" t="s">
        <v>5</v>
      </c>
      <c r="C2162" s="1"/>
    </row>
    <row r="2163" spans="1:3" ht="24" customHeight="1">
      <c r="A2163" s="1" t="str">
        <f ca="1">IFERROR(__xludf.DUMMYFUNCTION("""COMPUTED_VALUE"""),"परस्परेण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विफलोऽभविष्यत्॥कुमारसंभवम्७.६६॥")</f>
        <v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विफलोऽभविष्यत्॥कुमारसंभवम्७.६६॥</v>
      </c>
      <c r="B2163" s="1" t="s">
        <v>5</v>
      </c>
      <c r="C2163" s="1"/>
    </row>
    <row r="2164" spans="1:3" ht="24" customHeight="1">
      <c r="A2164" s="1" t="str">
        <f ca="1">IFERROR(__xludf.DUMMYFUNCTION("""COMPUTED_VALUE"""),"न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कामः॥कुमारसंभवम्७.६७॥")</f>
        <v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कामः॥कुमारसंभवम्७.६७॥</v>
      </c>
      <c r="B2164" s="1" t="s">
        <v>12</v>
      </c>
      <c r="C2164" s="1"/>
    </row>
    <row r="2165" spans="1:3" ht="24" customHeight="1">
      <c r="A2165" s="1" t="str">
        <f ca="1">IFERROR(__xludf.DUMMYFUNCTION("""COMPUTED_VALUE"""),"अनेन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शैलराजः॥कुमारसंभवम्७.६८॥")</f>
        <v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शैलराजः॥कुमारसंभवम्७.६८॥</v>
      </c>
      <c r="B2165" s="1" t="s">
        <v>3</v>
      </c>
      <c r="C2165" s="1"/>
    </row>
    <row r="2166" spans="1:3" ht="24" customHeight="1">
      <c r="A2166" s="1" t="str">
        <f ca="1">IFERROR(__xludf.DUMMYFUNCTION("""COMPUTED_VALUE"""),"इत्योषधिप्रस्थविलासिनीनां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हिमालयस्यालयमाससाद॥कुमारसंभवम्७.६९॥")</f>
        <v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हिमालयस्यालयमाससाद॥कुमारसंभवम्७.६९॥</v>
      </c>
      <c r="B2166" s="1" t="s">
        <v>17</v>
      </c>
      <c r="C2166" s="1"/>
    </row>
    <row r="2167" spans="1:3" ht="24" customHeight="1">
      <c r="A2167" s="1" t="str">
        <f ca="1">IFERROR(__xludf.DUMMYFUNCTION("""COMPUTED_VALUE"""),"तत्रावतीर्याच्युतदत्तहस्तः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कक्ष्यान्तराण्यद्रिपतेर्विवेश॥कुमारसंभवम्७.७०॥")</f>
        <v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कक्ष्यान्तराण्यद्रिपतेर्विवेश॥कुमारसंभवम्७.७०॥</v>
      </c>
      <c r="B2167" s="1" t="s">
        <v>8</v>
      </c>
      <c r="C2167" s="1"/>
    </row>
    <row r="2168" spans="1:3" ht="24" customHeight="1">
      <c r="A2168" s="1" t="str">
        <f ca="1">IFERROR(__xludf.DUMMYFUNCTION("""COMPUTED_VALUE"""),"तमन्वगिन्द्रप्रमुखाश्च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गिर्यालयमभ्यगच्छन्प्रशस्तमारम्भमिवोत्तमार्थाः॥कुमारसंभवम्७.७१॥")</f>
        <v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गिर्यालयमभ्यगच्छन्प्रशस्तमारम्भमिवोत्तमार्थाः॥कुमारसंभवम्७.७१॥</v>
      </c>
      <c r="B2168" s="1" t="s">
        <v>10</v>
      </c>
      <c r="C2168" s="1"/>
    </row>
    <row r="2169" spans="1:3" ht="24" customHeight="1">
      <c r="A2169" s="1" t="str">
        <f ca="1">IFERROR(__xludf.DUMMYFUNCTION("""COMPUTED_VALUE"""),"तत्रेश्वरो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प्रत्यग्रहीत्सर्वममन्त्रवर्जम्॥कुमारसंभवम्७.७२॥")</f>
        <v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प्रत्यग्रहीत्सर्वममन्त्रवर्जम्॥कुमारसंभवम्७.७२॥</v>
      </c>
      <c r="B2169" s="1" t="s">
        <v>3</v>
      </c>
      <c r="C2169" s="1"/>
    </row>
    <row r="2170" spans="1:3" ht="24" customHeight="1">
      <c r="A2170" s="1" t="str">
        <f ca="1">IFERROR(__xludf.DUMMYFUNCTION("""COMPUTED_VALUE"""),"दुकूलवासाः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चन्द्रपादैः॥कुमारसंभवम्७.७३॥")</f>
        <v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चन्द्रपादैः॥कुमारसंभवम्७.७३॥</v>
      </c>
      <c r="B2170" s="1" t="s">
        <v>17</v>
      </c>
      <c r="C2170" s="1"/>
    </row>
    <row r="2171" spans="1:3" ht="24" customHeight="1">
      <c r="A2171" s="1" t="str">
        <f ca="1">IFERROR(__xludf.DUMMYFUNCTION("""COMPUTED_VALUE"""),"तया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लोकः॥कुमारसंभवम्७.७४॥")</f>
        <v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लोकः॥कुमारसंभवम्७.७४॥</v>
      </c>
      <c r="B2171" s="1" t="s">
        <v>19</v>
      </c>
      <c r="C2171" s="1"/>
    </row>
    <row r="2172" spans="1:3" ht="24" customHeight="1">
      <c r="A2172" s="1" t="str">
        <f ca="1">IFERROR(__xludf.DUMMYFUNCTION("""COMPUTED_VALUE"""),"तयोः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विलोचनानि॥कुमारसंभवम्७.७५॥")</f>
        <v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विलोचनानि॥कुमारसंभवम्७.७५॥</v>
      </c>
      <c r="B2172" s="1" t="s">
        <v>1</v>
      </c>
      <c r="C2172" s="1"/>
    </row>
    <row r="2173" spans="1:3" ht="24" customHeight="1">
      <c r="A2173" s="1" t="str">
        <f ca="1">IFERROR(__xludf.DUMMYFUNCTION("""COMPUTED_VALUE"""),"तस्याः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प्ररोहम्॥कुमारसंभवम्७.७६॥")</f>
        <v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प्ररोहम्॥कुमारसंभवम्७.७६॥</v>
      </c>
      <c r="B2173" s="1" t="s">
        <v>24</v>
      </c>
      <c r="C2173" s="1"/>
    </row>
    <row r="2174" spans="1:3" ht="24" customHeight="1">
      <c r="A2174" s="1" t="str">
        <f ca="1">IFERROR(__xludf.DUMMYFUNCTION("""COMPUTED_VALUE"""),"रोमोद्गमः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मनोभवस्य॥कुमारसंभवम्७.७७॥")</f>
        <v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मनोभवस्य॥कुमारसंभवम्७.७७॥</v>
      </c>
      <c r="B2174" s="1" t="s">
        <v>5</v>
      </c>
      <c r="C2174" s="1"/>
    </row>
    <row r="2175" spans="1:3" ht="24" customHeight="1">
      <c r="A2175" s="1" t="str">
        <f ca="1">IFERROR(__xludf.DUMMYFUNCTION("""COMPUTED_VALUE"""),"प्रयुक्तपाणिग्रहणं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?॥कुमारसंभवम्७.७८॥")</f>
        <v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?॥कुमारसंभवम्७.७८॥</v>
      </c>
      <c r="B2175" s="1" t="s">
        <v>5</v>
      </c>
      <c r="C2175" s="1"/>
    </row>
    <row r="2176" spans="1:3" ht="24" customHeight="1">
      <c r="A2176" s="1" t="str">
        <f ca="1">IFERROR(__xludf.DUMMYFUNCTION("""COMPUTED_VALUE"""),"प्रदक्षिणप्रक्रमणात्कृशानोरुदर्चिषस्तन्मिथुनं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वर्तमानमन्योन्संसक्तमहस्त्रियामम्॥कुमारसंभवम्७.७९॥")</f>
        <v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वर्तमानमन्योन्संसक्तमहस्त्रियामम्॥कुमारसंभवम्७.७९॥</v>
      </c>
      <c r="B2176" s="1" t="s">
        <v>4</v>
      </c>
      <c r="C2176" s="1"/>
    </row>
    <row r="2177" spans="1:3" ht="24" customHeight="1">
      <c r="A2177" s="1" t="str">
        <f ca="1">IFERROR(__xludf.DUMMYFUNCTION("""COMPUTED_VALUE"""),"तौ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लाजमोक्षम्॥कुमारसंभवम्७.८०॥")</f>
        <v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लाजमोक्षम्॥कुमारसंभवम्७.८०॥</v>
      </c>
      <c r="B2177" s="1" t="s">
        <v>13</v>
      </c>
      <c r="C2177" s="1"/>
    </row>
    <row r="2178" spans="1:3" ht="24" customHeight="1">
      <c r="A2178" s="1" t="str">
        <f ca="1">IFERROR(__xludf.DUMMYFUNCTION("""COMPUTED_VALUE"""),"सा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प्रपेदे॥कुमारसंभवम्७.८१॥")</f>
        <v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प्रपेदे॥कुमारसंभवम्७.८१॥</v>
      </c>
      <c r="B2178" s="1" t="s">
        <v>17</v>
      </c>
      <c r="C2178" s="1"/>
    </row>
    <row r="2179" spans="1:3" ht="24" customHeight="1">
      <c r="A2179" s="1" t="str">
        <f ca="1">IFERROR(__xludf.DUMMYFUNCTION("""COMPUTED_VALUE"""),"तदीषदार्द्रारुणगण्डलेखमुच्छासिकालाञ्जनरागमक्ष्णोः। वधूमुखं क्लान्तयवावतंसमाचारधूपग्रहणाद्बभूव॥कुमारसंभवम्७.८२॥")</f>
        <v>तदीषदार्द्रारुणगण्डलेखमुच्छासिकालाञ्जनरागमक्ष्णोः। वधूमुखं क्लान्तयवावतंसमाचारधूपग्रहणाद्बभूव॥कुमारसंभवम्७.८२॥</v>
      </c>
      <c r="B2179" s="1" t="s">
        <v>4</v>
      </c>
      <c r="C2179" s="1"/>
    </row>
    <row r="2180" spans="1:3" ht="24" customHeight="1">
      <c r="A2180" s="1" t="str">
        <f ca="1">IFERROR(__xludf.DUMMYFUNCTION("""COMPUTED_VALUE"""),"वधूं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मुक्तविचारयेति॥कुमारसंभवम्७.८३॥")</f>
        <v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मुक्तविचारयेति॥कुमारसंभवम्७.८३॥</v>
      </c>
      <c r="B2180" s="1" t="s">
        <v>2</v>
      </c>
      <c r="C2180" s="1"/>
    </row>
    <row r="2181" spans="1:3" ht="24" customHeight="1">
      <c r="A2181" s="1" t="str">
        <f ca="1">IFERROR(__xludf.DUMMYFUNCTION("""COMPUTED_VALUE"""),"आलोचनान्तं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पृथिव्या॥कुमारसंभवम्७.८४॥")</f>
        <v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पृथिव्या॥कुमारसंभवम्७.८४॥</v>
      </c>
      <c r="B2181" s="1" t="s">
        <v>5</v>
      </c>
      <c r="C2181" s="1"/>
    </row>
    <row r="2182" spans="1:3" ht="24" customHeight="1">
      <c r="A2182" s="1" t="str">
        <f ca="1">IFERROR(__xludf.DUMMYFUNCTION("""COMPUTED_VALUE"""),"ध्रुवेण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कथमप्युवाच॥कुमारसंभवम्७.८५॥")</f>
        <v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कथमप्युवाच॥कुमारसंभवम्७.८५॥</v>
      </c>
      <c r="B2182" s="1" t="s">
        <v>16</v>
      </c>
      <c r="C2182" s="1"/>
    </row>
    <row r="2183" spans="1:3" ht="24" customHeight="1">
      <c r="A2183" s="1" t="str">
        <f ca="1">IFERROR(__xludf.DUMMYFUNCTION("""COMPUTED_VALUE"""),"इत्थं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पितामहाय॥कुमारसंभवम्७.८६॥")</f>
        <v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पितामहाय॥कुमारसंभवम्७.८६॥</v>
      </c>
      <c r="B2183" s="1" t="s">
        <v>5</v>
      </c>
      <c r="C2183" s="1"/>
    </row>
    <row r="2184" spans="1:3" ht="24" customHeight="1">
      <c r="A2184" s="1" t="str">
        <f ca="1">IFERROR(__xludf.DUMMYFUNCTION("""COMPUTED_VALUE"""),"वधूर्विधात्रा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बभूव॥कुमारसंभवम्७.८७॥")</f>
        <v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बभूव॥कुमारसंभवम्७.८७॥</v>
      </c>
      <c r="B2184" s="1" t="s">
        <v>4</v>
      </c>
      <c r="C2184" s="1"/>
    </row>
    <row r="2185" spans="1:3" ht="24" customHeight="1">
      <c r="A2185" s="1" t="str">
        <f ca="1">IFERROR(__xludf.DUMMYFUNCTION("""COMPUTED_VALUE"""),"क्लॄप्तोपचारां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लौकिकमेषणीयमार्द्राक्षतारोपणमन्वभूताम्॥कुमारसंभवम्७.८८॥")</f>
        <v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लौकिकमेषणीयमार्द्राक्षतारोपणमन्वभूताम्॥कुमारसंभवम्७.८८॥</v>
      </c>
      <c r="B2185" s="1" t="s">
        <v>2</v>
      </c>
      <c r="C2185" s="1"/>
    </row>
    <row r="2186" spans="1:3" ht="24" customHeight="1">
      <c r="A2186" s="1" t="str">
        <f ca="1">IFERROR(__xludf.DUMMYFUNCTION("""COMPUTED_VALUE"""),"पत्रान्तलग्नैर्जलबिन्दुजालैराकृष्टमुक्ताफलजालशोभम्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कमलातपत्रम्॥कुमारसंभवम्७.८९॥")</f>
        <v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कमलातपत्रम्॥कुमारसंभवम्७.८९॥</v>
      </c>
      <c r="B2186" s="1" t="s">
        <v>0</v>
      </c>
      <c r="C2186" s="1"/>
    </row>
    <row r="2187" spans="1:3" ht="24" customHeight="1">
      <c r="A2187" s="1" t="str">
        <f ca="1">IFERROR(__xludf.DUMMYFUNCTION("""COMPUTED_VALUE"""),"द्विधा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सुखग्राह्यनिबन्धनेन॥कुमारसंभवम्७.९०॥")</f>
        <v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सुखग्राह्यनिबन्धनेन॥कुमारसंभवम्७.९०॥</v>
      </c>
      <c r="B2187" s="1" t="s">
        <v>1</v>
      </c>
      <c r="C2187" s="1"/>
    </row>
    <row r="2188" spans="1:3" ht="24" customHeight="1">
      <c r="A2188" s="1" t="str">
        <f ca="1">IFERROR(__xludf.DUMMYFUNCTION("""COMPUTED_VALUE"""),"तौ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ललिताङ्गहारम्॥कुमारसंभवम्७.९१॥")</f>
        <v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ललिताङ्गहारम्॥कुमारसंभवम्७.९१॥</v>
      </c>
      <c r="B2188" s="1" t="s">
        <v>0</v>
      </c>
      <c r="C2188" s="1"/>
    </row>
    <row r="2189" spans="1:3" ht="24" customHeight="1">
      <c r="A2189" s="1" t="str">
        <f ca="1">IFERROR(__xludf.DUMMYFUNCTION("""COMPUTED_VALUE"""),"देवास्तदन्ते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सेवाम्॥कुमारसंभवम्७.९२॥")</f>
        <v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सेवाम्॥कुमारसंभवम्७.९२॥</v>
      </c>
      <c r="B2189" s="1" t="s">
        <v>4</v>
      </c>
      <c r="C2189" s="1"/>
    </row>
    <row r="2190" spans="1:3" ht="24" customHeight="1">
      <c r="A2190" s="1" t="str">
        <f ca="1">IFERROR(__xludf.DUMMYFUNCTION("""COMPUTED_VALUE"""),"तस्यानुमेने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सिद्धिमेति॥कुमारसंभवम्७.९३॥")</f>
        <v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सिद्धिमेति॥कुमारसंभवम्७.९३॥</v>
      </c>
      <c r="B2190" s="1" t="s">
        <v>2</v>
      </c>
      <c r="C2190" s="1"/>
    </row>
    <row r="2191" spans="1:3" ht="24" customHeight="1">
      <c r="A2191" s="1" t="str">
        <f ca="1">IFERROR(__xludf.DUMMYFUNCTION("""COMPUTED_VALUE"""),"अथ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कौतुकागारमागात्॥कुमारसंभवम्७.९४॥")</f>
        <v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कौतुकागारमागात्॥कुमारसंभवम्७.९४॥</v>
      </c>
      <c r="B2191" s="1" t="s">
        <v>15</v>
      </c>
      <c r="C2191" s="1"/>
    </row>
    <row r="2192" spans="1:3" ht="24" customHeight="1">
      <c r="A2192" s="1" t="str">
        <f ca="1">IFERROR(__xludf.DUMMYFUNCTION("""COMPUTED_VALUE"""),"नवपरिणयलज्जाभूषणां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गूढम्॥कुमारसंभवम्७.९५॥")</f>
        <v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गूढम्॥कुमारसंभवम्७.९५॥</v>
      </c>
      <c r="B2192" s="1" t="s">
        <v>30</v>
      </c>
      <c r="C2192" s="1"/>
    </row>
    <row r="2193" spans="1:3" ht="24" customHeight="1">
      <c r="A2193" s="1" t="str">
        <f ca="1">IFERROR(__xludf.DUMMYFUNCTION("""COMPUTED_VALUE"""),"पाणिपीडनविधेरनन्तरं शैलराजदुहितुर्हरं प्रति । भावसाध्वसपरिग्रहादभूत्कामदोहद मनोहरं वपुः॥कुमारसंभवम्७.१॥")</f>
        <v>पाणिपीडनविधेरनन्तरं शैलराजदुहितुर्हरं प्रति । भावसाध्वसपरिग्रहादभूत्कामदोहद मनोहरं वपुः॥कुमारसंभवम्७.१॥</v>
      </c>
      <c r="B2193" s="1" t="s">
        <v>9</v>
      </c>
      <c r="C2193" s="1"/>
    </row>
    <row r="2194" spans="1:3" ht="24" customHeight="1">
      <c r="A2194" s="1" t="str">
        <f ca="1">IFERROR(__xludf.DUMMYFUNCTION("""COMPUTED_VALUE"""),"व्याहृता प्रतिवचो न संदधे गन्तुमैच्छदवलम्बितांशुका । सेवते स्म शयनं पराङ्मुखी सा तथापि रतये पिनाकिनः॥कुमारसंभवम्७.२॥")</f>
        <v>व्याहृता प्रतिवचो न संदधे गन्तुमैच्छदवलम्बितांशुका । सेवते स्म शयनं पराङ्मुखी सा तथापि रतये पिनाकिनः॥कुमारसंभवम्७.२॥</v>
      </c>
      <c r="B2194" s="1" t="s">
        <v>1</v>
      </c>
      <c r="C2194" s="1"/>
    </row>
    <row r="2195" spans="1:3" ht="24" customHeight="1">
      <c r="A2195" s="1" t="str">
        <f ca="1">IFERROR(__xludf.DUMMYFUNCTION("""COMPUTED_VALUE"""),"कैतवेन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न्यमीलयत्॥कुमारसंभवम्७.३॥")</f>
        <v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न्यमीलयत्॥कुमारसंभवम्७.३॥</v>
      </c>
      <c r="B2195" s="1" t="s">
        <v>5</v>
      </c>
      <c r="C2195" s="1"/>
    </row>
    <row r="2196" spans="1:3" ht="24" customHeight="1">
      <c r="A2196" s="1" t="str">
        <f ca="1">IFERROR(__xludf.DUMMYFUNCTION("""COMPUTED_VALUE"""),"नाभिदेशनिहितः सकम्पया शंकरस्य रुरुधे तया करः। तद्दुकूलमथ चाभवत्स्वयं दूरमुच्छ्वसितनीविबन्धनम्॥कुमारसंभवम्७.४॥")</f>
        <v>नाभिदेशनिहितः सकम्पया शंकरस्य रुरुधे तया करः। तद्दुकूलमथ चाभवत्स्वयं दूरमुच्छ्वसितनीविबन्धनम्॥कुमारसंभवम्७.४॥</v>
      </c>
      <c r="B2196" s="1" t="s">
        <v>1</v>
      </c>
      <c r="C2196" s="1"/>
    </row>
    <row r="2197" spans="1:3" ht="24" customHeight="1">
      <c r="A2197" s="1" t="str">
        <f ca="1">IFERROR(__xludf.DUMMYFUNCTION("""COMPUTED_VALUE"""),"एवमालि निगृहीतसाध्वसं शंकरो रहसि सेव्यतामिति । सा सखीभिरुपदिष्टमाकुला नास्मरत्प्रमुखवर्तिनी प्रिये॥कुमारसंभवम्७.५॥")</f>
        <v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प्रिये॥कुमारसंभवम्७.५॥</v>
      </c>
      <c r="B2197" s="1" t="s">
        <v>5</v>
      </c>
      <c r="C2197" s="1"/>
    </row>
    <row r="2198" spans="1:3" ht="24" customHeight="1">
      <c r="A2198" s="1" t="str">
        <f ca="1">IFERROR(__xludf.DUMMYFUNCTION("""COMPUTED_VALUE"""),"अप्यवस्तुनि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ददौ॥कुमारसंभवम्७.६॥")</f>
        <v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ददौ॥कुमारसंभवम्७.६॥</v>
      </c>
      <c r="B2198" s="1" t="s">
        <v>17</v>
      </c>
      <c r="C2198" s="1"/>
    </row>
    <row r="2199" spans="1:3" ht="24" customHeight="1">
      <c r="A2199" s="1" t="str">
        <f ca="1">IFERROR(__xludf.DUMMYFUNCTION("""COMPUTED_VALUE"""),"शूलिनः करतलद्वयेन सा संनिरुध्य नयने हृतांशुका । तस्य पश्यति ललाटलोचने मोघयत्नविधुरा रहस्यभूत्॥कुमारसंभवम्७.७॥")</f>
        <v>शूलिनः करतलद्वयेन सा संनिरुध्य नयने हृतांशुका । तस्य पश्यति ललाटलोचने मोघयत्नविधुरा रहस्यभूत्॥कुमारसंभवम्७.७॥</v>
      </c>
      <c r="B2199" s="1" t="s">
        <v>6</v>
      </c>
      <c r="C2199" s="1"/>
    </row>
    <row r="2200" spans="1:3" ht="24" customHeight="1">
      <c r="A2200" s="1" t="str">
        <f ca="1">IFERROR(__xludf.DUMMYFUNCTION("""COMPUTED_VALUE"""),"चुम्बनेष्वधरदानवर्जितं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वधूरतम्॥कुमारसंभवम्७.८॥")</f>
        <v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वधूरतम्॥कुमारसंभवम्७.८॥</v>
      </c>
      <c r="B2200" s="1" t="s">
        <v>2</v>
      </c>
      <c r="C2200" s="1"/>
    </row>
    <row r="2201" spans="1:3" ht="24" customHeight="1">
      <c r="A2201" s="1" t="str">
        <f ca="1">IFERROR(__xludf.DUMMYFUNCTION("""COMPUTED_VALUE"""),"यन्मुखग्रहणमक्षताधरं दानमव्रणपदं नखस्य यत् । यद्रतं च सदयं प्रियस्य तत्पार्वती विषहते स्म नेतरत्॥कुमारसंभवम्७.९॥")</f>
        <v>यन्मुखग्रहणमक्षताधरं दानमव्रणपदं नखस्य यत् । यद्रतं च सदयं प्रियस्य तत्पार्वती विषहते स्म नेतरत्॥कुमारसंभवम्७.९॥</v>
      </c>
      <c r="B2201" s="1" t="s">
        <v>0</v>
      </c>
      <c r="C2201" s="1"/>
    </row>
    <row r="2202" spans="1:3" ht="24" customHeight="1">
      <c r="A2202" s="1" t="str">
        <f ca="1">IFERROR(__xludf.DUMMYFUNCTION("""COMPUTED_VALUE"""),"रात्रिवृत्तमनुयोक्तुमुद्यतं सा प्रभातसमये सखीजनम् । नाकरोदपकुतूहलं ह्रिया शंसितुं तु हृदयेन तत्वरे॥कुमारसंभवम्७.१०॥")</f>
        <v>रात्रिवृत्तमनुयोक्तुमुद्यतं सा प्रभातसमये सखीजनम् । नाकरोदपकुतूहलं ह्रिया शंसितुं तु हृदयेन तत्वरे॥कुमारसंभवम्७.१०॥</v>
      </c>
      <c r="B2202" s="1" t="s">
        <v>0</v>
      </c>
      <c r="C2202" s="1"/>
    </row>
    <row r="2203" spans="1:3" ht="24" customHeight="1">
      <c r="A2203" s="1" t="str">
        <f ca="1">IFERROR(__xludf.DUMMYFUNCTION("""COMPUTED_VALUE"""),"दर्पणे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लज्जया॥कुमारसंभवम्७.११॥")</f>
        <v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लज्जया॥कुमारसंभवम्७.११॥</v>
      </c>
      <c r="B2203" s="1" t="s">
        <v>5</v>
      </c>
      <c r="C2203" s="1"/>
    </row>
    <row r="2204" spans="1:3" ht="24" customHeight="1">
      <c r="A2204" s="1" t="str">
        <f ca="1">IFERROR(__xludf.DUMMYFUNCTION("""COMPUTED_VALUE"""),"नीलकण्ठपरिभुक्तयौवनां तां विलोक्य जननी समाश्वसत् । भर्तृवल्लभतया हि मानसीं मातुरस्यति शुचं वधूजनः॥कुमारसंभवम्७.१२॥")</f>
        <v>नीलकण्ठपरिभुक्तयौवनां तां विलोक्य जननी समाश्वसत् । भर्तृवल्लभतया हि मानसीं मातुरस्यति शुचं वधूजनः॥कुमारसंभवम्७.१२॥</v>
      </c>
      <c r="B2204" s="1" t="s">
        <v>1</v>
      </c>
      <c r="C2204" s="1"/>
    </row>
    <row r="2205" spans="1:3" ht="24" customHeight="1">
      <c r="A2205" s="1" t="str">
        <f ca="1">IFERROR(__xludf.DUMMYFUNCTION("""COMPUTED_VALUE"""),"वासराणि कतिचित्कथंचन स्थाणुना रतमकारि चानया । ज्ञातमन्मथरसा शनैःशनैः सा मुमोच रतिदुःखशीलताम्॥कुमारसंभवम्७.१३॥")</f>
        <v>वासराणि कतिचित्कथंचन स्थाणुना रतमकारि चानया । ज्ञातमन्मथरसा शनैःशनैः सा मुमोच रतिदुःखशीलताम्॥कुमारसंभवम्७.१३॥</v>
      </c>
      <c r="B2205" s="1" t="s">
        <v>2</v>
      </c>
      <c r="C2205" s="1"/>
    </row>
    <row r="2206" spans="1:3" ht="24" customHeight="1">
      <c r="A2206" s="1" t="str">
        <f ca="1">IFERROR(__xludf.DUMMYFUNCTION("""COMPUTED_VALUE"""),"सस्वजे प्रियमुरो निपीडनं प्रार्थितं मुखमनेन नाहरत् । मेखलाप्रणयलोलतां गतं हस्तमस्य शिथिलं रुरोध सा॥कुमारसंभवम्७.१४॥")</f>
        <v>सस्वजे प्रियमुरो निपीडनं प्रार्थितं मुखमनेन नाहरत् । मेखलाप्रणयलोलतां गतं हस्तमस्य शिथिलं रुरोध सा॥कुमारसंभवम्७.१४॥</v>
      </c>
      <c r="B2206" s="1" t="s">
        <v>18</v>
      </c>
      <c r="C2206" s="1"/>
    </row>
    <row r="2207" spans="1:3" ht="24" customHeight="1">
      <c r="A2207" s="1" t="str">
        <f ca="1">IFERROR(__xludf.DUMMYFUNCTION("""COMPUTED_VALUE"""),"भावसूचितमदृष्टविप्रियं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गूढमितरेतराश्रयम्॥कुमारसंभवम्७.१५॥")</f>
        <v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गूढमितरेतराश्रयम्॥कुमारसंभवम्७.१५॥</v>
      </c>
      <c r="B2207" s="1" t="s">
        <v>5</v>
      </c>
      <c r="C2207" s="1"/>
    </row>
    <row r="2208" spans="1:3" ht="24" customHeight="1">
      <c r="A2208" s="1" t="str">
        <f ca="1">IFERROR(__xludf.DUMMYFUNCTION("""COMPUTED_VALUE"""),"तं यथात्मसदृशं वरं वधूरन्वरज्यत वरस्तथैव ताम् । सागरादनपगा हि जाह्नवी सोऽपि तन्मुखरसैक वृत्तिभाक्॥कुमारसंभवम्७.१६॥")</f>
        <v>तं यथात्मसदृशं वरं वधूरन्वरज्यत वरस्तथैव ताम् । सागरादनपगा हि जाह्नवी सोऽपि तन्मुखरसैक वृत्तिभाक्॥कुमारसंभवम्७.१६॥</v>
      </c>
      <c r="B2208" s="1" t="s">
        <v>6</v>
      </c>
      <c r="C2208" s="1"/>
    </row>
    <row r="2209" spans="1:3" ht="24" customHeight="1">
      <c r="A2209" s="1" t="str">
        <f ca="1">IFERROR(__xludf.DUMMYFUNCTION("""COMPUTED_VALUE"""),"शिष्यतां निधुवनोपदेशिनः शंकरस्य रहसि प्रपन्नया। शिक्षितं युवतिनैपुणं तया यत्तदेव गुरुदक्षिणीकृतम्॥कुमारसंभवम्७.१७॥")</f>
        <v>शिष्यतां निधुवनोपदेशिनः शंकरस्य रहसि प्रपन्नया। शिक्षितं युवतिनैपुणं तया यत्तदेव गुरुदक्षिणीकृतम्॥कुमारसंभवम्७.१७॥</v>
      </c>
      <c r="B2209" s="1" t="s">
        <v>2</v>
      </c>
      <c r="C2209" s="1"/>
    </row>
    <row r="2210" spans="1:3" ht="24" customHeight="1">
      <c r="A2210" s="1" t="str">
        <f ca="1">IFERROR(__xludf.DUMMYFUNCTION("""COMPUTED_VALUE"""),"दष्टमुक्तमधरोष्ठमम्बिका वेदनाविधुतहस्तपल्लवा । शीतलेन निरवापयत्क्षणं मौलिचन्द्रशकलेन शूलिनः॥कुमारसंभवम्७.१८॥")</f>
        <v>दष्टमुक्तमधरोष्ठमम्बिका वेदनाविधुतहस्तपल्लवा । शीतलेन निरवापयत्क्षणं मौलिचन्द्रशकलेन शूलिनः॥कुमारसंभवम्७.१८॥</v>
      </c>
      <c r="B2210" s="1" t="s">
        <v>1</v>
      </c>
      <c r="C2210" s="1"/>
    </row>
    <row r="2211" spans="1:3" ht="24" customHeight="1">
      <c r="A2211" s="1" t="str">
        <f ca="1">IFERROR(__xludf.DUMMYFUNCTION("""COMPUTED_VALUE"""),"चुम्बनादलकचूर्णदूषितं शंकरोऽपि नयनं ललाटजम् । उच्छ्वसत्कमलगन्धये ददौ पार्वतीवदनगन्धवाहिने॥कुमारसंभवम्७.१९॥")</f>
        <v>चुम्बनादलकचूर्णदूषितं शंकरोऽपि नयनं ललाटजम् । उच्छ्वसत्कमलगन्धये ददौ पार्वतीवदनगन्धवाहिने॥कुमारसंभवम्७.१९॥</v>
      </c>
      <c r="B2211" s="1" t="s">
        <v>1</v>
      </c>
      <c r="C2211" s="1"/>
    </row>
    <row r="2212" spans="1:3" ht="24" customHeight="1">
      <c r="A2212" s="1" t="str">
        <f ca="1">IFERROR(__xludf.DUMMYFUNCTION("""COMPUTED_VALUE"""),"एवमिन्द्रियसुखस्य वर्त्मनः सेवनादनुगृहीतमन्मथः। शैलराजभवने सहोमया मासमात्रमवसद् वृषध्वजः॥कुमारसंभवम्७.२०॥")</f>
        <v>एवमिन्द्रियसुखस्य वर्त्मनः सेवनादनुगृहीतमन्मथः। शैलराजभवने सहोमया मासमात्रमवसद् वृषध्वजः॥कुमारसंभवम्७.२०॥</v>
      </c>
      <c r="B2212" s="1" t="s">
        <v>3</v>
      </c>
      <c r="C2212" s="1"/>
    </row>
    <row r="2213" spans="1:3" ht="24" customHeight="1">
      <c r="A2213" s="1" t="str">
        <f ca="1">IFERROR(__xludf.DUMMYFUNCTION("""COMPUTED_VALUE"""),"सोऽनुमान्य हिमवन्तमात्मभूरात्मजाविरहदुःखखेदितम् । तत्र तत्र विजहार संपतन्नप्रमेयगतिना ककुद्मता॥कुमारसंभवम्७.२१॥ ")</f>
        <v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ककुद्मता॥कुमारसंभवम्७.२१॥ </v>
      </c>
      <c r="B2213" s="1" t="s">
        <v>2</v>
      </c>
      <c r="C2213" s="1"/>
    </row>
    <row r="2214" spans="1:3" ht="24" customHeight="1">
      <c r="A2214" s="4" t="str">
        <f ca="1">IFERROR(__xludf.DUMMYFUNCTION("""COMPUTED_VALUE"""),"कश्चित्कान्ताविरहगुरुणा स्वाधिकारात्प्रमत्तः शापेनास्तंगमितमहिमा वर्षभोग्येण भर्तुः यक्षश्चक्रे जनकतनयास्नानपुण्योदकेषु स्निग्धच्छायातरुषु वसतिं रामगिर्याश्रमेषु॥ मेघदूतम्-पूर्वमेघा १.१॥")</f>
        <v>कश्चित्कान्ताविरहगुरुणा स्वाधिकारात्प्रमत्तः शापेनास्तंगमितमहिमा वर्षभोग्येण भर्तुः यक्षश्चक्रे जनकतनयास्नानपुण्योदकेषु स्निग्धच्छायातरुषु वसतिं रामगिर्याश्रमेषु॥ मेघदूतम्-पूर्वमेघा १.१॥</v>
      </c>
      <c r="B2214" s="4" t="s">
        <v>13</v>
      </c>
      <c r="C2214" s="4"/>
    </row>
    <row r="2215" spans="1:3" ht="24" customHeight="1">
      <c r="A2215" s="4" t="str">
        <f ca="1">IFERROR(__xludf.DUMMYFUNCTION("""COMPUTED_VALUE"""),"तस्मिन्नद्रौ कतिचिदबलाविप्रयुक्तः स कामी नीत्वा मासान् कनकवलयभ्रंशरिक्तप्रकोष्ठः आषाढस्य प्रथमदिवसे मेघमाश्लिष्टसानुं वप्रक्रीडापरिणतगजप्रेक्षणीयं ददर्श॥ मेघदूतम्-पूर्वमेघा १.२॥")</f>
        <v>तस्मिन्नद्रौ कतिचिदबलाविप्रयुक्तः स कामी नीत्वा मासान् कनकवलयभ्रंशरिक्तप्रकोष्ठः आषाढस्य प्रथमदिवसे मेघमाश्लिष्टसानुं वप्रक्रीडापरिणतगजप्रेक्षणीयं ददर्श॥ मेघदूतम्-पूर्वमेघा १.२॥</v>
      </c>
      <c r="B2215" s="4" t="s">
        <v>8</v>
      </c>
      <c r="C2215" s="4"/>
    </row>
    <row r="2216" spans="1:3" ht="24" customHeight="1">
      <c r="A2216" s="4" t="str">
        <f ca="1">IFERROR(__xludf.DUMMYFUNCTION("""COMPUTED_VALUE"""),"तस्य स्थित्वा कथमपि पुरः कौतुकाधानहेतो रन्तर्बाष्पश्चिरमनुचरो राजराजस्य दध्यौ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मेघदूतम्-पूर्वमेघा १.३॥")</f>
        <v>तस्य स्थित्वा कथमपि पुरः कौतुकाधानहेतो रन्तर्बाष्पश्चिरमनुचरो राजराजस्य दध्यौ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मेघदूतम्-पूर्वमेघा १.३॥</v>
      </c>
      <c r="B2216" s="4" t="s">
        <v>10</v>
      </c>
      <c r="C2216" s="4"/>
    </row>
    <row r="2217" spans="1:3" ht="24" customHeight="1">
      <c r="A2217" s="4" t="str">
        <f ca="1">IFERROR(__xludf.DUMMYFUNCTION("""COMPUTED_VALUE"""),"प्रत्यासन्ने नभसि दयिताजीवितालम्बनार्थी जीमूतेन स्वकुशलमयीं हारयिष्यन्प्रवृत्तिम स प्रत्यग्रैः कुटजकुसुमैः कल्पितार्घाय तस्मै प्रीतः प्रीतिप्रमुखवचनं स्वागतं व्याजहार॥ मेघदूतम्-पूर्वमेघा १.४॥")</f>
        <v>प्रत्यासन्ने नभसि दयिताजीवितालम्बनार्थी जीमूतेन स्वकुशलमयीं हारयिष्यन्प्रवृत्तिम स प्रत्यग्रैः कुटजकुसुमैः कल्पितार्घाय तस्मै प्रीतः प्रीतिप्रमुखवचनं स्वागतं व्याजहार॥ मेघदूतम्-पूर्वमेघा १.४॥</v>
      </c>
      <c r="B2217" s="4" t="s">
        <v>0</v>
      </c>
      <c r="C2217" s="4"/>
    </row>
    <row r="2218" spans="1:3" ht="24" customHeight="1">
      <c r="A2218" s="4" t="str">
        <f ca="1">IFERROR(__xludf.DUMMYFUNCTION("""COMPUTED_VALUE"""),"धूमज्योतिःसलिलमरुतां संनिपातः क्व मेघः सन्देशार्थाः क्व पटुकरणैः प्राणिभिः प्रापणीयाः इत्यौत्सुक्यादपरिगणयन् गुह्यकस्तं ययाचे कामार्ता हि प्रकृतिकृपणाश्चेतनाचेतएषु॥ मेघदूतम्-पूर्वमेघा १.५॥")</f>
        <v>धूमज्योतिःसलिलमरुतां संनिपातः क्व मेघः सन्देशार्थाः क्व पटुकरणैः प्राणिभिः प्रापणीयाः इत्यौत्सुक्यादपरिगणयन् गुह्यकस्तं ययाचे कामार्ता हि प्रकृतिकृपणाश्चेतनाचेतएषु॥ मेघदूतम्-पूर्वमेघा १.५॥</v>
      </c>
      <c r="B2218" s="4" t="s">
        <v>13</v>
      </c>
      <c r="C2218" s="4"/>
    </row>
    <row r="2219" spans="1:3" ht="24" customHeight="1">
      <c r="A2219" s="4" t="str">
        <f ca="1">IFERROR(__xludf.DUMMYFUNCTION("""COMPUTED_VALUE"""),"जातं वंशे भुवनविदिते पुष्करावर्तकानां जानामि त्वां प्रकृतिपुरुषं कामरूपं मघोनः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मेघदूतम्-पूर्वमेघा १.६॥")</f>
        <v>जातं वंशे भुवनविदिते पुष्करावर्तकानां जानामि त्वां प्रकृतिपुरुषं कामरूपं मघोनः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मेघदूतम्-पूर्वमेघा १.६॥</v>
      </c>
      <c r="B2219" s="4" t="s">
        <v>12</v>
      </c>
      <c r="C2219" s="4"/>
    </row>
    <row r="2220" spans="1:3" ht="24" customHeight="1">
      <c r="A2220" s="4" t="str">
        <f ca="1">IFERROR(__xludf.DUMMYFUNCTION("""COMPUTED_VALUE"""),"संतप्तानां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मेघदूतम्-पूर्वमेघा १.७॥")</f>
        <v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मेघदूतम्-पूर्वमेघा १.७॥</v>
      </c>
      <c r="B2220" s="4" t="s">
        <v>5</v>
      </c>
      <c r="C2220" s="4"/>
    </row>
    <row r="2221" spans="1:3" ht="24" customHeight="1">
      <c r="A2221" s="4" t="str">
        <f ca="1">IFERROR(__xludf.DUMMYFUNCTION("""COMPUTED_VALUE"""),"त्वामारूढं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मेघदूतम्-पूर्वमेघा १.८॥")</f>
        <v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मेघदूतम्-पूर्वमेघा १.८॥</v>
      </c>
      <c r="B2221" s="4" t="s">
        <v>2</v>
      </c>
      <c r="C2221" s="4"/>
    </row>
    <row r="2222" spans="1:3" ht="24" customHeight="1">
      <c r="A2222" s="4" t="str">
        <f ca="1">IFERROR(__xludf.DUMMYFUNCTION("""COMPUTED_VALUE"""),"त्वां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मेघदूतम्-पूर्वमेघा १.९॥")</f>
        <v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मेघदूतम्-पूर्वमेघा १.९॥</v>
      </c>
      <c r="B2222" s="4" t="s">
        <v>20</v>
      </c>
      <c r="C2222" s="4"/>
    </row>
    <row r="2223" spans="1:3" ht="24" customHeight="1">
      <c r="A2223" s="4" t="str">
        <f ca="1">IFERROR(__xludf.DUMMYFUNCTION("""COMPUTED_VALUE"""),"मन्दं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मेघदूतम्-पूर्वमेघा १.१०॥")</f>
        <v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मेघदूतम्-पूर्वमेघा १.१०॥</v>
      </c>
      <c r="B2223" s="4" t="s">
        <v>19</v>
      </c>
      <c r="C2223" s="4"/>
    </row>
    <row r="2224" spans="1:3" ht="24" customHeight="1">
      <c r="A2224" s="4" t="str">
        <f ca="1">IFERROR(__xludf.DUMMYFUNCTION("""COMPUTED_VALUE"""),"कर्तुं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मेघदूतम्-पूर्वमेघा १.११॥")</f>
        <v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मेघदूतम्-पूर्वमेघा १.११॥</v>
      </c>
      <c r="B2224" s="4" t="s">
        <v>5</v>
      </c>
      <c r="C2224" s="4"/>
    </row>
    <row r="2225" spans="1:3" ht="24" customHeight="1">
      <c r="A2225" s="4" t="str">
        <f ca="1">IFERROR(__xludf.DUMMYFUNCTION("""COMPUTED_VALUE"""),"आपृच्चस्व प्रियसखम अमुं तुङ्गम आलिङ्ग्य शैलं वन्द्यैः पुंसां रघुपतिपदैर अङ्कितं मेखलासु काले काले भवति भवतो यस्य संयोगम एत्य स्नेहव्यक्तिश चिरविरहजं मुञ्चतो बाष्पमुष्णम्॥ मेघदूतम्-पूर्वमेघा १.१२॥")</f>
        <v>आपृच्चस्व प्रियसखम अमुं तुङ्गम आलिङ्ग्य शैलं वन्द्यैः पुंसां रघुपतिपदैर अङ्कितं मेखलासु काले काले भवति भवतो यस्य संयोगम एत्य स्नेहव्यक्तिश चिरविरहजं मुञ्चतो बाष्पमुष्णम्॥ मेघदूतम्-पूर्वमेघा १.१२॥</v>
      </c>
      <c r="B2225" s="4" t="s">
        <v>7</v>
      </c>
      <c r="C2225" s="4"/>
    </row>
    <row r="2226" spans="1:3" ht="24" customHeight="1">
      <c r="A2226" s="4" t="str">
        <f ca="1">IFERROR(__xludf.DUMMYFUNCTION("""COMPUTED_VALUE"""),"मर्गं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मेघदूतम्-पूर्वमेघा १.१३॥")</f>
        <v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मेघदूतम्-पूर्वमेघा १.१३॥</v>
      </c>
      <c r="B2226" s="4" t="s">
        <v>5</v>
      </c>
      <c r="C2226" s="4"/>
    </row>
    <row r="2227" spans="1:3" ht="24" customHeight="1">
      <c r="A2227" s="4" t="str">
        <f ca="1">IFERROR(__xludf.DUMMYFUNCTION("""COMPUTED_VALUE"""),"अद्रेः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मेघदूतम्-पूर्वमेघा १.१४॥")</f>
        <v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मेघदूतम्-पूर्वमेघा १.१४॥</v>
      </c>
      <c r="B2227" s="4" t="s">
        <v>1</v>
      </c>
      <c r="C2227" s="4"/>
    </row>
    <row r="2228" spans="1:3" ht="24" customHeight="1">
      <c r="A2228" s="4" t="str">
        <f ca="1">IFERROR(__xludf.DUMMYFUNCTION("""COMPUTED_VALUE"""),"रत्नच्चायाव्यतिकर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मेघदूतम्-पूर्वमेघा १.१५॥")</f>
        <v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मेघदूतम्-पूर्वमेघा १.१५॥</v>
      </c>
      <c r="B2228" s="4" t="s">
        <v>7</v>
      </c>
      <c r="C2228" s="4"/>
    </row>
    <row r="2229" spans="1:3" ht="24" customHeight="1">
      <c r="A2229" s="4" t="str">
        <f ca="1">IFERROR(__xludf.DUMMYFUNCTION("""COMPUTED_VALUE"""),"त्वय्य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मेघदूतम्-पूर्वमेघा १.१६॥")</f>
        <v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मेघदूतम्-पूर्वमेघा १.१६॥</v>
      </c>
      <c r="B2229" s="4" t="s">
        <v>7</v>
      </c>
      <c r="C2229" s="4"/>
    </row>
    <row r="2230" spans="1:3" ht="24" customHeight="1">
      <c r="A2230" s="4" t="str">
        <f ca="1">IFERROR(__xludf.DUMMYFUNCTION("""COMPUTED_VALUE"""),"त्वाम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मेघदूतम्-पूर्वमेघा १.१७॥")</f>
        <v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मेघदूतम्-पूर्वमेघा १.१७॥</v>
      </c>
      <c r="B2230" s="4" t="s">
        <v>16</v>
      </c>
      <c r="C2230" s="4"/>
    </row>
    <row r="2231" spans="1:3" ht="24" customHeight="1">
      <c r="A2231" s="4" t="str">
        <f ca="1">IFERROR(__xludf.DUMMYFUNCTION("""COMPUTED_VALUE"""),"चन्नोपान्तः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मेघदूतम्-पूर्वमेघा १.१८॥")</f>
        <v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मेघदूतम्-पूर्वमेघा १.१८॥</v>
      </c>
      <c r="B2231" s="4" t="s">
        <v>29</v>
      </c>
      <c r="C2231" s="4"/>
    </row>
    <row r="2232" spans="1:3" ht="24" customHeight="1">
      <c r="A2232" s="4" t="str">
        <f ca="1">IFERROR(__xludf.DUMMYFUNCTION("""COMPUTED_VALUE"""),"स्थित्वा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मेघदूतम्-पूर्वमेघा १.१९॥ ")</f>
        <v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मेघदूतम्-पूर्वमेघा १.१९॥ </v>
      </c>
      <c r="B2232" s="4" t="s">
        <v>5</v>
      </c>
      <c r="C2232" s="4"/>
    </row>
    <row r="2233" spans="1:3" ht="24" customHeight="1">
      <c r="A2233" s="4" t="str">
        <f ca="1">IFERROR(__xludf.DUMMYFUNCTION("""COMPUTED_VALUE"""),"{अध्वक्लान्तं प्रतिमुखगतं सानुमानाम्रकूटस तुङ्गेन त्वां जलद शिरसा वक्ष्यति श्लाघमानः आसारेण त्वम अपि शमयेस तस्य नैदाघम अग्निं सद्भावार्द्रः फलति न चिरेणोपकारो महत्सु॥ मेघदूतम्-पूर्वमेघा १.१९अ}॥")</f>
        <v>{अध्वक्लान्तं प्रतिमुखगतं सानुमानाम्रकूटस तुङ्गेन त्वां जलद शिरसा वक्ष्यति श्लाघमानः आसारेण त्वम अपि शमयेस तस्य नैदाघम अग्निं सद्भावार्द्रः फलति न चिरेणोपकारो महत्सु॥ मेघदूतम्-पूर्वमेघा १.१९अ}॥</v>
      </c>
      <c r="B2233" s="4" t="s">
        <v>18</v>
      </c>
      <c r="C2233" s="4"/>
    </row>
    <row r="2234" spans="1:3" ht="24" customHeight="1">
      <c r="A2234" s="4" t="str">
        <f ca="1">IFERROR(__xludf.DUMMYFUNCTION("""COMPUTED_VALUE"""),"तस्यास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मेघदूतम्-पूर्वमेघा १.२०॥")</f>
        <v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मेघदूतम्-पूर्वमेघा १.२०॥</v>
      </c>
      <c r="B2234" s="4" t="s">
        <v>5</v>
      </c>
      <c r="C2234" s="4"/>
    </row>
    <row r="2235" spans="1:3" ht="24" customHeight="1">
      <c r="A2235" s="4" t="str">
        <f ca="1">IFERROR(__xludf.DUMMYFUNCTION("""COMPUTED_VALUE"""),"नीपं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मेघदूतम्-पूर्वमेघा १.२१॥")</f>
        <v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मेघदूतम्-पूर्वमेघा १.२१॥</v>
      </c>
      <c r="B2235" s="4" t="s">
        <v>15</v>
      </c>
      <c r="C2235" s="4"/>
    </row>
    <row r="2236" spans="1:3" ht="24" customHeight="1">
      <c r="A2236" s="4" t="str">
        <f ca="1">IFERROR(__xludf.DUMMYFUNCTION("""COMPUTED_VALUE"""),"अम्भोबिन्दुग्रहणचतुरांश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मेघदूतम्-पूर्वमेघा १.२२॥")</f>
        <v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मेघदूतम्-पूर्वमेघा १.२२॥</v>
      </c>
      <c r="B2236" s="4" t="s">
        <v>1</v>
      </c>
      <c r="C2236" s="4"/>
    </row>
    <row r="2237" spans="1:3" ht="24" customHeight="1">
      <c r="A2237" s="4" t="str">
        <f ca="1">IFERROR(__xludf.DUMMYFUNCTION("""COMPUTED_VALUE"""),"उत्पश्यामि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मेघदूतम्-पूर्वमेघा १.२३॥")</f>
        <v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मेघदूतम्-पूर्वमेघा १.२३॥</v>
      </c>
      <c r="B2237" s="4" t="s">
        <v>2</v>
      </c>
      <c r="C2237" s="4"/>
    </row>
    <row r="2238" spans="1:3" ht="24" customHeight="1">
      <c r="A2238" s="4" t="str">
        <f ca="1">IFERROR(__xludf.DUMMYFUNCTION("""COMPUTED_VALUE"""),"पाण्डुच्चायोपवनवृतयः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मेघदूतम्-पूर्वमेघा १.२४॥")</f>
        <v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मेघदूतम्-पूर्वमेघा १.२४॥</v>
      </c>
      <c r="B2238" s="4" t="s">
        <v>7</v>
      </c>
      <c r="C2238" s="4"/>
    </row>
    <row r="2239" spans="1:3" ht="24" customHeight="1">
      <c r="A2239" s="4" t="str">
        <f ca="1">IFERROR(__xludf.DUMMYFUNCTION("""COMPUTED_VALUE"""),"तेषां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मेघदूतम्-पूर्वमेघा १.२५॥")</f>
        <v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मेघदूतम्-पूर्वमेघा १.२५॥</v>
      </c>
      <c r="B2239" s="4" t="s">
        <v>12</v>
      </c>
      <c r="C2239" s="4"/>
    </row>
    <row r="2240" spans="1:3" ht="24" customHeight="1">
      <c r="A2240" s="4" t="str">
        <f ca="1">IFERROR(__xludf.DUMMYFUNCTION("""COMPUTED_VALUE"""),"नीचैराख्यं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मेघदूतम्-पूर्वमेघा १.२६॥")</f>
        <v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मेघदूतम्-पूर्वमेघा १.२६॥</v>
      </c>
      <c r="B2240" s="4" t="s">
        <v>1</v>
      </c>
      <c r="C2240" s="4"/>
    </row>
    <row r="2241" spans="1:3" ht="24" customHeight="1">
      <c r="A2241" s="4" t="str">
        <f ca="1">IFERROR(__xludf.DUMMYFUNCTION("""COMPUTED_VALUE"""),"विश्रान्तः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मेघदूतम्-पूर्वमेघा १.२७॥")</f>
        <v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मेघदूतम्-पूर्वमेघा १.२७॥</v>
      </c>
      <c r="B2241" s="4" t="s">
        <v>1</v>
      </c>
      <c r="C2241" s="4"/>
    </row>
    <row r="2242" spans="1:3" ht="24" customHeight="1">
      <c r="A2242" s="4" t="str">
        <f ca="1">IFERROR(__xludf.DUMMYFUNCTION("""COMPUTED_VALUE"""),"वक्रः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मेघदूतम्-पूर्वमेघा १.२८॥")</f>
        <v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मेघदूतम्-पूर्वमेघा १.२८॥</v>
      </c>
      <c r="B2242" s="4" t="s">
        <v>18</v>
      </c>
      <c r="C2242" s="4"/>
    </row>
    <row r="2243" spans="1:3" ht="24" customHeight="1">
      <c r="A2243" s="4" t="str">
        <f ca="1">IFERROR(__xludf.DUMMYFUNCTION("""COMPUTED_VALUE"""),"वीचिक्षोभस्तनितविहगश्रेणिकाञ्चीगुणायाः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मेघदूतम्-पूर्वमेघा १.२९॥")</f>
        <v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मेघदूतम्-पूर्वमेघा १.२९॥</v>
      </c>
      <c r="B2243" s="4" t="s">
        <v>13</v>
      </c>
      <c r="C2243" s="4"/>
    </row>
    <row r="2244" spans="1:3" ht="24" customHeight="1">
      <c r="A2244" s="4" t="str">
        <f ca="1">IFERROR(__xludf.DUMMYFUNCTION("""COMPUTED_VALUE"""),"वेणीभूतप्रतनुसलिला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मेघदूतम्-पूर्वमेघा १.३०॥")</f>
        <v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मेघदूतम्-पूर्वमेघा १.३०॥</v>
      </c>
      <c r="B2244" s="4" t="s">
        <v>5</v>
      </c>
      <c r="C2244" s="4"/>
    </row>
    <row r="2245" spans="1:3" ht="24" customHeight="1">
      <c r="A2245" s="4" t="str">
        <f ca="1">IFERROR(__xludf.DUMMYFUNCTION("""COMPUTED_VALUE"""),"प्राप्यावन्तीन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मेघदूतम्-पूर्वमेघा १.३१॥")</f>
        <v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मेघदूतम्-पूर्वमेघा १.३१॥</v>
      </c>
      <c r="B2245" s="4" t="s">
        <v>19</v>
      </c>
      <c r="C2245" s="4"/>
    </row>
    <row r="2246" spans="1:3" ht="24" customHeight="1">
      <c r="A2246" s="4" t="str">
        <f ca="1">IFERROR(__xludf.DUMMYFUNCTION("""COMPUTED_VALUE"""),"दीर्घीकुर्वन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मेघदूतम्-पूर्वमेघा १.३२॥")</f>
        <v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मेघदूतम्-पूर्वमेघा १.३२॥</v>
      </c>
      <c r="B2246" s="4" t="s">
        <v>19</v>
      </c>
      <c r="C2246" s="4"/>
    </row>
    <row r="2247" spans="1:3" ht="24" customHeight="1">
      <c r="A2247" s="4" t="str">
        <f ca="1">IFERROR(__xludf.DUMMYFUNCTION("""COMPUTED_VALUE"""),"हारांस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मेघदूतम्-पूर्वमेघा १.३३॥")</f>
        <v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मेघदूतम्-पूर्वमेघा १.३३॥</v>
      </c>
      <c r="B2247" s="4" t="s">
        <v>13</v>
      </c>
      <c r="C2247" s="4"/>
    </row>
    <row r="2248" spans="1:3" ht="24" customHeight="1">
      <c r="A2248" s="4" t="str">
        <f ca="1">IFERROR(__xludf.DUMMYFUNCTION("""COMPUTED_VALUE"""),"प्रद्योतस्य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मेघदूतम्-पूर्वमेघा १.३४॥")</f>
        <v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मेघदूतम्-पूर्वमेघा १.३४॥</v>
      </c>
      <c r="B2248" s="4" t="s">
        <v>25</v>
      </c>
      <c r="C2248" s="4"/>
    </row>
    <row r="2249" spans="1:3" ht="24" customHeight="1">
      <c r="A2249" s="4" t="str">
        <f ca="1">IFERROR(__xludf.DUMMYFUNCTION("""COMPUTED_VALUE"""),"जालोद्गीर्णैर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मेघदूतम्-पूर्वमेघा १.३५॥")</f>
        <v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मेघदूतम्-पूर्वमेघा १.३५॥</v>
      </c>
      <c r="B2249" s="4" t="s">
        <v>13</v>
      </c>
      <c r="C2249" s="4"/>
    </row>
    <row r="2250" spans="1:3" ht="24" customHeight="1">
      <c r="A2250" s="4" t="str">
        <f ca="1">IFERROR(__xludf.DUMMYFUNCTION("""COMPUTED_VALUE"""),"भर्तुः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मेघदूतम्-पूर्वमेघा १.३६॥")</f>
        <v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मेघदूतम्-पूर्वमेघा १.३६॥</v>
      </c>
      <c r="B2250" s="4" t="s">
        <v>6</v>
      </c>
      <c r="C2250" s="4"/>
    </row>
    <row r="2251" spans="1:3" ht="24" customHeight="1">
      <c r="A2251" s="4" t="str">
        <f ca="1">IFERROR(__xludf.DUMMYFUNCTION("""COMPUTED_VALUE"""),"अप्य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मेघदूतम्-पूर्वमेघा १.३७॥")</f>
        <v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मेघदूतम्-पूर्वमेघा १.३७॥</v>
      </c>
      <c r="B2251" s="4" t="s">
        <v>1</v>
      </c>
      <c r="C2251" s="4"/>
    </row>
    <row r="2252" spans="1:3" ht="24" customHeight="1">
      <c r="A2252" s="4" t="str">
        <f ca="1">IFERROR(__xludf.DUMMYFUNCTION("""COMPUTED_VALUE"""),"पादन्यासैः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मेघदूतम्-पूर्वमेघा १.३८॥")</f>
        <v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मेघदूतम्-पूर्वमेघा १.३८॥</v>
      </c>
      <c r="B2252" s="4" t="s">
        <v>1</v>
      </c>
      <c r="C2252" s="4"/>
    </row>
    <row r="2253" spans="1:3" ht="24" customHeight="1">
      <c r="A2253" s="4" t="str">
        <f ca="1">IFERROR(__xludf.DUMMYFUNCTION("""COMPUTED_VALUE"""),"पश्चाद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मेघदूतम्-पूर्वमेघा १.३९॥")</f>
        <v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मेघदूतम्-पूर्वमेघा १.३९॥</v>
      </c>
      <c r="B2253" s="4" t="s">
        <v>5</v>
      </c>
      <c r="C2253" s="4"/>
    </row>
    <row r="2254" spans="1:3" ht="24" customHeight="1">
      <c r="A2254" s="4" t="str">
        <f ca="1">IFERROR(__xludf.DUMMYFUNCTION("""COMPUTED_VALUE"""),"गच्चन्तीनां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मेघदूतम्-पूर्वमेघा १.४०॥")</f>
        <v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मेघदूतम्-पूर्वमेघा १.४०॥</v>
      </c>
      <c r="B2254" s="4" t="s">
        <v>2</v>
      </c>
      <c r="C2254" s="4"/>
    </row>
    <row r="2255" spans="1:3" ht="24" customHeight="1">
      <c r="A2255" s="4" t="str">
        <f ca="1">IFERROR(__xludf.DUMMYFUNCTION("""COMPUTED_VALUE"""),"तां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मेघदूतम्-पूर्वमेघा १.४१॥")</f>
        <v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मेघदूतम्-पूर्वमेघा १.४१॥</v>
      </c>
      <c r="B2255" s="4" t="s">
        <v>5</v>
      </c>
      <c r="C2255" s="4"/>
    </row>
    <row r="2256" spans="1:3" ht="24" customHeight="1">
      <c r="A2256" s="4" t="str">
        <f ca="1">IFERROR(__xludf.DUMMYFUNCTION("""COMPUTED_VALUE"""),"तस्मिन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मेघदूतम्-पूर्वमेघा १.४२॥")</f>
        <v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मेघदूतम्-पूर्वमेघा १.४२॥</v>
      </c>
      <c r="B2256" s="4" t="s">
        <v>5</v>
      </c>
      <c r="C2256" s="4"/>
    </row>
    <row r="2257" spans="1:3" ht="24" customHeight="1">
      <c r="A2257" s="4" t="str">
        <f ca="1">IFERROR(__xludf.DUMMYFUNCTION("""COMPUTED_VALUE"""),"गम्भीरायाः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मेघदूतम्-पूर्वमेघा १.४३॥")</f>
        <v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मेघदूतम्-पूर्वमेघा १.४३॥</v>
      </c>
      <c r="B2257" s="4" t="s">
        <v>1</v>
      </c>
      <c r="C2257" s="4"/>
    </row>
    <row r="2258" spans="1:3" ht="24" customHeight="1">
      <c r="A2258" s="4" t="str">
        <f ca="1">IFERROR(__xludf.DUMMYFUNCTION("""COMPUTED_VALUE"""),"तस्याः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मेघदूतम्-पूर्वमेघा १.४४॥")</f>
        <v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मेघदूतम्-पूर्वमेघा १.४४॥</v>
      </c>
      <c r="B2258" s="4" t="s">
        <v>10</v>
      </c>
      <c r="C2258" s="4"/>
    </row>
    <row r="2259" spans="1:3" ht="24" customHeight="1">
      <c r="A2259" s="4" t="str">
        <f ca="1">IFERROR(__xludf.DUMMYFUNCTION("""COMPUTED_VALUE"""),"त्वन्निष्यन्दोच्च्वसितवसुधागन्धसम्पर्करम्यः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मेघदूतम्-पूर्वमेघा १.४५॥")</f>
        <v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मेघदूतम्-पूर्वमेघा १.४५॥</v>
      </c>
      <c r="B2259" s="4" t="s">
        <v>7</v>
      </c>
      <c r="C2259" s="4"/>
    </row>
    <row r="2260" spans="1:3" ht="24" customHeight="1">
      <c r="A2260" s="4" t="str">
        <f ca="1">IFERROR(__xludf.DUMMYFUNCTION("""COMPUTED_VALUE"""),"तत्र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मेघदूतम्-पूर्वमेघा १.४६॥")</f>
        <v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मेघदूतम्-पूर्वमेघा १.४६॥</v>
      </c>
      <c r="B2260" s="4" t="s">
        <v>5</v>
      </c>
      <c r="C2260" s="4"/>
    </row>
    <row r="2261" spans="1:3" ht="24" customHeight="1">
      <c r="A2261" s="4" t="str">
        <f ca="1">IFERROR(__xludf.DUMMYFUNCTION("""COMPUTED_VALUE"""),"ज्योतिर्लेखावलयि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मेघदूतम्-पूर्वमेघा १.४७॥")</f>
        <v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मेघदूतम्-पूर्वमेघा १.४७॥</v>
      </c>
      <c r="B2261" s="4" t="s">
        <v>10</v>
      </c>
      <c r="C2261" s="4"/>
    </row>
    <row r="2262" spans="1:3" ht="24" customHeight="1">
      <c r="A2262" s="4" t="str">
        <f ca="1">IFERROR(__xludf.DUMMYFUNCTION("""COMPUTED_VALUE"""),"आराद्यैनं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मेघदूतम्-पूर्वमेघा १.४८॥")</f>
        <v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मेघदूतम्-पूर्वमेघा १.४८॥</v>
      </c>
      <c r="B2262" s="4" t="s">
        <v>2</v>
      </c>
      <c r="C2262" s="4"/>
    </row>
    <row r="2263" spans="1:3" ht="24" customHeight="1">
      <c r="A2263" s="4" t="str">
        <f ca="1">IFERROR(__xludf.DUMMYFUNCTION("""COMPUTED_VALUE"""),"त्वय्य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मेघदूतम्-पूर्वमेघा १.४९॥")</f>
        <v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मेघदूतम्-पूर्वमेघा १.४९॥</v>
      </c>
      <c r="B2263" s="4" t="s">
        <v>11</v>
      </c>
      <c r="C2263" s="4"/>
    </row>
    <row r="2264" spans="1:3" ht="24" customHeight="1">
      <c r="A2264" s="4" t="str">
        <f ca="1">IFERROR(__xludf.DUMMYFUNCTION("""COMPUTED_VALUE"""),"ताम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मेघदूतम्-पूर्वमेघा १.५०॥")</f>
        <v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मेघदूतम्-पूर्वमेघा १.५०॥</v>
      </c>
      <c r="B2264" s="4" t="s">
        <v>1</v>
      </c>
      <c r="C2264" s="4"/>
    </row>
    <row r="2265" spans="1:3" ht="24" customHeight="1">
      <c r="A2265" s="4" t="str">
        <f ca="1">IFERROR(__xludf.DUMMYFUNCTION("""COMPUTED_VALUE"""),"ब्रह्मावर्तं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मेघदूतम्-पूर्वमेघा १.५१॥")</f>
        <v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मेघदूतम्-पूर्वमेघा १.५१॥</v>
      </c>
      <c r="B2265" s="4" t="s">
        <v>1</v>
      </c>
      <c r="C2265" s="4"/>
    </row>
    <row r="2266" spans="1:3" ht="24" customHeight="1">
      <c r="A2266" s="4" t="str">
        <f ca="1">IFERROR(__xludf.DUMMYFUNCTION("""COMPUTED_VALUE"""),"हित्वा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मेघदूतम्-पूर्वमेघा १.५२॥")</f>
        <v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मेघदूतम्-पूर्वमेघा १.५२॥</v>
      </c>
      <c r="B2266" s="4" t="s">
        <v>7</v>
      </c>
      <c r="C2266" s="4"/>
    </row>
    <row r="2267" spans="1:3" ht="24" customHeight="1">
      <c r="A2267" s="4" t="str">
        <f ca="1">IFERROR(__xludf.DUMMYFUNCTION("""COMPUTED_VALUE"""),"तस्माद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मेघदूतम्-पूर्वमेघा १.५३॥")</f>
        <v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मेघदूतम्-पूर्वमेघा १.५३॥</v>
      </c>
      <c r="B2267" s="4" t="s">
        <v>2</v>
      </c>
      <c r="C2267" s="4"/>
    </row>
    <row r="2268" spans="1:3" ht="24" customHeight="1">
      <c r="A2268" s="4" t="str">
        <f ca="1">IFERROR(__xludf.DUMMYFUNCTION("""COMPUTED_VALUE"""),"तस्याः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मेघदूतम्-पूर्वमेघा १.५४॥")</f>
        <v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मेघदूतम्-पूर्वमेघा १.५४॥</v>
      </c>
      <c r="B2268" s="4" t="s">
        <v>12</v>
      </c>
      <c r="C2268" s="4"/>
    </row>
    <row r="2269" spans="1:3" ht="24" customHeight="1">
      <c r="A2269" s="4" t="str">
        <f ca="1">IFERROR(__xludf.DUMMYFUNCTION("""COMPUTED_VALUE"""),"आसीनानां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मेघदूतम्-पूर्वमेघा १.५५॥")</f>
        <v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मेघदूतम्-पूर्वमेघा १.५५॥</v>
      </c>
      <c r="B2269" s="4" t="s">
        <v>5</v>
      </c>
      <c r="C2269" s="4"/>
    </row>
    <row r="2270" spans="1:3" ht="24" customHeight="1">
      <c r="A2270" s="4" t="str">
        <f ca="1">IFERROR(__xludf.DUMMYFUNCTION("""COMPUTED_VALUE"""),"तं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मेघदूतम्-पूर्वमेघा १.५६॥")</f>
        <v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मेघदूतम्-पूर्वमेघा १.५६॥</v>
      </c>
      <c r="B2270" s="4" t="s">
        <v>1</v>
      </c>
      <c r="C2270" s="4"/>
    </row>
    <row r="2271" spans="1:3" ht="24" customHeight="1">
      <c r="A2271" s="4" t="str">
        <f ca="1">IFERROR(__xludf.DUMMYFUNCTION("""COMPUTED_VALUE"""),"ये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मेघदूतम्-पूर्वमेघा १.५७॥")</f>
        <v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मेघदूतम्-पूर्वमेघा १.५७॥</v>
      </c>
      <c r="B2271" s="4" t="s">
        <v>1</v>
      </c>
      <c r="C2271" s="4"/>
    </row>
    <row r="2272" spans="1:3" ht="24" customHeight="1">
      <c r="A2272" s="4" t="str">
        <f ca="1">IFERROR(__xludf.DUMMYFUNCTION("""COMPUTED_VALUE"""),"तत्र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मेघदूतम्-पूर्वमेघा १.५८॥")</f>
        <v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मेघदूतम्-पूर्वमेघा १.५८॥</v>
      </c>
      <c r="B2272" s="4" t="s">
        <v>1</v>
      </c>
      <c r="C2272" s="4"/>
    </row>
    <row r="2273" spans="1:3" ht="24" customHeight="1">
      <c r="A2273" s="4" t="str">
        <f ca="1">IFERROR(__xludf.DUMMYFUNCTION("""COMPUTED_VALUE"""),"शब्दायन्ते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मेघदूतम्-पूर्वमेघा १.५९॥")</f>
        <v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मेघदूतम्-पूर्वमेघा १.५९॥</v>
      </c>
      <c r="B2273" s="4" t="s">
        <v>15</v>
      </c>
      <c r="C2273" s="4"/>
    </row>
    <row r="2274" spans="1:3" ht="24" customHeight="1">
      <c r="A2274" s="4" t="str">
        <f ca="1">IFERROR(__xludf.DUMMYFUNCTION("""COMPUTED_VALUE"""),"प्रालेयाद्रेर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मेघदूतम्-पूर्वमेघा १.६०॥")</f>
        <v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मेघदूतम्-पूर्वमेघा १.६०॥</v>
      </c>
      <c r="B2274" s="4" t="s">
        <v>7</v>
      </c>
      <c r="C2274" s="4"/>
    </row>
    <row r="2275" spans="1:3" ht="24" customHeight="1">
      <c r="A2275" s="4" t="str">
        <f ca="1">IFERROR(__xludf.DUMMYFUNCTION("""COMPUTED_VALUE"""),"गत्वा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मेघदूतम्-पूर्वमेघा १.६१॥")</f>
        <v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मेघदूतम्-पूर्वमेघा १.६१॥</v>
      </c>
      <c r="B2275" s="4" t="s">
        <v>18</v>
      </c>
      <c r="C2275" s="4"/>
    </row>
    <row r="2276" spans="1:3" ht="24" customHeight="1">
      <c r="A2276" s="4" t="str">
        <f ca="1">IFERROR(__xludf.DUMMYFUNCTION("""COMPUTED_VALUE"""),"उत्पश्यामि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मेघदूतम्-पूर्वमेघा १.६२॥")</f>
        <v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मेघदूतम्-पूर्वमेघा १.६२॥</v>
      </c>
      <c r="B2276" s="4" t="s">
        <v>4</v>
      </c>
      <c r="C2276" s="4"/>
    </row>
    <row r="2277" spans="1:3" ht="24" customHeight="1">
      <c r="A2277" s="4" t="str">
        <f ca="1">IFERROR(__xludf.DUMMYFUNCTION("""COMPUTED_VALUE"""),"हित्वा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मेघदूतम्-पूर्वमेघा १.६३॥")</f>
        <v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मेघदूतम्-पूर्वमेघा १.६३॥</v>
      </c>
      <c r="B2277" s="4" t="s">
        <v>5</v>
      </c>
      <c r="C2277" s="4"/>
    </row>
    <row r="2278" spans="1:3" ht="24" customHeight="1">
      <c r="A2278" s="4" t="str">
        <f ca="1">IFERROR(__xludf.DUMMYFUNCTION("""COMPUTED_VALUE"""),"तत्रावश्यं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मेघदूतम्-पूर्वमेघा १.६४॥")</f>
        <v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मेघदूतम्-पूर्वमेघा १.६४॥</v>
      </c>
      <c r="B2278" s="4" t="s">
        <v>2</v>
      </c>
      <c r="C2278" s="4"/>
    </row>
    <row r="2279" spans="1:3" ht="24" customHeight="1">
      <c r="A2279" s="4" t="str">
        <f ca="1">IFERROR(__xludf.DUMMYFUNCTION("""COMPUTED_VALUE"""),"हेमाम्भोजप्रसवि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मेघदूतम्-पूर्वमेघा १.६५॥")</f>
        <v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मेघदूतम्-पूर्वमेघा १.६५॥</v>
      </c>
      <c r="B2279" s="4" t="s">
        <v>0</v>
      </c>
      <c r="C2279" s="4"/>
    </row>
    <row r="2280" spans="1:3" ht="24" customHeight="1">
      <c r="A2280" s="4" t="str">
        <f ca="1">IFERROR(__xludf.DUMMYFUNCTION("""COMPUTED_VALUE"""),"तस्योत्सङ्गे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मेघदूतम्-पूर्वमेघा १.६६॥")</f>
        <v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मेघदूतम्-पूर्वमेघा १.६६॥</v>
      </c>
      <c r="B2280" s="4" t="s">
        <v>17</v>
      </c>
      <c r="C2280" s="4"/>
    </row>
    <row r="2281" spans="1:3" ht="24" customHeight="1">
      <c r="A2281" s="4" t="str">
        <f ca="1">IFERROR(__xludf.DUMMYFUNCTION("""COMPUTED_VALUE"""),"विधुन्वन्तं ललितवनिताः सेन्द्रचापं सचित्राः संगीताय प्रहतमुरजाः स्निग्धगम्भीरघोषम अन्तस्तोयं मणिमयभुवस तुङ्गम अभ्रंलिहाग्राः प्रासादास त्वां तुलयितुम अलं यत्र तैस तैर विशेषैः॥ मेघदूतम्-उत्तरमेघा २.१॥")</f>
        <v>विधुन्वन्तं ललितवनिताः सेन्द्रचापं सचित्राः संगीताय प्रहतमुरजाः स्निग्धगम्भीरघोषम अन्तस्तोयं मणिमयभुवस तुङ्गम अभ्रंलिहाग्राः प्रासादास त्वां तुलयितुम अलं यत्र तैस तैर विशेषैः॥ मेघदूतम्-उत्तरमेघा २.१॥</v>
      </c>
      <c r="B2281" s="4" t="s">
        <v>13</v>
      </c>
      <c r="C2281" s="4"/>
    </row>
    <row r="2282" spans="1:3" ht="24" customHeight="1">
      <c r="A2282" s="4" t="str">
        <f ca="1">IFERROR(__xludf.DUMMYFUNCTION("""COMPUTED_VALUE"""),"हस्ते लीलाकमलम अलके बालकुन्दानुविद्धं नीता लोध्रप्रसवरजसा पाण्डुताम आनने श्रीः चूडापाशे नवकुरवकं चारु कर्णे शिरीषं सीमन्ते च त्वदुपगमजं यत्र नीपं वधूनाम॥ मेघदूतम्-उत्तरमेघा २.२॥")</f>
        <v>हस्ते लीलाकमलम अलके बालकुन्दानुविद्धं नीता लोध्रप्रसवरजसा पाण्डुताम आनने श्रीः चूडापाशे नवकुरवकं चारु कर्णे शिरीषं सीमन्ते च त्वदुपगमजं यत्र नीपं वधूनाम॥ मेघदूतम्-उत्तरमेघा २.२॥</v>
      </c>
      <c r="B2282" s="4" t="s">
        <v>1</v>
      </c>
      <c r="C2282" s="4"/>
    </row>
    <row r="2283" spans="1:3" ht="24" customHeight="1">
      <c r="A2283" s="4" t="str">
        <f ca="1">IFERROR(__xludf.DUMMYFUNCTION("""COMPUTED_VALUE"""),"यत्रोन्मत्तभ्रमरमुखराः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मेघदूतम्-उत्तरमेघा २.३॥")</f>
        <v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मेघदूतम्-उत्तरमेघा २.३॥</v>
      </c>
      <c r="B2283" s="4" t="s">
        <v>13</v>
      </c>
      <c r="C2283" s="4"/>
    </row>
    <row r="2284" spans="1:3" ht="24" customHeight="1">
      <c r="A2284" s="4" t="str">
        <f ca="1">IFERROR(__xludf.DUMMYFUNCTION("""COMPUTED_VALUE"""),"आनन्दोत्थं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मेघदूतम्-उत्तरमेघा २.४॥")</f>
        <v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मेघदूतम्-उत्तरमेघा २.४॥</v>
      </c>
      <c r="B2284" s="4" t="s">
        <v>2</v>
      </c>
      <c r="C2284" s="4"/>
    </row>
    <row r="2285" spans="1:3" ht="24" customHeight="1">
      <c r="A2285" s="4" t="str">
        <f ca="1">IFERROR(__xludf.DUMMYFUNCTION("""COMPUTED_VALUE"""),"यस्यां यक्षाः सितमणिमयान्य एत्य हर्म्यस्थलानि ज्योतिश्चायाकुसुमरचितान्य उत्तमस्त्रीसहायाः आसेवन्ते मधु रतिफलं कल्पवृक्षप्रसूतं त्वद्गम्भीरध्वनिषु शनकैः पुष्करेष्व आहतेषु॥ मेघदूतम्-उत्तरमेघा २.५॥")</f>
        <v>यस्यां यक्षाः सितमणिमयान्य एत्य हर्म्यस्थलानि ज्योतिश्चायाकुसुमरचितान्य उत्तमस्त्रीसहायाः आसेवन्ते मधु रतिफलं कल्पवृक्षप्रसूतं त्वद्गम्भीरध्वनिषु शनकैः पुष्करेष्व आहतेषु॥ मेघदूतम्-उत्तरमेघा २.५॥</v>
      </c>
      <c r="B2285" s="4" t="s">
        <v>13</v>
      </c>
      <c r="C2285" s="4"/>
    </row>
    <row r="2286" spans="1:3" ht="24" customHeight="1">
      <c r="A2286" s="4" t="str">
        <f ca="1">IFERROR(__xludf.DUMMYFUNCTION("""COMPUTED_VALUE"""),"मन्दाकिन्याः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मेघदूतम्-उत्तरमेघा २.६॥")</f>
        <v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मेघदूतम्-उत्तरमेघा २.६॥</v>
      </c>
      <c r="B2286" s="4" t="s">
        <v>5</v>
      </c>
      <c r="C2286" s="4"/>
    </row>
    <row r="2287" spans="1:3" ht="24" customHeight="1">
      <c r="A2287" s="4" t="str">
        <f ca="1">IFERROR(__xludf.DUMMYFUNCTION("""COMPUTED_VALUE"""),"नीवीबन्धोच्च्वासितशिथिलं यत्र बिम्बाधराणां क्षौमं रागादनिभृतकरेष्व आक्षिपत्सु प्रियेषु अर्चिस्तुङ्गान अभिमुखम अपि प्राप्य रत्नप्रदीपान ह्रीमूढानां भवति विफलप्रेरणा चूर्णमुष्टिः॥ मेघदूतम्-उत्तरमेघा २.७॥")</f>
        <v>नीवीबन्धोच्च्वासितशिथिलं यत्र बिम्बाधराणां क्षौमं रागादनिभृतकरेष्व आक्षिपत्सु प्रियेषु अर्चिस्तुङ्गान अभिमुखम अपि प्राप्य रत्नप्रदीपान ह्रीमूढानां भवति विफलप्रेरणा चूर्णमुष्टिः॥ मेघदूतम्-उत्तरमेघा २.७॥</v>
      </c>
      <c r="B2287" s="4" t="s">
        <v>23</v>
      </c>
      <c r="C2287" s="4"/>
    </row>
    <row r="2288" spans="1:3" ht="24" customHeight="1">
      <c r="A2288" s="4" t="str">
        <f ca="1">IFERROR(__xludf.DUMMYFUNCTION("""COMPUTED_VALUE"""),"नेत्रा नीताः सततगतिना यद्विमानाग्रभूमीर आलेख्यानां सलिलकणिकादोषम उत्पाद्य सद्यः शङ्कास्पृष्टा इव जलमुचस त्वादृशा जालमार्गैर धूमोद्गारानुकृतिनिपुणा जर्जरा निष्पतन्ति॥ मेघदूतम्-उत्तरमेघा २.८॥")</f>
        <v>नेत्रा नीताः सततगतिना यद्विमानाग्रभूमीर आलेख्यानां सलिलकणिकादोषम उत्पाद्य सद्यः शङ्कास्पृष्टा इव जलमुचस त्वादृशा जालमार्गैर धूमोद्गारानुकृतिनिपुणा जर्जरा निष्पतन्ति॥ मेघदूतम्-उत्तरमेघा २.८॥</v>
      </c>
      <c r="B2288" s="4" t="s">
        <v>2</v>
      </c>
      <c r="C2288" s="4"/>
    </row>
    <row r="2289" spans="1:3" ht="24" customHeight="1">
      <c r="A2289" s="4" t="str">
        <f ca="1">IFERROR(__xludf.DUMMYFUNCTION("""COMPUTED_VALUE"""),"यत्र स्त्रीणां प्रियतमभुजोच्च्वासितालिङ्गितानाम अङ्गग्लानिं सुरतजनितां तन्तुजालावलम्बाः त्वत्संरोधापगमविशदश चन्द्रपादैर निशीथे व्यालुम्पन्ति स्फुटजललवस्यन्दिनश चन्द्रकान्ताः॥ मेघदूतम्-उत्तरमेघा २.९॥")</f>
        <v>यत्र स्त्रीणां प्रियतमभुजोच्च्वासितालिङ्गितानाम अङ्गग्लानिं सुरतजनितां तन्तुजालावलम्बाः त्वत्संरोधापगमविशदश चन्द्रपादैर निशीथे व्यालुम्पन्ति स्फुटजललवस्यन्दिनश चन्द्रकान्ताः॥ मेघदूतम्-उत्तरमेघा २.९॥</v>
      </c>
      <c r="B2289" s="4" t="s">
        <v>2</v>
      </c>
      <c r="C2289" s="4"/>
    </row>
    <row r="2290" spans="1:3" ht="24" customHeight="1">
      <c r="A2290" s="4" t="str">
        <f ca="1">IFERROR(__xludf.DUMMYFUNCTION("""COMPUTED_VALUE"""),"अक्षय्यान्तर्भवननिधयः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मेघदूतम्-उत्तरमेघा २.१०॥")</f>
        <v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मेघदूतम्-उत्तरमेघा २.१०॥</v>
      </c>
      <c r="B2290" s="4" t="s">
        <v>2</v>
      </c>
      <c r="C2290" s="4"/>
    </row>
    <row r="2291" spans="1:3" ht="24" customHeight="1">
      <c r="A2291" s="4" t="str">
        <f ca="1">IFERROR(__xludf.DUMMYFUNCTION("""COMPUTED_VALUE"""),"गत्युत्कम्पाद अलकपतितैर यत्र मन्दारपुष्पैः पुत्रच्चेदैः कनककमलैः कर्णविस्रंशिभिश च मुक्ताजालैः स्तनपरिसरच्चिन्नसूत्रैश च हारैर नैशो मार्गः सवितुर उदये सूच्यते कामिनीनाम॥ मेघदूतम्-उत्तरमेघा २.११॥")</f>
        <v>गत्युत्कम्पाद अलकपतितैर यत्र मन्दारपुष्पैः पुत्रच्चेदैः कनककमलैः कर्णविस्रंशिभिश च मुक्ताजालैः स्तनपरिसरच्चिन्नसूत्रैश च हारैर नैशो मार्गः सवितुर उदये सूच्यते कामिनीनाम॥ मेघदूतम्-उत्तरमेघा २.११॥</v>
      </c>
      <c r="B2291" s="4" t="s">
        <v>1</v>
      </c>
      <c r="C2291" s="4"/>
    </row>
    <row r="2292" spans="1:3" ht="24" customHeight="1">
      <c r="A2292" s="4" t="str">
        <f ca="1">IFERROR(__xludf.DUMMYFUNCTION("""COMPUTED_VALUE"""),"वासश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मेघदूतम्-उत्तरमेघा २.१२॥")</f>
        <v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मेघदूतम्-उत्तरमेघा २.१२॥</v>
      </c>
      <c r="B2292" s="4" t="s">
        <v>13</v>
      </c>
      <c r="C2292" s="4"/>
    </row>
    <row r="2293" spans="1:3" ht="24" customHeight="1">
      <c r="A2293" s="4" t="str">
        <f ca="1">IFERROR(__xludf.DUMMYFUNCTION("""COMPUTED_VALUE"""),"पत्रश्यामा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मेघदूतम्-उत्तरमेघा २.१३॥")</f>
        <v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मेघदूतम्-उत्तरमेघा २.१३॥</v>
      </c>
      <c r="B2293" s="4" t="s">
        <v>19</v>
      </c>
      <c r="C2293" s="4"/>
    </row>
    <row r="2294" spans="1:3" ht="24" customHeight="1">
      <c r="A2294" s="4" t="str">
        <f ca="1">IFERROR(__xludf.DUMMYFUNCTION("""COMPUTED_VALUE"""),"मत्वा देवं धनपतिसखं यत्र साक्षाद वसन्तं प्रायश चापं न वहति भयान मन्मथः षट्पदज्यम सभ्रूभङ्गप्रहितनयनैः कामिलक्ष्येष्व अमोघैस तस्यारम्भश चतुरवनिताविभ्रमैर एव सिद्धः॥ मेघदूतम्-उत्तरमेघा २.१४॥")</f>
        <v>मत्वा देवं धनपतिसखं यत्र साक्षाद वसन्तं प्रायश चापं न वहति भयान मन्मथः षट्पदज्यम सभ्रूभङ्गप्रहितनयनैः कामिलक्ष्येष्व अमोघैस तस्यारम्भश चतुरवनिताविभ्रमैर एव सिद्धः॥ मेघदूतम्-उत्तरमेघा २.१४॥</v>
      </c>
      <c r="B2294" s="4" t="s">
        <v>20</v>
      </c>
      <c r="C2294" s="4"/>
    </row>
    <row r="2295" spans="1:3" ht="24" customHeight="1">
      <c r="A2295" s="4" t="str">
        <f ca="1">IFERROR(__xludf.DUMMYFUNCTION("""COMPUTED_VALUE"""),"तत्रागारं धनपतिगृहान उत्तरेणास्मदीयं दूराल लक्ष्यं सुरपतिधनुश्चारुणा तोरणेन यस्योपान्ते कृतकतनयः कान्तया वर्धितो मे हस्तप्राप्यस्तवकनमितो बालमन्दारवृक्षः॥ मेघदूतम्-उत्तरमेघा २.१५॥")</f>
        <v>तत्रागारं धनपतिगृहान उत्तरेणास्मदीयं दूराल लक्ष्यं सुरपतिधनुश्चारुणा तोरणेन यस्योपान्ते कृतकतनयः कान्तया वर्धितो मे हस्तप्राप्यस्तवकनमितो बालमन्दारवृक्षः॥ मेघदूतम्-उत्तरमेघा २.१५॥</v>
      </c>
      <c r="B2295" s="4" t="s">
        <v>13</v>
      </c>
      <c r="C2295" s="4"/>
    </row>
    <row r="2296" spans="1:3" ht="24" customHeight="1">
      <c r="A2296" s="4" t="str">
        <f ca="1">IFERROR(__xludf.DUMMYFUNCTION("""COMPUTED_VALUE"""),"वापी चास्मिन मरकतशिलाबद्धसोपानमार्गा हैमैश्चन्ना विकचकमलैः स्निग्धवैदूर्यनालैः यस्यास तोये कृतवसतयो मानसं संनिकृष्टं नाध्यास्यन्ति व्यपगतशुचस त्वाम अपि प्रेक्ष्य हंसाः॥ मेघदूतम्-उत्तरमेघा २.१६॥")</f>
        <v>वापी चास्मिन मरकतशिलाबद्धसोपानमार्गा हैमैश्चन्ना विकचकमलैः स्निग्धवैदूर्यनालैः यस्यास तोये कृतवसतयो मानसं संनिकृष्टं नाध्यास्यन्ति व्यपगतशुचस त्वाम अपि प्रेक्ष्य हंसाः॥ मेघदूतम्-उत्तरमेघा २.१६॥</v>
      </c>
      <c r="B2296" s="4" t="s">
        <v>18</v>
      </c>
      <c r="C2296" s="4"/>
    </row>
    <row r="2297" spans="1:3" ht="24" customHeight="1">
      <c r="A2297" s="4" t="str">
        <f ca="1">IFERROR(__xludf.DUMMYFUNCTION("""COMPUTED_VALUE"""),"तस्यास तीरे रचितशिखरः पेशलैर इन्द्रनीलैः क्रीडाशैलः कनककदलीवेष्टनप्रेक्षणीयः मद्गेहिन्याः प्रिय इति सखे चेतसा कातरेण प्रेक्ष्योपान्तस्फुरिततडितं त्वां तम एव स्मरामि॥ मेघदूतम्-उत्तरमेघा २.१७॥")</f>
        <v>तस्यास तीरे रचितशिखरः पेशलैर इन्द्रनीलैः क्रीडाशैलः कनककदलीवेष्टनप्रेक्षणीयः मद्गेहिन्याः प्रिय इति सखे चेतसा कातरेण प्रेक्ष्योपान्तस्फुरिततडितं त्वां तम एव स्मरामि॥ मेघदूतम्-उत्तरमेघा २.१७॥</v>
      </c>
      <c r="B2297" s="4" t="s">
        <v>12</v>
      </c>
      <c r="C2297" s="4"/>
    </row>
    <row r="2298" spans="1:3" ht="24" customHeight="1">
      <c r="A2298" s="4" t="str">
        <f ca="1">IFERROR(__xludf.DUMMYFUNCTION("""COMPUTED_VALUE"""),"रक्ताशोकश चलकिसलयः केसरश चात्र कान्तः प्रत्यासन्नौ कुरुवकवृतेर माधवीमण्डपस्य एकः सख्यास तव सह मया वामपादाभिलाषी काङ्क्षत्य अन्यो वदनमदिरां दोहदच्चद्मनास्याः॥ मेघदूतम्-उत्तरमेघा २.१८॥")</f>
        <v>रक्ताशोकश चलकिसलयः केसरश चात्र कान्तः प्रत्यासन्नौ कुरुवकवृतेर माधवीमण्डपस्य एकः सख्यास तव सह मया वामपादाभिलाषी काङ्क्षत्य अन्यो वदनमदिरां दोहदच्चद्मनास्याः॥ मेघदूतम्-उत्तरमेघा २.१८॥</v>
      </c>
      <c r="B2298" s="4" t="s">
        <v>5</v>
      </c>
      <c r="C2298" s="4"/>
    </row>
    <row r="2299" spans="1:3" ht="24" customHeight="1">
      <c r="A2299" s="4" t="str">
        <f ca="1">IFERROR(__xludf.DUMMYFUNCTION("""COMPUTED_VALUE"""),"तन्मध्ये च स्फटिकफलका काञ्चनी वासयष्टिर मूले बद्धा मणिभिर अनतिप्रौढवंशप्रकाशैः तालैः शिञ्जावलयसुभगैर नर्तितः कान्तया मे याम अध्यास्ते दिवसविगमे नीलकण्ठः सुहृद वः॥ मेघदूतम्-उत्तरमेघा २.१९॥")</f>
        <v>तन्मध्ये च स्फटिकफलका काञ्चनी वासयष्टिर मूले बद्धा मणिभिर अनतिप्रौढवंशप्रकाशैः तालैः शिञ्जावलयसुभगैर नर्तितः कान्तया मे याम अध्यास्ते दिवसविगमे नीलकण्ठः सुहृद वः॥ मेघदूतम्-उत्तरमेघा २.१९॥</v>
      </c>
      <c r="B2299" s="4" t="s">
        <v>4</v>
      </c>
      <c r="C2299" s="4"/>
    </row>
    <row r="2300" spans="1:3" ht="24" customHeight="1">
      <c r="A2300" s="4" t="str">
        <f ca="1">IFERROR(__xludf.DUMMYFUNCTION("""COMPUTED_VALUE"""),"एभिः साधो हृदयनिहितैर लक्षणैर लक्षयेथा द्वारोपान्ते लिखितवपुषौ शङ्खपद्मौ च दृष्ट्वा क्षामच्चायां भवनम अधुना मद्वियोगेन नूनं सूर्यापाये न खलु कमलं पुष्यति स्वामभिख्याम॥ मेघदूतम्-उत्तरमेघा २.२०॥")</f>
        <v>एभिः साधो हृदयनिहितैर लक्षणैर लक्षयेथा द्वारोपान्ते लिखितवपुषौ शङ्खपद्मौ च दृष्ट्वा क्षामच्चायां भवनम अधुना मद्वियोगेन नूनं सूर्यापाये न खलु कमलं पुष्यति स्वामभिख्याम॥ मेघदूतम्-उत्तरमेघा २.२०॥</v>
      </c>
      <c r="B2300" s="4" t="s">
        <v>5</v>
      </c>
      <c r="C2300" s="4"/>
    </row>
    <row r="2301" spans="1:3" ht="24" customHeight="1">
      <c r="A2301" s="4" t="str">
        <f ca="1">IFERROR(__xludf.DUMMYFUNCTION("""COMPUTED_VALUE"""),"गत्वा सद्यः कलभतनुतां शीघ्रसंपातहेतोः क्रीडाशैले प्रथमकथिते रम्यसानौ निषण्णः अर्हस्य अन्तर्भवनपतितां कर्तुम अल्पाल्पभासं खद्योतालीविलसितनिभां विद्युदुन्मेषदृष्टिम॥ मेघदूतम्-उत्तरमेघा २.२१॥")</f>
        <v>गत्वा सद्यः कलभतनुतां शीघ्रसंपातहेतोः क्रीडाशैले प्रथमकथिते रम्यसानौ निषण्णः अर्हस्य अन्तर्भवनपतितां कर्तुम अल्पाल्पभासं खद्योतालीविलसितनिभां विद्युदुन्मेषदृष्टिम॥ मेघदूतम्-उत्तरमेघा २.२१॥</v>
      </c>
      <c r="B2301" s="4" t="s">
        <v>23</v>
      </c>
      <c r="C2301" s="4"/>
    </row>
    <row r="2302" spans="1:3" ht="24" customHeight="1">
      <c r="A2302" s="4" t="str">
        <f ca="1">IFERROR(__xludf.DUMMYFUNCTION("""COMPUTED_VALUE"""),"तन्वी श्यामा शिखरीदशना पक्वबिम्बाधरौष्ठी मध्ये क्षामा चकितहरिणीप्रेक्षणा निम्ननाभिः श्रोणीभाराद अलसगमना स्तोकनम्रा स्तनाभ्यां या तत्र स्याद युवतीविषये सृष्टिर आद्यैव धातुः॥ मेघदूतम्-उत्तरमेघा २.२२॥")</f>
        <v>तन्वी श्यामा शिखरीदशना पक्वबिम्बाधरौष्ठी मध्ये क्षामा चकितहरिणीप्रेक्षणा निम्ननाभिः श्रोणीभाराद अलसगमना स्तोकनम्रा स्तनाभ्यां या तत्र स्याद युवतीविषये सृष्टिर आद्यैव धातुः॥ मेघदूतम्-उत्तरमेघा २.२२॥</v>
      </c>
      <c r="B2302" s="4" t="s">
        <v>2</v>
      </c>
      <c r="C2302" s="4"/>
    </row>
    <row r="2303" spans="1:3" ht="24" customHeight="1">
      <c r="A2303" s="4" t="str">
        <f ca="1">IFERROR(__xludf.DUMMYFUNCTION("""COMPUTED_VALUE"""),"तां जानीथाः परिमितकथां जीवितं मे द्वितीयं दूरीभूते मयि सहचरे चक्रवाकीम इवैकाम गाढोत्कण्ठां गुरुषु दिवसेष्व एषु गच्चत्सु बालां जातां मन्ये शिशिरमथितां पद्मिनीं वान्यरूपाम॥ मेघदूतम्-उत्तरमेघा २.२३॥")</f>
        <v>तां जानीथाः परिमितकथां जीवितं मे द्वितीयं दूरीभूते मयि सहचरे चक्रवाकीम इवैकाम गाढोत्कण्ठां गुरुषु दिवसेष्व एषु गच्चत्सु बालां जातां मन्ये शिशिरमथितां पद्मिनीं वान्यरूपाम॥ मेघदूतम्-उत्तरमेघा २.२३॥</v>
      </c>
      <c r="B2303" s="4" t="s">
        <v>9</v>
      </c>
      <c r="C2303" s="4"/>
    </row>
    <row r="2304" spans="1:3" ht="24" customHeight="1">
      <c r="A2304" s="4" t="str">
        <f ca="1">IFERROR(__xludf.DUMMYFUNCTION("""COMPUTED_VALUE"""),"नूनं तस्याः प्रबलरुदितोच्चूननेत्रं प्रियाया निःश्वासानाम अशिशिरतया भिन्नवर्णाधरोष्ठम हस्तन्यस्तं मुखम असकलव्यक्ति लम्बालकत्वाद इन्दोर दैन्यं त्वदनुसरणक्लिष्टकान्तेर बिभर्ति॥ मेघदूतम्-उत्तरमेघा २.२४॥")</f>
        <v>नूनं तस्याः प्रबलरुदितोच्चूननेत्रं प्रियाया निःश्वासानाम अशिशिरतया भिन्नवर्णाधरोष्ठम हस्तन्यस्तं मुखम असकलव्यक्ति लम्बालकत्वाद इन्दोर दैन्यं त्वदनुसरणक्लिष्टकान्तेर बिभर्ति॥ मेघदूतम्-उत्तरमेघा २.२४॥</v>
      </c>
      <c r="B2304" s="4" t="s">
        <v>2</v>
      </c>
      <c r="C2304" s="4"/>
    </row>
    <row r="2305" spans="1:3" ht="24" customHeight="1">
      <c r="A2305" s="4" t="str">
        <f ca="1">IFERROR(__xludf.DUMMYFUNCTION("""COMPUTED_VALUE"""),"आलोके ते निपतति पुरा सा बलिव्याकुला वा मत्सादृश्यं विरहतनु वा भावगम्यं लिखन्ती पृच्चन्ती वा मधुरवचनां सारिकां पञ्जरस्थां कच्चिद भर्तुः स्मरसि रसिके त्वं हि तस्य प्रियेति॥ मेघदूतम्-उत्तरमेघा २.२५॥")</f>
        <v>आलोके ते निपतति पुरा सा बलिव्याकुला वा मत्सादृश्यं विरहतनु वा भावगम्यं लिखन्ती पृच्चन्ती वा मधुरवचनां सारिकां पञ्जरस्थां कच्चिद भर्तुः स्मरसि रसिके त्वं हि तस्य प्रियेति॥ मेघदूतम्-उत्तरमेघा २.२५॥</v>
      </c>
      <c r="B2305" s="4" t="s">
        <v>2</v>
      </c>
      <c r="C2305" s="4"/>
    </row>
    <row r="2306" spans="1:3" ht="24" customHeight="1">
      <c r="A2306" s="4" t="str">
        <f ca="1">IFERROR(__xludf.DUMMYFUNCTION("""COMPUTED_VALUE"""),"उत्सङ्गे वा मलिनवसने सौम्य निक्षिप्य वीणां मद्गोत्राङ्कं विरचितपदं गेयम उद्गातुकामा तन्त्रीम आर्द्रां नयनसलिलैः सारयित्वा कथंचिद भूयो भूयः स्वयम अपि कृतां मूर्च्चनां विस्मरन्ती॥ मेघदूतम्-उत्तरमेघा २.२६॥")</f>
        <v>उत्सङ्गे वा मलिनवसने सौम्य निक्षिप्य वीणां मद्गोत्राङ्कं विरचितपदं गेयम उद्गातुकामा तन्त्रीम आर्द्रां नयनसलिलैः सारयित्वा कथंचिद भूयो भूयः स्वयम अपि कृतां मूर्च्चनां विस्मरन्ती॥ मेघदूतम्-उत्तरमेघा २.२६॥</v>
      </c>
      <c r="B2306" s="4" t="s">
        <v>2</v>
      </c>
      <c r="C2306" s="4"/>
    </row>
    <row r="2307" spans="1:3" ht="24" customHeight="1">
      <c r="A2307" s="4" t="str">
        <f ca="1">IFERROR(__xludf.DUMMYFUNCTION("""COMPUTED_VALUE"""),"शेषान मासान विरहदिवासस्थापितस्यावधेर वा विन्यस्यन्ती भुवि गणनया देहलीदत्तपुष्पैःसम्भोगं वा हृदयनिहितारम्भम आस्वादयन्ती प्रायेणैते रमणविरहेष्व अङ्गनानां विनोदाः॥ मेघदूतम्-उत्तरमेघा २.२७॥")</f>
        <v>शेषान मासान विरहदिवासस्थापितस्यावधेर वा विन्यस्यन्ती भुवि गणनया देहलीदत्तपुष्पैःसम्भोगं वा हृदयनिहितारम्भम आस्वादयन्ती प्रायेणैते रमणविरहेष्व अङ्गनानां विनोदाः॥ मेघदूतम्-उत्तरमेघा २.२७॥</v>
      </c>
      <c r="B2307" s="4" t="s">
        <v>17</v>
      </c>
      <c r="C2307" s="4"/>
    </row>
    <row r="2308" spans="1:3" ht="24" customHeight="1">
      <c r="A2308" s="4" t="str">
        <f ca="1">IFERROR(__xludf.DUMMYFUNCTION("""COMPUTED_VALUE"""),"सव्यापारम अहनि न तथा पीडयेद विप्रयोगः शङ्के रात्रौ गुरुतरशुचं निर्विनोदां सखीं ते मत्सन्देशः सुखयितुम अलं पश्य साध्वीं निशीथे ताम उन्निद्राम अवनिशयनां सौधवातायनस्थः॥ मेघदूतम्-उत्तरमेघा २.२८॥")</f>
        <v>सव्यापारम अहनि न तथा पीडयेद विप्रयोगः शङ्के रात्रौ गुरुतरशुचं निर्विनोदां सखीं ते मत्सन्देशः सुखयितुम अलं पश्य साध्वीं निशीथे ताम उन्निद्राम अवनिशयनां सौधवातायनस्थः॥ मेघदूतम्-उत्तरमेघा २.२८॥</v>
      </c>
      <c r="B2308" s="4" t="s">
        <v>10</v>
      </c>
      <c r="C2308" s="4"/>
    </row>
    <row r="2309" spans="1:3" ht="24" customHeight="1">
      <c r="A2309" s="4" t="str">
        <f ca="1">IFERROR(__xludf.DUMMYFUNCTION("""COMPUTED_VALUE"""),"आधिक्षामां विरहशयने संनिषण्णैकपार्श्वां प्राचीमूले तनुम इव कलामात्रशेषां हिमांशोः नीता रात्रिः क्षण इव मया सार्धम इच्चारतैर या ताम एवोष्णैर विरहमहतीम अश्रुभिर यापयन्तीम॥ मेघदूतम्-उत्तरमेघा २.२९॥")</f>
        <v>आधिक्षामां विरहशयने संनिषण्णैकपार्श्वां प्राचीमूले तनुम इव कलामात्रशेषां हिमांशोः नीता रात्रिः क्षण इव मया सार्धम इच्चारतैर या ताम एवोष्णैर विरहमहतीम अश्रुभिर यापयन्तीम॥ मेघदूतम्-उत्तरमेघा २.२९॥</v>
      </c>
      <c r="B2309" s="4" t="s">
        <v>2</v>
      </c>
      <c r="C2309" s="4"/>
    </row>
    <row r="2310" spans="1:3" ht="24" customHeight="1">
      <c r="A2310" s="4" t="str">
        <f ca="1">IFERROR(__xludf.DUMMYFUNCTION("""COMPUTED_VALUE"""),"पादान इन्दोरमृतशिशिराञ्जलमार्गप्रविष्टान पूर्वप्रीत्या गतमभुमुखं संनिवृत्तं तथैव चक्षुः खेदात सलिलगुरुभिः पक्ष्मभिश्चादयन्तीं साभ्रेऽह्नीव स्थलकमलिनी न प्रभुद्धां न सुप्ताम॥ मेघदूतम्-उत्तरमेघा २.३०॥")</f>
        <v>पादान इन्दोरमृतशिशिराञ्जलमार्गप्रविष्टान पूर्वप्रीत्या गतमभुमुखं संनिवृत्तं तथैव चक्षुः खेदात सलिलगुरुभिः पक्ष्मभिश्चादयन्तीं साभ्रेऽह्नीव स्थलकमलिनी न प्रभुद्धां न सुप्ताम॥ मेघदूतम्-उत्तरमेघा २.३०॥</v>
      </c>
      <c r="B2310" s="4" t="s">
        <v>2</v>
      </c>
      <c r="C2310" s="4"/>
    </row>
    <row r="2311" spans="1:3" ht="24" customHeight="1">
      <c r="A2311" s="4" t="str">
        <f ca="1">IFERROR(__xludf.DUMMYFUNCTION("""COMPUTED_VALUE"""),"निःश्वासेनाधरकिसलयक्लेशिना विक्षिपन्तीं शुद्धस्नानात परुषमलकं नूनमागण्ण्दलम्बम मत्संभोगः कथमुपनमेत स्वप्नजोऽपीति निद्राम आकाङ्क्षन्तीं नयनसलिलोत्पीडरुद्धावकाशम॥ मेघदूतम्-उत्तरमेघा २.३१॥")</f>
        <v>निःश्वासेनाधरकिसलयक्लेशिना विक्षिपन्तीं शुद्धस्नानात परुषमलकं नूनमागण्ण्दलम्बम मत्संभोगः कथमुपनमेत स्वप्नजोऽपीति निद्राम आकाङ्क्षन्तीं नयनसलिलोत्पीडरुद्धावकाशम॥ मेघदूतम्-उत्तरमेघा २.३१॥</v>
      </c>
      <c r="B2311" s="4" t="s">
        <v>8</v>
      </c>
      <c r="C2311" s="4"/>
    </row>
    <row r="2312" spans="1:3" ht="24" customHeight="1">
      <c r="A2312" s="4" t="str">
        <f ca="1">IFERROR(__xludf.DUMMYFUNCTION("""COMPUTED_VALUE"""),"आद्ये बद्धा विरहदिवसे या शिखा दाम हित्वा शापस्यान्ते विगलितशुचा तां मयोद्वेष्टनीयाम स्पर्शक्लिष्टाम अयमितनखेनासकृत्सारयन्तीं गण्डाभोगात कठिनविषमाम एकवेणीं करेण॥ मेघदूतम्-उत्तरमेघा २.३२॥")</f>
        <v>आद्ये बद्धा विरहदिवसे या शिखा दाम हित्वा शापस्यान्ते विगलितशुचा तां मयोद्वेष्टनीयाम स्पर्शक्लिष्टाम अयमितनखेनासकृत्सारयन्तीं गण्डाभोगात कठिनविषमाम एकवेणीं करेण॥ मेघदूतम्-उत्तरमेघा २.३२॥</v>
      </c>
      <c r="B2312" s="4" t="s">
        <v>7</v>
      </c>
      <c r="C2312" s="4"/>
    </row>
    <row r="2313" spans="1:3" ht="24" customHeight="1">
      <c r="A2313" s="4" t="str">
        <f ca="1">IFERROR(__xludf.DUMMYFUNCTION("""COMPUTED_VALUE"""),"सा संन्यस्ताभरणम अबला पेशलं धारयन्ती शय्योत्सङ्गे निहितम असकृद दुःखदुःखेन गात्रम त्वाम अप्य अस्रं नवजलमयं मोचयिष्यत्य अवश्यं प्रायः सर्वो भवति करुणावृत्तिर आर्द्रान्तरात्मा॥ मेघदूतम्-उत्तरमेघा २.३३॥")</f>
        <v>सा संन्यस्ताभरणम अबला पेशलं धारयन्ती शय्योत्सङ्गे निहितम असकृद दुःखदुःखेन गात्रम त्वाम अप्य अस्रं नवजलमयं मोचयिष्यत्य अवश्यं प्रायः सर्वो भवति करुणावृत्तिर आर्द्रान्तरात्मा॥ मेघदूतम्-उत्तरमेघा २.३३॥</v>
      </c>
      <c r="B2313" s="4" t="s">
        <v>12</v>
      </c>
      <c r="C2313" s="4"/>
    </row>
    <row r="2314" spans="1:3" ht="24" customHeight="1">
      <c r="A2314" s="4" t="str">
        <f ca="1">IFERROR(__xludf.DUMMYFUNCTION("""COMPUTED_VALUE"""),"जाने सख्यास तव मयि मनः संभृतस्नेहमस्माद इत्थंभूतां प्रथमविरहे ताम अहं तर्कयामि वाचालं मां न खलु सुभगंमन्यभावः करोति प्रत्यक्षं ते निखिलम अचिराद भ्रातर उक्तं मया यत॥ मेघदूतम्-उत्तरमेघा २.३४॥")</f>
        <v>जाने सख्यास तव मयि मनः संभृतस्नेहमस्माद इत्थंभूतां प्रथमविरहे ताम अहं तर्कयामि वाचालं मां न खलु सुभगंमन्यभावः करोति प्रत्यक्षं ते निखिलम अचिराद भ्रातर उक्तं मया यत॥ मेघदूतम्-उत्तरमेघा २.३४॥</v>
      </c>
      <c r="B2314" s="4" t="s">
        <v>2</v>
      </c>
      <c r="C2314" s="4"/>
    </row>
    <row r="2315" spans="1:3" ht="24" customHeight="1">
      <c r="A2315" s="4" t="str">
        <f ca="1">IFERROR(__xludf.DUMMYFUNCTION("""COMPUTED_VALUE"""),"रुद्धापाङ्गप्रसरम अलकैर अञ्जनस्नेहशून्यं प्रत्यादेशाद अपि च मधुनो विस्मृतभ्रूविलासम त्वय्य आसन्ने नयनम उपरिस्पन्दि शङ्के मृगाक्ष्या मीनक्षोभाच चलकुवलयश्रीतुलाम एष्यतीति॥ मेघदूतम्-उत्तरमेघा २.३५॥")</f>
        <v>रुद्धापाङ्गप्रसरम अलकैर अञ्जनस्नेहशून्यं प्रत्यादेशाद अपि च मधुनो विस्मृतभ्रूविलासम त्वय्य आसन्ने नयनम उपरिस्पन्दि शङ्के मृगाक्ष्या मीनक्षोभाच चलकुवलयश्रीतुलाम एष्यतीति॥ मेघदूतम्-उत्तरमेघा २.३५॥</v>
      </c>
      <c r="B2315" s="4" t="s">
        <v>2</v>
      </c>
      <c r="C2315" s="4"/>
    </row>
    <row r="2316" spans="1:3" ht="24" customHeight="1">
      <c r="A2316" s="4" t="str">
        <f ca="1">IFERROR(__xludf.DUMMYFUNCTION("""COMPUTED_VALUE"""),"वामश चास्याः कररुहपदैर मुच्यमानो मदीयैर मुक्ताजालं चिरपरिचितं त्याजितो दैवगत्या संभोगान्ते मम समुचितो हस्तसंवाहमानां यास्यत्य ऊरुः सरसकदलीस्तम्भगौरश चलत्वम॥ मेघदूतम्-उत्तरमेघा २.३६॥")</f>
        <v>वामश चास्याः कररुहपदैर मुच्यमानो मदीयैर मुक्ताजालं चिरपरिचितं त्याजितो दैवगत्या संभोगान्ते मम समुचितो हस्तसंवाहमानां यास्यत्य ऊरुः सरसकदलीस्तम्भगौरश चलत्वम॥ मेघदूतम्-उत्तरमेघा २.३६॥</v>
      </c>
      <c r="B2316" s="4" t="s">
        <v>4</v>
      </c>
      <c r="C2316" s="4"/>
    </row>
    <row r="2317" spans="1:3" ht="24" customHeight="1">
      <c r="A2317" s="4" t="str">
        <f ca="1">IFERROR(__xludf.DUMMYFUNCTION("""COMPUTED_VALUE"""),"तस्मिन काले जलद यदि सा लब्धनिद्रासुखा स्याद अन्वास्यैनां स्तनितविमुखो याममात्रं सहस्व मा भूद अस्याः प्रणयिनि मयि स्वप्नलब्धे कथंचित सद्यः कण्ठच्युतभुजलताग्रन्थि गाढोपगूढम॥ मेघदूतम्-उत्तरमेघा २.३७॥")</f>
        <v>तस्मिन काले जलद यदि सा लब्धनिद्रासुखा स्याद अन्वास्यैनां स्तनितविमुखो याममात्रं सहस्व मा भूद अस्याः प्रणयिनि मयि स्वप्नलब्धे कथंचित सद्यः कण्ठच्युतभुजलताग्रन्थि गाढोपगूढम॥ मेघदूतम्-उत्तरमेघा २.३७॥</v>
      </c>
      <c r="B2317" s="4" t="s">
        <v>30</v>
      </c>
      <c r="C2317" s="4"/>
    </row>
    <row r="2318" spans="1:3" ht="24" customHeight="1">
      <c r="A2318" s="4" t="str">
        <f ca="1">IFERROR(__xludf.DUMMYFUNCTION("""COMPUTED_VALUE"""),"ताम उत्थाप्य स्वजलकणिकाशीतलेनानिलेन प्रत्याश्वस्तां समम अभिनवैर जालकैर मालतीनाम विद्युद्गर्भः स्तिमितनयनां त्वत्सनाथे गवाक्षे वक्तुं धीरः स्तनितवचनैर मानिनीं प्रक्रमेथाः॥ मेघदूतम्-उत्तरमेघा २.३८॥")</f>
        <v>ताम उत्थाप्य स्वजलकणिकाशीतलेनानिलेन प्रत्याश्वस्तां समम अभिनवैर जालकैर मालतीनाम विद्युद्गर्भः स्तिमितनयनां त्वत्सनाथे गवाक्षे वक्तुं धीरः स्तनितवचनैर मानिनीं प्रक्रमेथाः॥ मेघदूतम्-उत्तरमेघा २.३८॥</v>
      </c>
      <c r="B2318" s="4" t="s">
        <v>10</v>
      </c>
      <c r="C2318" s="4"/>
    </row>
    <row r="2319" spans="1:3" ht="24" customHeight="1">
      <c r="A2319" s="4" t="str">
        <f ca="1">IFERROR(__xludf.DUMMYFUNCTION("""COMPUTED_VALUE"""),"भर्तुर मित्रं प्रियम अविधवे विद्धि माम अम्बुवाहं तत्संदेशैर हृदयनिहितैर आगतं त्वत्समीपम यो वृन्दानि त्वरयति पथि श्रम्यतां प्रोषितानां मन्द्रस्निग्धैर ध्वनिभिर अबलावेणिमोक्षोत्सुकानि॥ मेघदूतम्-उत्तरमेघा २.३९॥")</f>
        <v>भर्तुर मित्रं प्रियम अविधवे विद्धि माम अम्बुवाहं तत्संदेशैर हृदयनिहितैर आगतं त्वत्समीपम यो वृन्दानि त्वरयति पथि श्रम्यतां प्रोषितानां मन्द्रस्निग्धैर ध्वनिभिर अबलावेणिमोक्षोत्सुकानि॥ मेघदूतम्-उत्तरमेघा २.३९॥</v>
      </c>
      <c r="B2319" s="4" t="s">
        <v>1</v>
      </c>
      <c r="C2319" s="4"/>
    </row>
    <row r="2320" spans="1:3" ht="24" customHeight="1">
      <c r="A2320" s="4" t="str">
        <f ca="1">IFERROR(__xludf.DUMMYFUNCTION("""COMPUTED_VALUE"""),"इत्य आख्याते पवनतनयं मैथिलीवोन्मुखी सा त्वाम उत्कण्ठोच्च्वसितहृदया वीक्ष्य सम्भाव्य चैव श्रोष्यत्य अस्मात परम अवहिता सौम्य सीमन्तिनीनां कान्तोदन्तः सुहृदुपनतः संगमात किंचिद ऊनः॥ मेघदूतम्-उत्तरमेघा २.४०॥")</f>
        <v>इत्य आख्याते पवनतनयं मैथिलीवोन्मुखी सा त्वाम उत्कण्ठोच्च्वसितहृदया वीक्ष्य सम्भाव्य चैव श्रोष्यत्य अस्मात परम अवहिता सौम्य सीमन्तिनीनां कान्तोदन्तः सुहृदुपनतः संगमात किंचिद ऊनः॥ मेघदूतम्-उत्तरमेघा २.४०॥</v>
      </c>
      <c r="B2320" s="4" t="s">
        <v>1</v>
      </c>
      <c r="C2320" s="4"/>
    </row>
    <row r="2321" spans="1:3" ht="24" customHeight="1">
      <c r="A2321" s="4" t="str">
        <f ca="1">IFERROR(__xludf.DUMMYFUNCTION("""COMPUTED_VALUE"""),"ताम आयुष्मन मम च वचनाद आत्मनश चोपकर्तुं ब्रूया एवं तव सहचरो रामगिर्याश्रमस्थः अव्यापन्नः कुशलम अबले पृच्चति त्वां वियुक्तः पूर्वाभाष्यं सुलभविपदां प्राणिनाम एतद एव॥ मेघदूतम्-उत्तरमेघा २.४१॥")</f>
        <v>ताम आयुष्मन मम च वचनाद आत्मनश चोपकर्तुं ब्रूया एवं तव सहचरो रामगिर्याश्रमस्थः अव्यापन्नः कुशलम अबले पृच्चति त्वां वियुक्तः पूर्वाभाष्यं सुलभविपदां प्राणिनाम एतद एव॥ मेघदूतम्-उत्तरमेघा २.४१॥</v>
      </c>
      <c r="B2321" s="4" t="s">
        <v>4</v>
      </c>
      <c r="C2321" s="4"/>
    </row>
    <row r="2322" spans="1:3" ht="24" customHeight="1">
      <c r="A2322" s="4" t="str">
        <f ca="1">IFERROR(__xludf.DUMMYFUNCTION("""COMPUTED_VALUE"""),"अङ्गेनाङ्गं प्रतनु तनुना गाढतप्तेन तप्तं सास्रेणाश्रुद्रुतम अविरतोत्कण्ठम उत्कण्ठितेन उष्णोच्च्वासं समधिकतरोच्च्वासिना दूरवर्ती संकल्पैस तैर विशति विधिना वैरिणा रुद्धमार्गः॥ मेघदूतम्-उत्तरमेघा २.४२॥")</f>
        <v>अङ्गेनाङ्गं प्रतनु तनुना गाढतप्तेन तप्तं सास्रेणाश्रुद्रुतम अविरतोत्कण्ठम उत्कण्ठितेन उष्णोच्च्वासं समधिकतरोच्च्वासिना दूरवर्ती संकल्पैस तैर विशति विधिना वैरिणा रुद्धमार्गः॥ मेघदूतम्-उत्तरमेघा २.४२॥</v>
      </c>
      <c r="B2322" s="4" t="s">
        <v>15</v>
      </c>
      <c r="C2322" s="4"/>
    </row>
    <row r="2323" spans="1:3" ht="24" customHeight="1">
      <c r="A2323" s="4" t="str">
        <f ca="1">IFERROR(__xludf.DUMMYFUNCTION("""COMPUTED_VALUE"""),"शब्दाख्येयं यदपि किल ते यः सखीनां पुरस्तात कर्णे लोलः कथयितुम अभूद आननस्पर्शलोभात सो ऽतिक्रान्तः श्रवणविषयं लोचनाभ्याम अदृष्टस त्वाम उत्कण्ठाविरचितपदं मन्मुखेनेदम आह॥ मेघदूतम्-उत्तरमेघा २.४३॥")</f>
        <v>शब्दाख्येयं यदपि किल ते यः सखीनां पुरस्तात कर्णे लोलः कथयितुम अभूद आननस्पर्शलोभात सो ऽतिक्रान्तः श्रवणविषयं लोचनाभ्याम अदृष्टस त्वाम उत्कण्ठाविरचितपदं मन्मुखेनेदम आह॥ मेघदूतम्-उत्तरमेघा २.४३॥</v>
      </c>
      <c r="B2323" s="4" t="s">
        <v>24</v>
      </c>
      <c r="C2323" s="4"/>
    </row>
    <row r="2324" spans="1:3" ht="24" customHeight="1">
      <c r="A2324" s="4" t="str">
        <f ca="1">IFERROR(__xludf.DUMMYFUNCTION("""COMPUTED_VALUE"""),"श्यामास्व अङ्गं चकितहरिणीप्रेक्षणे दृष्टिपातं वक्त्रच्चायां शशिनि शिखिनां बर्हभारेषु केशान उत्पश्यामि प्रतनुषु नदीवीचिषु भ्रूविलासान हन्तैकस्मिन क्वचिद अपि न ते चण्डि सादृश्यम अस्ति॥ मेघदूतम्-उत्तरमेघा २.४४॥")</f>
        <v>श्यामास्व अङ्गं चकितहरिणीप्रेक्षणे दृष्टिपातं वक्त्रच्चायां शशिनि शिखिनां बर्हभारेषु केशान उत्पश्यामि प्रतनुषु नदीवीचिषु भ्रूविलासान हन्तैकस्मिन क्वचिद अपि न ते चण्डि सादृश्यम अस्ति॥ मेघदूतम्-उत्तरमेघा २.४४॥</v>
      </c>
      <c r="B2324" s="4" t="s">
        <v>2</v>
      </c>
      <c r="C2324" s="4"/>
    </row>
    <row r="2325" spans="1:3" ht="24" customHeight="1">
      <c r="A2325" s="4" t="str">
        <f ca="1">IFERROR(__xludf.DUMMYFUNCTION("""COMPUTED_VALUE"""),"त्वाम आलिख्य प्रणयकुपितां धातुरागैः शिलायाम आत्मानं ते चरणपतितं यावद इच्चामि कर्तुम अस्रैस तावन मुहुर उपचितैर दृष्टिर आलुप्यते मे क्रूरस तस्मिन्न अपि न सहते संगमं नौ कृतान्तः॥ मेघदूतम्-उत्तरमेघा २.४५॥")</f>
        <v>त्वाम आलिख्य प्रणयकुपितां धातुरागैः शिलायाम आत्मानं ते चरणपतितं यावद इच्चामि कर्तुम अस्रैस तावन मुहुर उपचितैर दृष्टिर आलुप्यते मे क्रूरस तस्मिन्न अपि न सहते संगमं नौ कृतान्तः॥ मेघदूतम्-उत्तरमेघा २.४५॥</v>
      </c>
      <c r="B2325" s="4" t="s">
        <v>2</v>
      </c>
      <c r="C2325" s="4"/>
    </row>
    <row r="2326" spans="1:3" ht="24" customHeight="1">
      <c r="A2326" s="4" t="str">
        <f ca="1">IFERROR(__xludf.DUMMYFUNCTION("""COMPUTED_VALUE"""),"धारासिक्तस्थलसुरभिणस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मेघदूतम्-उत्तरमेघा २.४५अ॥")</f>
        <v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मेघदूतम्-उत्तरमेघा २.४५अ॥</v>
      </c>
      <c r="B2326" s="4" t="s">
        <v>1</v>
      </c>
      <c r="C2326" s="4"/>
    </row>
    <row r="2327" spans="1:3" ht="24" customHeight="1">
      <c r="A2327" s="4" t="str">
        <f ca="1">IFERROR(__xludf.DUMMYFUNCTION("""COMPUTED_VALUE"""),"माम आकाशप्रणिहितभुजं निर्दयाश्लेषहेतोर लब्धायास ते कथम अपि मया स्वप्नसन्दर्शनेषु पश्यन्तीनां न खलु बहुशो न स्थलीदेवतानां मुक्तास्थूलास तरुकिसलयेष्व अश्रुलेशाः पतन्ति॥ मेघदूतम्-उत्तरमेघा २.४६॥")</f>
        <v>माम आकाशप्रणिहितभुजं निर्दयाश्लेषहेतोर लब्धायास ते कथम अपि मया स्वप्नसन्दर्शनेषु पश्यन्तीनां न खलु बहुशो न स्थलीदेवतानां मुक्तास्थूलास तरुकिसलयेष्व अश्रुलेशाः पतन्ति॥ मेघदूतम्-उत्तरमेघा २.४६॥</v>
      </c>
      <c r="B2327" s="4" t="s">
        <v>2</v>
      </c>
      <c r="C2327" s="4"/>
    </row>
    <row r="2328" spans="1:3" ht="24" customHeight="1">
      <c r="A2328" s="4" t="str">
        <f ca="1">IFERROR(__xludf.DUMMYFUNCTION("""COMPUTED_VALUE"""),"भित्त्वा सद्यः किसलयपुटान देवदारुद्रुमाणां ये तत्क्षीरस्रुतिसुरभयो दक्षिणेन प्रवृत्ताः आलिङ्ग्यन्ते गुणवति मया ते तुषाराद्रिवाताः पूर्वं स्पृष्टं यदि किल भवेद अङ्गम एभिस तवेति॥ मेघदूतम्-उत्तरमेघा २.४७॥")</f>
        <v>भित्त्वा सद्यः किसलयपुटान देवदारुद्रुमाणां ये तत्क्षीरस्रुतिसुरभयो दक्षिणेन प्रवृत्ताः आलिङ्ग्यन्ते गुणवति मया ते तुषाराद्रिवाताः पूर्वं स्पृष्टं यदि किल भवेद अङ्गम एभिस तवेति॥ मेघदूतम्-उत्तरमेघा २.४७॥</v>
      </c>
      <c r="B2328" s="4" t="s">
        <v>2</v>
      </c>
      <c r="C2328" s="4"/>
    </row>
    <row r="2329" spans="1:3" ht="24" customHeight="1">
      <c r="A2329" s="4" t="str">
        <f ca="1">IFERROR(__xludf.DUMMYFUNCTION("""COMPUTED_VALUE"""),"संक्षिप्यन्ते क्षन इव कथं दीर्घयामा त्रियामा सर्वावस्थास्व अहर अपि कथं मन्दमन्दातपं स्यात इत्थं चेतश चटुलनयने दुर्लभप्रार्थनं मे गाढोष्माभिः कृतम अशरणं त्वद्वियोगव्यथाभिः॥ मेघदूतम्-उत्तरमेघा २.४८॥")</f>
        <v>संक्षिप्यन्ते क्षन इव कथं दीर्घयामा त्रियामा सर्वावस्थास्व अहर अपि कथं मन्दमन्दातपं स्यात इत्थं चेतश चटुलनयने दुर्लभप्रार्थनं मे गाढोष्माभिः कृतम अशरणं त्वद्वियोगव्यथाभिः॥ मेघदूतम्-उत्तरमेघा २.४८॥</v>
      </c>
      <c r="B2329" s="4" t="s">
        <v>6</v>
      </c>
      <c r="C2329" s="4"/>
    </row>
    <row r="2330" spans="1:3" ht="24" customHeight="1">
      <c r="A2330" s="4" t="str">
        <f ca="1">IFERROR(__xludf.DUMMYFUNCTION("""COMPUTED_VALUE"""),"नन्व आत्मानं बहु विगणयन्न आत्मनैवावलम्बे तत्कल्याणि त्वम अपि नितरां मा गमः कातरत्वम कस्यात्यन्तं सुखम उपनतं दुःखम एकान्ततो वा नीचैर गच्चत्य उपरि च दशा चक्रनेमिक्रमेण॥ मेघदूतम्-उत्तरमेघा २.४९॥")</f>
        <v>नन्व आत्मानं बहु विगणयन्न आत्मनैवावलम्बे तत्कल्याणि त्वम अपि नितरां मा गमः कातरत्वम कस्यात्यन्तं सुखम उपनतं दुःखम एकान्ततो वा नीचैर गच्चत्य उपरि च दशा चक्रनेमिक्रमेण॥ मेघदूतम्-उत्तरमेघा २.४९॥</v>
      </c>
      <c r="B2330" s="4" t="s">
        <v>7</v>
      </c>
      <c r="C2330" s="4"/>
    </row>
    <row r="2331" spans="1:3" ht="24" customHeight="1">
      <c r="A2331" s="4" t="str">
        <f ca="1">IFERROR(__xludf.DUMMYFUNCTION("""COMPUTED_VALUE"""),"शापान्तो मे भुजगशयनाद उत्थिते शार्ङ्गपाणौ शेषान मासान गमय चतुरो लोचने मीलयित्वा पश्चाद आवां विरहगुणितं तं तम आत्माभिलाषं निर्वेक्ष्यावः परिणतशरच्चन्द्रिकासु क्षपासु॥ मेघदूतम्-उत्तरमेघा २.५०॥")</f>
        <v>शापान्तो मे भुजगशयनाद उत्थिते शार्ङ्गपाणौ शेषान मासान गमय चतुरो लोचने मीलयित्वा पश्चाद आवां विरहगुणितं तं तम आत्माभिलाषं निर्वेक्ष्यावः परिणतशरच्चन्द्रिकासु क्षपासु॥ मेघदूतम्-उत्तरमेघा २.५०॥</v>
      </c>
      <c r="B2331" s="4" t="s">
        <v>18</v>
      </c>
      <c r="C2331" s="4"/>
    </row>
    <row r="2332" spans="1:3" ht="24" customHeight="1">
      <c r="A2332" s="4" t="str">
        <f ca="1">IFERROR(__xludf.DUMMYFUNCTION("""COMPUTED_VALUE"""),"भूयश्चाह त्वम अपि शयने कण्ठलग्ना पुरा मे निद्रां गत्वा किम अपि रुदती सस्वरं विप्रबुद्धा सान्तर्हासं कथितम असकृत पृच्चतश च त्वया मे दृष्टः स्वप्ने कितव रमयन काम अपि त्वं मयेति॥ मेघदूतम्-उत्तरमेघा २.५१॥")</f>
        <v>भूयश्चाह त्वम अपि शयने कण्ठलग्ना पुरा मे निद्रां गत्वा किम अपि रुदती सस्वरं विप्रबुद्धा सान्तर्हासं कथितम असकृत पृच्चतश च त्वया मे दृष्टः स्वप्ने कितव रमयन काम अपि त्वं मयेति॥ मेघदूतम्-उत्तरमेघा २.५१॥</v>
      </c>
      <c r="B2332" s="4" t="s">
        <v>2</v>
      </c>
      <c r="C2332" s="4"/>
    </row>
    <row r="2333" spans="1:3" ht="24" customHeight="1">
      <c r="A2333" s="4" t="str">
        <f ca="1">IFERROR(__xludf.DUMMYFUNCTION("""COMPUTED_VALUE"""),"एतस्मान मां कुशलिनम अभिज्ञानदानाद विदित्वा मा कौलीनाद असितनयने मय्य अविश्वासिनी भूः स्नेहान आहुः किम अपि विरहे ध्वंसिनस ते त्व अभोगाद इष्टे वस्तुन्य उपचितरसाः प्रेमराशीभवन्ति॥ मेघदूतम्-उत्तरमेघा २.५२॥")</f>
        <v>एतस्मान मां कुशलिनम अभिज्ञानदानाद विदित्वा मा कौलीनाद असितनयने मय्य अविश्वासिनी भूः स्नेहान आहुः किम अपि विरहे ध्वंसिनस ते त्व अभोगाद इष्टे वस्तुन्य उपचितरसाः प्रेमराशीभवन्ति॥ मेघदूतम्-उत्तरमेघा २.५२॥</v>
      </c>
      <c r="B2333" s="4" t="s">
        <v>2</v>
      </c>
      <c r="C2333" s="4"/>
    </row>
    <row r="2334" spans="1:3" ht="24" customHeight="1">
      <c r="A2334" s="4" t="str">
        <f ca="1">IFERROR(__xludf.DUMMYFUNCTION("""COMPUTED_VALUE"""),"आश्वास्यैवं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मेघदूतम्-उत्तरमेघा २.५३॥")</f>
        <v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मेघदूतम्-उत्तरमेघा २.५३॥</v>
      </c>
      <c r="B2334" s="4" t="s">
        <v>10</v>
      </c>
      <c r="C2334" s="4"/>
    </row>
    <row r="2335" spans="1:3" ht="24" customHeight="1">
      <c r="A2335" s="4" t="str">
        <f ca="1">IFERROR(__xludf.DUMMYFUNCTION("""COMPUTED_VALUE"""),"कच्चित सौम्य व्यवसितम इदं बन्धुकृत्यं त्वया मे प्रत्यादेशान न खलु भवतो धीरतां कल्पयामि निःशब्दो ऽपि प्रदिशसि जलं याचितश चातकेभ्यः प्रत्युक्तं हि प्रणयिषु सताम ईप्सितार्थक्रियैव॥ मेघदूतम्-उत्तरमेघा २.५४॥")</f>
        <v>कच्चित सौम्य व्यवसितम इदं बन्धुकृत्यं त्वया मे प्रत्यादेशान न खलु भवतो धीरतां कल्पयामि निःशब्दो ऽपि प्रदिशसि जलं याचितश चातकेभ्यः प्रत्युक्तं हि प्रणयिषु सताम ईप्सितार्थक्रियैव॥ मेघदूतम्-उत्तरमेघा २.५४॥</v>
      </c>
      <c r="B2335" s="4" t="s">
        <v>4</v>
      </c>
      <c r="C2335" s="4"/>
    </row>
    <row r="2336" spans="1:3" ht="24" customHeight="1">
      <c r="A2336" s="4" t="str">
        <f ca="1">IFERROR(__xludf.DUMMYFUNCTION("""COMPUTED_VALUE"""),"एतत्कृत्वा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मेघदूतम्-उत्तरमेघा २.५५॥")</f>
        <v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मेघदूतम्-उत्तरमेघा २.५५॥</v>
      </c>
      <c r="B2336" s="4" t="s">
        <v>15</v>
      </c>
      <c r="C2336" s="4"/>
    </row>
    <row r="2337" spans="1:3" ht="24" customHeight="1">
      <c r="A2337" s="4" t="str">
        <f ca="1">IFERROR(__xludf.DUMMYFUNCTION("""COMPUTED_VALUE"""),"निपीय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॥नैषधीयचरितम्१.१ ॥")</f>
        <v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॥नैषधीयचरितम्१.१ ॥</v>
      </c>
      <c r="B2337" s="4" t="s">
        <v>11</v>
      </c>
      <c r="C2337" s="4"/>
    </row>
    <row r="2338" spans="1:3" ht="24" customHeight="1">
      <c r="A2338" s="4" t="str">
        <f ca="1">IFERROR(__xludf.DUMMYFUNCTION("""COMPUTED_VALUE"""),"रसैः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॥नैषधीयचरितम्१.२ ॥")</f>
        <v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॥नैषधीयचरितम्१.२ ॥</v>
      </c>
      <c r="B2338" s="4" t="s">
        <v>11</v>
      </c>
      <c r="C2338" s="4"/>
    </row>
    <row r="2339" spans="1:3" ht="24" customHeight="1">
      <c r="A2339" s="4" t="str">
        <f ca="1">IFERROR(__xludf.DUMMYFUNCTION("""COMPUTED_VALUE"""),"पवित्रमत्रातनुते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॥नैषधीयचरितम्१.३ ॥")</f>
        <v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॥नैषधीयचरितम्१.३ ॥</v>
      </c>
      <c r="B2339" s="4" t="s">
        <v>2</v>
      </c>
      <c r="C2339" s="4"/>
    </row>
    <row r="2340" spans="1:3" ht="24" customHeight="1">
      <c r="A2340" s="4" t="str">
        <f ca="1">IFERROR(__xludf.DUMMYFUNCTION("""COMPUTED_VALUE"""),"अधीतिबोधाचरणप्रचारणैर्दशाश्चतस्रः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॥नैषधीयचरितम्१.४ ॥")</f>
        <v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॥नैषधीयचरितम्१.४ ॥</v>
      </c>
      <c r="B2340" s="4" t="s">
        <v>5</v>
      </c>
      <c r="C2340" s="4"/>
    </row>
    <row r="2341" spans="1:3" ht="24" customHeight="1">
      <c r="A2341" s="4" t="str">
        <f ca="1">IFERROR(__xludf.DUMMYFUNCTION("""COMPUTED_VALUE"""),"अमुष्य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॥नैषधीयचरितम्१.५ ॥")</f>
        <v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॥नैषधीयचरितम्१.५ ॥</v>
      </c>
      <c r="B2341" s="4" t="s">
        <v>5</v>
      </c>
      <c r="C2341" s="4"/>
    </row>
    <row r="2342" spans="1:3" ht="24" customHeight="1">
      <c r="A2342" s="4" t="str">
        <f ca="1">IFERROR(__xludf.DUMMYFUNCTION("""COMPUTED_VALUE"""),"दिगीशवृन्दांशविभूतिरीशिता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॥नैषधीयचरितम्१.६ ॥")</f>
        <v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॥नैषधीयचरितम्१.६ ॥</v>
      </c>
      <c r="B2342" s="4" t="s">
        <v>19</v>
      </c>
      <c r="C2342" s="4"/>
    </row>
    <row r="2343" spans="1:3" ht="24" customHeight="1">
      <c r="A2343" s="4" t="str">
        <f ca="1">IFERROR(__xludf.DUMMYFUNCTION("""COMPUTED_VALUE"""),"पदैश्चतुर्भिः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॥नैषधीयचरितम्१.७ ॥ ")</f>
        <v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॥नैषधीयचरितम्१.७ ॥ </v>
      </c>
      <c r="B2343" s="4" t="s">
        <v>2</v>
      </c>
      <c r="C2343" s="4"/>
    </row>
    <row r="2344" spans="1:3" ht="24" customHeight="1">
      <c r="A2344" s="4" t="str">
        <f ca="1">IFERROR(__xludf.DUMMYFUNCTION("""COMPUTED_VALUE"""),"यदस्य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॥नैषधीयचरितम्१.८ ॥")</f>
        <v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॥नैषधीयचरितम्१.८ ॥</v>
      </c>
      <c r="B2344" s="4" t="s">
        <v>20</v>
      </c>
      <c r="C2344" s="4"/>
    </row>
    <row r="2345" spans="1:3" ht="24" customHeight="1">
      <c r="A2345" s="4" t="str">
        <f ca="1">IFERROR(__xludf.DUMMYFUNCTION("""COMPUTED_VALUE"""),"स्फुरद्धनुर्निस्वनतद्धनाशौगप्रगल्भवृष्टिव्ययितस्य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॥नैषधीयचरितम्१.९ ॥")</f>
        <v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॥नैषधीयचरितम्१.९ ॥</v>
      </c>
      <c r="B2345" s="4" t="s">
        <v>0</v>
      </c>
      <c r="C2345" s="4"/>
    </row>
    <row r="2346" spans="1:3" ht="24" customHeight="1">
      <c r="A2346" s="4" t="str">
        <f ca="1">IFERROR(__xludf.DUMMYFUNCTION("""COMPUTED_VALUE"""),"अनल्पदग्धारिपुरानलोज्ज्वलैर्निजप्रतापैर्वलयज्ज्वलद्भुवः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॥नैषधीयचरितम्१.१ ॥")</f>
        <v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॥नैषधीयचरितम्१.१ ॥</v>
      </c>
      <c r="B2346" s="4" t="s">
        <v>28</v>
      </c>
      <c r="C2346" s="4"/>
    </row>
    <row r="2347" spans="1:3" ht="24" customHeight="1">
      <c r="A2347" s="4" t="str">
        <f ca="1">IFERROR(__xludf.DUMMYFUNCTION("""COMPUTED_VALUE"""),"निवारिताष्तेन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॥नैषधीयचरितम्१.११ ॥")</f>
        <v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॥नैषधीयचरितम्१.११ ॥</v>
      </c>
      <c r="B2347" s="4" t="s">
        <v>8</v>
      </c>
      <c r="C2347" s="4"/>
    </row>
    <row r="2348" spans="1:3" ht="24" customHeight="1">
      <c r="A2348" s="4" t="str">
        <f ca="1">IFERROR(__xludf.DUMMYFUNCTION("""COMPUTED_VALUE"""),"सितांशुवर्णैर्वयति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॥नैषधीयचरितम्१.१२ ॥ ")</f>
        <v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॥नैषधीयचरितम्१.१२ ॥ </v>
      </c>
      <c r="B2348" s="4" t="s">
        <v>0</v>
      </c>
      <c r="C2348" s="4"/>
    </row>
    <row r="2349" spans="1:3" ht="24" customHeight="1">
      <c r="A2349" s="4" t="str">
        <f ca="1">IFERROR(__xludf.DUMMYFUNCTION("""COMPUTED_VALUE"""),"प्रतीपभूपैरिव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॥नैषधीयचरितम्१.१३ ॥")</f>
        <v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॥नैषधीयचरितम्१.१३ ॥</v>
      </c>
      <c r="B2349" s="4" t="s">
        <v>2</v>
      </c>
      <c r="C2349" s="4"/>
    </row>
    <row r="2350" spans="1:3" ht="24" customHeight="1">
      <c r="A2350" s="4" t="str">
        <f ca="1">IFERROR(__xludf.DUMMYFUNCTION("""COMPUTED_VALUE"""),"तदोजसस्तद्यशसः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॥नैषधीयचरितम्१.१४ ॥")</f>
        <v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॥नैषधीयचरितम्१.१४ ॥</v>
      </c>
      <c r="B2350" s="4" t="s">
        <v>9</v>
      </c>
      <c r="C2350" s="4"/>
    </row>
    <row r="2351" spans="1:3" ht="24" customHeight="1">
      <c r="A2351" s="4" t="str">
        <f ca="1">IFERROR(__xludf.DUMMYFUNCTION("""COMPUTED_VALUE"""),"अये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॥नैषधीयचरितम्१.१५ ॥")</f>
        <v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॥नैषधीयचरितम्१.१५ ॥</v>
      </c>
      <c r="B2351" s="4" t="s">
        <v>9</v>
      </c>
      <c r="C2351" s="4"/>
    </row>
    <row r="2352" spans="1:3" ht="24" customHeight="1">
      <c r="A2352" s="4" t="str">
        <f ca="1">IFERROR(__xludf.DUMMYFUNCTION("""COMPUTED_VALUE"""),"विभज्य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॥नैषधीयचरितम्१.१६ ॥")</f>
        <v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॥नैषधीयचरितम्१.१६ ॥</v>
      </c>
      <c r="B2352" s="4" t="s">
        <v>2</v>
      </c>
      <c r="C2352" s="4"/>
    </row>
    <row r="2353" spans="1:3" ht="24" customHeight="1">
      <c r="A2353" s="4" t="str">
        <f ca="1">IFERROR(__xludf.DUMMYFUNCTION("""COMPUTED_VALUE"""),"अजस्रमभ्यासमुपेयुषा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॥नैषधीयचरितम्१.१७ ॥")</f>
        <v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॥नैषधीयचरितम्१.१७ ॥</v>
      </c>
      <c r="B2353" s="4" t="s">
        <v>1</v>
      </c>
      <c r="C2353" s="4"/>
    </row>
    <row r="2354" spans="1:3" ht="24" customHeight="1">
      <c r="A2354" s="4" t="str">
        <f ca="1">IFERROR(__xludf.DUMMYFUNCTION("""COMPUTED_VALUE"""),"अधोविधानात्कमलप्रवालयोः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॥नैषधीयचरितम्१.१८ ॥")</f>
        <v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॥नैषधीयचरितम्१.१८ ॥</v>
      </c>
      <c r="B2354" s="4" t="s">
        <v>5</v>
      </c>
      <c r="C2354" s="4"/>
    </row>
    <row r="2355" spans="1:3" ht="24" customHeight="1">
      <c r="A2355" s="4" t="str">
        <f ca="1">IFERROR(__xludf.DUMMYFUNCTION("""COMPUTED_VALUE"""),"जगज्जयं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॥नैषधीयचरितम्१.१९ ॥")</f>
        <v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॥नैषधीयचरितम्१.१९ ॥</v>
      </c>
      <c r="B2355" s="4" t="s">
        <v>1</v>
      </c>
      <c r="C2355" s="4"/>
    </row>
    <row r="2356" spans="1:3" ht="24" customHeight="1">
      <c r="A2356" s="4" t="str">
        <f ca="1">IFERROR(__xludf.DUMMYFUNCTION("""COMPUTED_VALUE"""),"अधारि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॥नैषधीयचरितम्१.२ ॥")</f>
        <v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॥नैषधीयचरितम्१.२ ॥</v>
      </c>
      <c r="B2356" s="4" t="s">
        <v>0</v>
      </c>
      <c r="C2356" s="4"/>
    </row>
    <row r="2357" spans="1:3" ht="24" customHeight="1">
      <c r="A2357" s="4" t="str">
        <f ca="1">IFERROR(__xludf.DUMMYFUNCTION("""COMPUTED_VALUE"""),"किमस्य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॥नैषधीयचरितम्१.२१ ॥")</f>
        <v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॥नैषधीयचरितम्१.२१ ॥</v>
      </c>
      <c r="B2357" s="4" t="s">
        <v>4</v>
      </c>
      <c r="C2357" s="4"/>
    </row>
    <row r="2358" spans="1:3" ht="24" customHeight="1">
      <c r="A2358" s="4" t="str">
        <f ca="1">IFERROR(__xludf.DUMMYFUNCTION("""COMPUTED_VALUE"""),"अमुष्य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॥नैषधीयचरितम्१.२२ ॥")</f>
        <v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॥नैषधीयचरितम्१.२२ ॥</v>
      </c>
      <c r="B2358" s="4" t="s">
        <v>2</v>
      </c>
      <c r="C2358" s="4"/>
    </row>
    <row r="2359" spans="1:3" ht="24" customHeight="1">
      <c r="A2359" s="4" t="str">
        <f ca="1">IFERROR(__xludf.DUMMYFUNCTION("""COMPUTED_VALUE"""),"स्वकेलिलेशस्मितनिन्दितेन्दुनो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॥नैषधीयचरितम्१.२३ ॥")</f>
        <v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॥नैषधीयचरितम्१.२३ ॥</v>
      </c>
      <c r="B2359" s="4" t="s">
        <v>0</v>
      </c>
      <c r="C2359" s="4"/>
    </row>
    <row r="2360" spans="1:3" ht="24" customHeight="1">
      <c r="A2360" s="4" t="str">
        <f ca="1">IFERROR(__xludf.DUMMYFUNCTION("""COMPUTED_VALUE"""),"सरोरुहं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॥नैषधीयचरितम्१.२४ ॥")</f>
        <v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॥नैषधीयचरितम्१.२४ ॥</v>
      </c>
      <c r="B2360" s="4" t="s">
        <v>2</v>
      </c>
      <c r="C2360" s="4"/>
    </row>
    <row r="2361" spans="1:3" ht="24" customHeight="1">
      <c r="A2361" s="4" t="str">
        <f ca="1">IFERROR(__xludf.DUMMYFUNCTION("""COMPUTED_VALUE"""),"स्ववालभारस्य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॥नैषधीयचरितम्१.२५ ॥")</f>
        <v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॥नैषधीयचरितम्१.२५ ॥</v>
      </c>
      <c r="B2361" s="4" t="s">
        <v>11</v>
      </c>
      <c r="C2361" s="4"/>
    </row>
    <row r="2362" spans="1:3" ht="24" customHeight="1">
      <c r="A2362" s="4" t="str">
        <f ca="1">IFERROR(__xludf.DUMMYFUNCTION("""COMPUTED_VALUE"""),"महीभ्र्तस्तस्य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॥नैषधीयचरितम्१.२६ ॥")</f>
        <v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॥नैषधीयचरितम्१.२६ ॥</v>
      </c>
      <c r="B2362" s="4" t="s">
        <v>4</v>
      </c>
      <c r="C2362" s="4"/>
    </row>
    <row r="2363" spans="1:3" ht="24" customHeight="1">
      <c r="A2363" s="4" t="str">
        <f ca="1">IFERROR(__xludf.DUMMYFUNCTION("""COMPUTED_VALUE"""),"निमीलनभ्रंशजुषा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॥नैषधीयचरितम्१.२७ ॥")</f>
        <v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॥नैषधीयचरितम्१.२७ ॥</v>
      </c>
      <c r="B2363" s="4" t="s">
        <v>1</v>
      </c>
      <c r="C2363" s="4"/>
    </row>
    <row r="2364" spans="1:3" ht="24" customHeight="1">
      <c r="A2364" s="4" t="str">
        <f ca="1">IFERROR(__xludf.DUMMYFUNCTION("""COMPUTED_VALUE"""),"अदस्तदाकर्णि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॥नैषधीयचरितम्१.२८ ॥")</f>
        <v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॥नैषधीयचरितम्१.२८ ॥</v>
      </c>
      <c r="B2364" s="4" t="s">
        <v>1</v>
      </c>
      <c r="C2364" s="4"/>
    </row>
    <row r="2365" spans="1:3" ht="24" customHeight="1">
      <c r="A2365" s="4" t="str">
        <f ca="1">IFERROR(__xludf.DUMMYFUNCTION("""COMPUTED_VALUE"""),"विलोकयन्तीभिरजस्रभावना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॥नैषधीयचरितम्१.२९ ॥")</f>
        <v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॥नैषधीयचरितम्१.२९ ॥</v>
      </c>
      <c r="B2365" s="4" t="s">
        <v>2</v>
      </c>
      <c r="C2365" s="4"/>
    </row>
    <row r="2366" spans="1:3" ht="24" customHeight="1">
      <c r="A2366" s="4" t="str">
        <f ca="1">IFERROR(__xludf.DUMMYFUNCTION("""COMPUTED_VALUE"""),"न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॥नैषधीयचरितम्१.३ ॥")</f>
        <v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॥नैषधीयचरितम्१.३ ॥</v>
      </c>
      <c r="B2366" s="4" t="s">
        <v>4</v>
      </c>
      <c r="C2366" s="4"/>
    </row>
    <row r="2367" spans="1:3" ht="24" customHeight="1">
      <c r="A2367" s="4" t="str">
        <f ca="1">IFERROR(__xludf.DUMMYFUNCTION("""COMPUTED_VALUE"""),"श्रियास्य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॥नैषधीयचरितम्१.३१ ॥")</f>
        <v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॥नैषधीयचरितम्१.३१ ॥</v>
      </c>
      <c r="B2367" s="4" t="s">
        <v>2</v>
      </c>
      <c r="C2367" s="4"/>
    </row>
    <row r="2368" spans="1:3" ht="24" customHeight="1">
      <c r="A2368" s="4" t="str">
        <f ca="1">IFERROR(__xludf.DUMMYFUNCTION("""COMPUTED_VALUE"""),"यथोह्यमानः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॥नैषधीयचरितम्१.३२ ॥")</f>
        <v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॥नैषधीयचरितम्१.३२ ॥</v>
      </c>
      <c r="B2368" s="4" t="s">
        <v>2</v>
      </c>
      <c r="C2368" s="4"/>
    </row>
    <row r="2369" spans="1:3" ht="24" customHeight="1">
      <c r="A2369" s="4" t="str">
        <f ca="1">IFERROR(__xludf.DUMMYFUNCTION("""COMPUTED_VALUE"""),"नृपेऽनुरूपे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॥नैषधीयचरितम्१.३३ ॥")</f>
        <v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॥नैषधीयचरितम्१.३३ ॥</v>
      </c>
      <c r="B2369" s="4" t="s">
        <v>1</v>
      </c>
      <c r="C2369" s="4"/>
    </row>
    <row r="2370" spans="1:3" ht="24" customHeight="1">
      <c r="A2370" s="4" t="str">
        <f ca="1">IFERROR(__xludf.DUMMYFUNCTION("""COMPUTED_VALUE"""),"उपासनामेत्य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॥नैषधीयचरितम्१.३४ ॥")</f>
        <v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॥नैषधीयचरितम्१.३४ ॥</v>
      </c>
      <c r="B2370" s="4" t="s">
        <v>11</v>
      </c>
      <c r="C2370" s="4"/>
    </row>
    <row r="2371" spans="1:3" ht="24" customHeight="1">
      <c r="A2371" s="4" t="str">
        <f ca="1">IFERROR(__xludf.DUMMYFUNCTION("""COMPUTED_VALUE"""),"कथाप्रसङ्गेषु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॥नैषधीयचरितम्१.३५ ॥")</f>
        <v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॥नैषधीयचरितम्१.३५ ॥</v>
      </c>
      <c r="B2371" s="4" t="s">
        <v>5</v>
      </c>
      <c r="C2371" s="4"/>
    </row>
    <row r="2372" spans="1:3" ht="24" customHeight="1">
      <c r="A2372" s="4" t="str">
        <f ca="1">IFERROR(__xludf.DUMMYFUNCTION("""COMPUTED_VALUE"""),"स्मरात्परासोरनिमेषलोचनाद्विमेमि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॥नैषधीयचरितम्१.३६ ॥")</f>
        <v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॥नैषधीयचरितम्१.३६ ॥</v>
      </c>
      <c r="B2372" s="4" t="s">
        <v>5</v>
      </c>
      <c r="C2372" s="4"/>
    </row>
    <row r="2373" spans="1:3" ht="24" customHeight="1">
      <c r="A2373" s="4" t="str">
        <f ca="1">IFERROR(__xludf.DUMMYFUNCTION("""COMPUTED_VALUE"""),"नलस्य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॥नैषधीयचरितम्१.३७ ॥")</f>
        <v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॥नैषधीयचरितम्१.३७ ॥</v>
      </c>
      <c r="B2373" s="4" t="s">
        <v>5</v>
      </c>
      <c r="C2373" s="4"/>
    </row>
    <row r="2374" spans="1:3" ht="24" customHeight="1">
      <c r="A2374" s="4" t="str">
        <f ca="1">IFERROR(__xludf.DUMMYFUNCTION("""COMPUTED_VALUE"""),"प्रियं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॥नैषधीयचरितम्१.३८ ॥")</f>
        <v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॥नैषधीयचरितम्१.३८ ॥</v>
      </c>
      <c r="B2374" s="4" t="s">
        <v>2</v>
      </c>
      <c r="C2374" s="4"/>
    </row>
    <row r="2375" spans="1:3" ht="24" customHeight="1">
      <c r="A2375" s="4" t="str">
        <f ca="1">IFERROR(__xludf.DUMMYFUNCTION("""COMPUTED_VALUE"""),"मनोरथेन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॥नैषधीयचरितम्१.३९ ॥")</f>
        <v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॥नैषधीयचरितम्१.३९ ॥</v>
      </c>
      <c r="B2375" s="4" t="s">
        <v>10</v>
      </c>
      <c r="C2375" s="4"/>
    </row>
    <row r="2376" spans="1:3" ht="24" customHeight="1">
      <c r="A2376" s="4" t="str">
        <f ca="1">IFERROR(__xludf.DUMMYFUNCTION("""COMPUTED_VALUE"""),"निमीलितादक्षियुगाच्च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॥नैषधीयचरितम्१.४ ॥")</f>
        <v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॥नैषधीयचरितम्१.४ ॥</v>
      </c>
      <c r="B2376" s="4" t="s">
        <v>2</v>
      </c>
      <c r="C2376" s="4"/>
    </row>
    <row r="2377" spans="1:3" ht="24" customHeight="1">
      <c r="A2377" s="4" t="str">
        <f ca="1">IFERROR(__xludf.DUMMYFUNCTION("""COMPUTED_VALUE"""),"अहो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॥नैषधीयचरितम्१.४१ ॥")</f>
        <v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॥नैषधीयचरितम्१.४१ ॥</v>
      </c>
      <c r="B2377" s="4" t="s">
        <v>0</v>
      </c>
      <c r="C2377" s="4"/>
    </row>
    <row r="2378" spans="1:3" ht="24" customHeight="1">
      <c r="A2378" s="4" t="str">
        <f ca="1">IFERROR(__xludf.DUMMYFUNCTION("""COMPUTED_VALUE"""),"स्वकान्तिकीर्तिव्रजमौक्तिकस्रजः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॥नैषधीयचरितम्१.४२ ॥")</f>
        <v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॥नैषधीयचरितम्१.४२ ॥</v>
      </c>
      <c r="B2378" s="4" t="s">
        <v>0</v>
      </c>
      <c r="C2378" s="4"/>
    </row>
    <row r="2379" spans="1:3" ht="24" customHeight="1">
      <c r="A2379" s="4" t="str">
        <f ca="1">IFERROR(__xludf.DUMMYFUNCTION("""COMPUTED_VALUE"""),"तमेव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॥नैषधीयचरितम्१.४३ ॥")</f>
        <v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॥नैषधीयचरितम्१.४३ ॥</v>
      </c>
      <c r="B2379" s="4" t="s">
        <v>20</v>
      </c>
      <c r="C2379" s="4"/>
    </row>
    <row r="2380" spans="1:3" ht="24" customHeight="1">
      <c r="A2380" s="4" t="str">
        <f ca="1">IFERROR(__xludf.DUMMYFUNCTION("""COMPUTED_VALUE"""),"अकारि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॥नैषधीयचरितम्१.४४ ॥")</f>
        <v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॥नैषधीयचरितम्१.४४ ॥</v>
      </c>
      <c r="B2380" s="4" t="s">
        <v>5</v>
      </c>
      <c r="C2380" s="4"/>
    </row>
    <row r="2381" spans="1:3" ht="24" customHeight="1">
      <c r="A2381" s="4" t="str">
        <f ca="1">IFERROR(__xludf.DUMMYFUNCTION("""COMPUTED_VALUE"""),"अमुष्य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॥नैषधीयचरितम्१.४५ ॥")</f>
        <v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॥नैषधीयचरितम्१.४५ ॥</v>
      </c>
      <c r="B2381" s="4" t="s">
        <v>9</v>
      </c>
      <c r="C2381" s="4"/>
    </row>
    <row r="2382" spans="1:3" ht="24" customHeight="1">
      <c r="A2382" s="4" t="str">
        <f ca="1">IFERROR(__xludf.DUMMYFUNCTION("""COMPUTED_VALUE"""),"अनेन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॥नैषधीयचरितम्१.४६ ॥")</f>
        <v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॥नैषधीयचरितम्१.४६ ॥</v>
      </c>
      <c r="B2382" s="4" t="s">
        <v>19</v>
      </c>
      <c r="C2382" s="4"/>
    </row>
    <row r="2383" spans="1:3" ht="24" customHeight="1">
      <c r="A2383" s="4" t="str">
        <f ca="1">IFERROR(__xludf.DUMMYFUNCTION("""COMPUTED_VALUE"""),"किमन्यदद्यापि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॥नैषधीयचरितम्१.४७ ॥")</f>
        <v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॥नैषधीयचरितम्१.४७ ॥</v>
      </c>
      <c r="B2383" s="4" t="s">
        <v>11</v>
      </c>
      <c r="C2383" s="4"/>
    </row>
    <row r="2384" spans="1:3" ht="24" customHeight="1">
      <c r="A2384" s="4" t="str">
        <f ca="1">IFERROR(__xludf.DUMMYFUNCTION("""COMPUTED_VALUE"""),"उरोभुवा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॥नैषधीयचरितम्१.४८ ॥")</f>
        <v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॥नैषधीयचरितम्१.४८ ॥</v>
      </c>
      <c r="B2384" s="4" t="s">
        <v>5</v>
      </c>
      <c r="C2384" s="4"/>
    </row>
    <row r="2385" spans="1:3" ht="24" customHeight="1">
      <c r="A2385" s="4" t="str">
        <f ca="1">IFERROR(__xludf.DUMMYFUNCTION("""COMPUTED_VALUE"""),"अपह्नुवानस्य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॥नैषधीयचरितम्१.४९ ॥")</f>
        <v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॥नैषधीयचरितम्१.४९ ॥</v>
      </c>
      <c r="B2385" s="4" t="s">
        <v>11</v>
      </c>
      <c r="C2385" s="4"/>
    </row>
    <row r="2386" spans="1:3" ht="24" customHeight="1">
      <c r="A2386" s="4" t="str">
        <f ca="1">IFERROR(__xludf.DUMMYFUNCTION("""COMPUTED_VALUE"""),"स्मरोपतप्तोऽपि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॥नैषधीयचरितम्१.५ ॥")</f>
        <v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॥नैषधीयचरितम्१.५ ॥</v>
      </c>
      <c r="B2386" s="4" t="s">
        <v>2</v>
      </c>
      <c r="C2386" s="4"/>
    </row>
    <row r="2387" spans="1:3" ht="24" customHeight="1">
      <c r="A2387" s="4" t="str">
        <f ca="1">IFERROR(__xludf.DUMMYFUNCTION("""COMPUTED_VALUE"""),"मृषाविषादाभिनयादयं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॥नैषधीयचरितम्१.५१ ॥")</f>
        <v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॥नैषधीयचरितम्१.५१ ॥</v>
      </c>
      <c r="B2387" s="4" t="s">
        <v>2</v>
      </c>
      <c r="C2387" s="4"/>
    </row>
    <row r="2388" spans="1:3" ht="24" customHeight="1">
      <c r="A2388" s="4" t="str">
        <f ca="1">IFERROR(__xludf.DUMMYFUNCTION("""COMPUTED_VALUE"""),"शशाक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॥नैषधीयचरितम्१.५२ ॥")</f>
        <v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॥नैषधीयचरितम्१.५२ ॥</v>
      </c>
      <c r="B2388" s="4" t="s">
        <v>16</v>
      </c>
      <c r="C2388" s="4"/>
    </row>
    <row r="2389" spans="1:3" ht="24" customHeight="1">
      <c r="A2389" s="4" t="str">
        <f ca="1">IFERROR(__xludf.DUMMYFUNCTION("""COMPUTED_VALUE"""),"अवाप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॥नैषधीयचरितम्१.५३ ॥")</f>
        <v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॥नैषधीयचरितम्१.५३ ॥</v>
      </c>
      <c r="B2389" s="4" t="s">
        <v>13</v>
      </c>
      <c r="C2389" s="4"/>
    </row>
    <row r="2390" spans="1:3" ht="24" customHeight="1">
      <c r="A2390" s="4" t="str">
        <f ca="1">IFERROR(__xludf.DUMMYFUNCTION("""COMPUTED_VALUE"""),"अलं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॥नैषधीयचरितम्१.५४ ॥")</f>
        <v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॥नैषधीयचरितम्१.५४ ॥</v>
      </c>
      <c r="B2390" s="4" t="s">
        <v>8</v>
      </c>
      <c r="C2390" s="4"/>
    </row>
    <row r="2391" spans="1:3" ht="24" customHeight="1">
      <c r="A2391" s="4" t="str">
        <f ca="1">IFERROR(__xludf.DUMMYFUNCTION("""COMPUTED_VALUE"""),"अनङ्गचिह्नं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॥नैषधीयचरितम्१.५५ ॥")</f>
        <v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॥नैषधीयचरितम्१.५५ ॥</v>
      </c>
      <c r="B2391" s="4" t="s">
        <v>1</v>
      </c>
      <c r="C2391" s="4"/>
    </row>
    <row r="2392" spans="1:3" ht="24" customHeight="1">
      <c r="A2392" s="4" t="str">
        <f ca="1">IFERROR(__xludf.DUMMYFUNCTION("""COMPUTED_VALUE"""),"अथ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॥नैषधीयचरितम्१.५६ ॥")</f>
        <v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॥नैषधीयचरितम्१.५६ ॥</v>
      </c>
      <c r="B2392" s="4" t="s">
        <v>7</v>
      </c>
      <c r="C2392" s="4"/>
    </row>
    <row r="2393" spans="1:3" ht="24" customHeight="1">
      <c r="A2393" s="4" t="str">
        <f ca="1">IFERROR(__xludf.DUMMYFUNCTION("""COMPUTED_VALUE"""),"अमी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॥नैषधीयचरितम्१.५७ ॥")</f>
        <v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॥नैषधीयचरितम्१.५७ ॥</v>
      </c>
      <c r="B2393" s="4" t="s">
        <v>0</v>
      </c>
      <c r="C2393" s="4"/>
    </row>
    <row r="2394" spans="1:3" ht="24" customHeight="1">
      <c r="A2394" s="4" t="str">
        <f ca="1">IFERROR(__xludf.DUMMYFUNCTION("""COMPUTED_VALUE"""),"अथान्तरेणावटुगामिनाध्वना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॥नैषधीयचरितम्१.५८ ॥")</f>
        <v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॥नैषधीयचरितम्१.५८ ॥</v>
      </c>
      <c r="B2394" s="4" t="s">
        <v>6</v>
      </c>
      <c r="C2394" s="4"/>
    </row>
    <row r="2395" spans="1:3" ht="24" customHeight="1">
      <c r="A2395" s="4" t="str">
        <f ca="1">IFERROR(__xludf.DUMMYFUNCTION("""COMPUTED_VALUE"""),"अजस्रभूमीतटकुट्टनोत्थितैरुपास्यमानं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॥नैषधीयचरितम्१.५९ ॥")</f>
        <v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॥नैषधीयचरितम्१.५९ ॥</v>
      </c>
      <c r="B2395" s="4" t="s">
        <v>2</v>
      </c>
      <c r="C2395" s="4"/>
    </row>
    <row r="2396" spans="1:3" ht="24" customHeight="1">
      <c r="A2396" s="4" t="str">
        <f ca="1">IFERROR(__xludf.DUMMYFUNCTION("""COMPUTED_VALUE"""),"चलाचलप्रोथतया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॥नैषधीयचरितम्१.६ ॥")</f>
        <v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॥नैषधीयचरितम्१.६ ॥</v>
      </c>
      <c r="B2396" s="4" t="s">
        <v>2</v>
      </c>
      <c r="C2396" s="4"/>
    </row>
    <row r="2397" spans="1:3" ht="24" customHeight="1">
      <c r="A2397" s="4" t="str">
        <f ca="1">IFERROR(__xludf.DUMMYFUNCTION("""COMPUTED_VALUE"""),"महारथस्याध्वनि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॥नैषधीयचरितम्१.६१ ॥")</f>
        <v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॥नैषधीयचरितम्१.६१ ॥</v>
      </c>
      <c r="B2397" s="4" t="s">
        <v>4</v>
      </c>
      <c r="C2397" s="4"/>
    </row>
    <row r="2398" spans="1:3" ht="24" customHeight="1">
      <c r="A2398" s="4" t="str">
        <f ca="1">IFERROR(__xludf.DUMMYFUNCTION("""COMPUTED_VALUE"""),"सितत्विषश्चञ्चलतामुपेयुषो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॥नैषधीयचरितम्१.६२ ॥")</f>
        <v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॥नैषधीयचरितम्१.६२ ॥</v>
      </c>
      <c r="B2398" s="4" t="s">
        <v>2</v>
      </c>
      <c r="C2398" s="4"/>
    </row>
    <row r="2399" spans="1:3" ht="24" customHeight="1">
      <c r="A2399" s="4" t="str">
        <f ca="1">IFERROR(__xludf.DUMMYFUNCTION("""COMPUTED_VALUE"""),"अपि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॥नैषधीयचरितम्१.६३ ॥")</f>
        <v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॥नैषधीयचरितम्१.६३ ॥</v>
      </c>
      <c r="B2399" s="4" t="s">
        <v>2</v>
      </c>
      <c r="C2399" s="4"/>
    </row>
    <row r="2400" spans="1:3" ht="24" customHeight="1">
      <c r="A2400" s="4" t="str">
        <f ca="1">IFERROR(__xludf.DUMMYFUNCTION("""COMPUTED_VALUE"""),"स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॥नैषधीयचरितम्१.६४ ॥")</f>
        <v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॥नैषधीयचरितम्१.६४ ॥</v>
      </c>
      <c r="B2400" s="4" t="s">
        <v>1</v>
      </c>
      <c r="C2400" s="4"/>
    </row>
    <row r="2401" spans="1:3" ht="24" customHeight="1">
      <c r="A2401" s="4" t="str">
        <f ca="1">IFERROR(__xludf.DUMMYFUNCTION("""COMPUTED_VALUE"""),"निजा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॥नैषधीयचरितम्१.६५ ॥")</f>
        <v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॥नैषधीयचरितम्१.६५ ॥</v>
      </c>
      <c r="B2401" s="4" t="s">
        <v>5</v>
      </c>
      <c r="C2401" s="4"/>
    </row>
    <row r="2402" spans="1:3" ht="24" customHeight="1">
      <c r="A2402" s="4" t="str">
        <f ca="1">IFERROR(__xludf.DUMMYFUNCTION("""COMPUTED_VALUE"""),"चलन्नलंकृत्य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॥नैषधीयचरितम्१.६६ ॥")</f>
        <v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॥नैषधीयचरितम्१.६६ ॥</v>
      </c>
      <c r="B2402" s="4" t="s">
        <v>11</v>
      </c>
      <c r="C2402" s="4"/>
    </row>
    <row r="2403" spans="1:3" ht="24" customHeight="1">
      <c r="A2403" s="4" t="str">
        <f ca="1">IFERROR(__xludf.DUMMYFUNCTION("""COMPUTED_VALUE"""),"क्षणादथैष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॥नैषधीयचरितम्१.६७ ॥")</f>
        <v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॥नैषधीयचरितम्१.६७ ॥</v>
      </c>
      <c r="B2403" s="4" t="s">
        <v>13</v>
      </c>
      <c r="C2403" s="4"/>
    </row>
    <row r="2404" spans="1:3" ht="24" customHeight="1">
      <c r="A2404" s="4" t="str">
        <f ca="1">IFERROR(__xludf.DUMMYFUNCTION("""COMPUTED_VALUE"""),"ततः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॥नैषधीयचरितम्१.६८ ॥")</f>
        <v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॥नैषधीयचरितम्१.६८ ॥</v>
      </c>
      <c r="B2404" s="4" t="s">
        <v>2</v>
      </c>
      <c r="C2404" s="4"/>
    </row>
    <row r="2405" spans="1:3" ht="24" customHeight="1">
      <c r="A2405" s="4" t="str">
        <f ca="1">IFERROR(__xludf.DUMMYFUNCTION("""COMPUTED_VALUE"""),"प्रयातुमस्माकमियं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॥नैषधीयचरितम्१.६९ ॥")</f>
        <v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॥नैषधीयचरितम्१.६९ ॥</v>
      </c>
      <c r="B2405" s="4" t="s">
        <v>3</v>
      </c>
      <c r="C2405" s="4"/>
    </row>
    <row r="2406" spans="1:3" ht="24" customHeight="1">
      <c r="A2406" s="4" t="str">
        <f ca="1">IFERROR(__xludf.DUMMYFUNCTION("""COMPUTED_VALUE"""),"हरेर्यदक्रामि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॥नैषधीयचरितम्१.७ ॥")</f>
        <v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॥नैषधीयचरितम्१.७ ॥</v>
      </c>
      <c r="B2406" s="4" t="s">
        <v>12</v>
      </c>
      <c r="C2406" s="4"/>
    </row>
    <row r="2407" spans="1:3" ht="24" customHeight="1">
      <c r="A2407" s="4" t="str">
        <f ca="1">IFERROR(__xludf.DUMMYFUNCTION("""COMPUTED_VALUE"""),"चमूचरास्तस्य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॥नैषधीयचरितम्१.७१ ॥")</f>
        <v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॥नैषधीयचरितम्१.७१ ॥</v>
      </c>
      <c r="B2407" s="4" t="s">
        <v>9</v>
      </c>
      <c r="C2407" s="4"/>
    </row>
    <row r="2408" spans="1:3" ht="24" customHeight="1">
      <c r="A2408" s="4" t="str">
        <f ca="1">IFERROR(__xludf.DUMMYFUNCTION("""COMPUTED_VALUE"""),"द्विषद्भिरेवास्य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॥नैषधीयचरितम्१.७२ ॥")</f>
        <v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॥नैषधीयचरितम्१.७२ ॥</v>
      </c>
      <c r="B2408" s="4" t="s">
        <v>11</v>
      </c>
      <c r="C2408" s="4"/>
    </row>
    <row r="2409" spans="1:3" ht="24" customHeight="1">
      <c r="A2409" s="4" t="str">
        <f ca="1">IFERROR(__xludf.DUMMYFUNCTION("""COMPUTED_VALUE"""),"अचीकरच्चारु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॥नैषधीयचरितम्१.७३ ॥")</f>
        <v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॥नैषधीयचरितम्१.७३ ॥</v>
      </c>
      <c r="B2409" s="4" t="s">
        <v>12</v>
      </c>
      <c r="C2409" s="4"/>
    </row>
    <row r="2410" spans="1:3" ht="24" customHeight="1">
      <c r="A2410" s="4" t="str">
        <f ca="1">IFERROR(__xludf.DUMMYFUNCTION("""COMPUTED_VALUE"""),"विवेश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॥नैषधीयचरितम्१.७४ ॥")</f>
        <v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॥नैषधीयचरितम्१.७४ ॥</v>
      </c>
      <c r="B2410" s="4" t="s">
        <v>20</v>
      </c>
      <c r="C2410" s="4"/>
    </row>
    <row r="2411" spans="1:3" ht="24" customHeight="1">
      <c r="A2411" s="4" t="str">
        <f ca="1">IFERROR(__xludf.DUMMYFUNCTION("""COMPUTED_VALUE"""),"वनान्तपर्यन्तमुपेत्य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॥नैषधीयचरितम्१.७५ ॥")</f>
        <v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॥नैषधीयचरितम्१.७५ ॥</v>
      </c>
      <c r="B2411" s="4" t="s">
        <v>6</v>
      </c>
      <c r="C2411" s="4"/>
    </row>
    <row r="2412" spans="1:3" ht="24" customHeight="1">
      <c r="A2412" s="4" t="str">
        <f ca="1">IFERROR(__xludf.DUMMYFUNCTION("""COMPUTED_VALUE"""),"ततः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॥नैषधीयचरितम्१.७६ ॥")</f>
        <v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॥नैषधीयचरितम्१.७६ ॥</v>
      </c>
      <c r="B2412" s="4" t="s">
        <v>19</v>
      </c>
      <c r="C2412" s="4"/>
    </row>
    <row r="2413" spans="1:3" ht="24" customHeight="1">
      <c r="A2413" s="4" t="str">
        <f ca="1">IFERROR(__xludf.DUMMYFUNCTION("""COMPUTED_VALUE"""),"फलानि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॥नैषधीयचरितम्१.७७ ॥")</f>
        <v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॥नैषधीयचरितम्१.७७ ॥</v>
      </c>
      <c r="B2413" s="4" t="s">
        <v>6</v>
      </c>
      <c r="C2413" s="4"/>
    </row>
    <row r="2414" spans="1:3" ht="24" customHeight="1">
      <c r="A2414" s="4" t="str">
        <f ca="1">IFERROR(__xludf.DUMMYFUNCTION("""COMPUTED_VALUE"""),"विनिद्रपत्त्रालिगतालिकैतवान्मृगाङ्कचूडामणिवर्जनार्जितम्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॥नैषधीयचरितम्१.७८ ॥")</f>
        <v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॥नैषधीयचरितम्१.७८ ॥</v>
      </c>
      <c r="B2414" s="4" t="s">
        <v>19</v>
      </c>
      <c r="C2414" s="4"/>
    </row>
    <row r="2415" spans="1:3" ht="24" customHeight="1">
      <c r="A2415" s="4" t="str">
        <f ca="1">IFERROR(__xludf.DUMMYFUNCTION("""COMPUTED_VALUE"""),"वियोगभाजां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॥नैषधीयचरितम्१.७९ ॥")</f>
        <v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॥नैषधीयचरितम्१.७९ ॥</v>
      </c>
      <c r="B2415" s="4" t="s">
        <v>1</v>
      </c>
      <c r="C2415" s="4"/>
    </row>
    <row r="2416" spans="1:3" ht="24" customHeight="1">
      <c r="A2416" s="4" t="str">
        <f ca="1">IFERROR(__xludf.DUMMYFUNCTION("""COMPUTED_VALUE"""),"त्वदग्रसूच्या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॥नैषधीयचरितम्१.८ ॥")</f>
        <v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॥नैषधीयचरितम्१.८ ॥</v>
      </c>
      <c r="B2416" s="4" t="s">
        <v>2</v>
      </c>
      <c r="C2416" s="4"/>
    </row>
    <row r="2417" spans="1:3" ht="24" customHeight="1">
      <c r="A2417" s="4" t="str">
        <f ca="1">IFERROR(__xludf.DUMMYFUNCTION("""COMPUTED_VALUE"""),"धनुर्मधुस्विन्नकरोऽपि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॥नैषधीयचरितम्१.८१ ॥")</f>
        <v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॥नैषधीयचरितम्१.८१ ॥</v>
      </c>
      <c r="B2417" s="4" t="s">
        <v>19</v>
      </c>
      <c r="C2417" s="4"/>
    </row>
    <row r="2418" spans="1:3" ht="24" customHeight="1">
      <c r="A2418" s="4" t="str">
        <f ca="1">IFERROR(__xludf.DUMMYFUNCTION("""COMPUTED_VALUE"""),"विदर्भसुभ्रूस्तनतुङ्गताप्तये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॥नैषधीयचरितम्१.८२ ॥")</f>
        <v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॥नैषधीयचरितम्१.८२ ॥</v>
      </c>
      <c r="B2418" s="4" t="s">
        <v>12</v>
      </c>
      <c r="C2418" s="4"/>
    </row>
    <row r="2419" spans="1:3" ht="24" customHeight="1">
      <c r="A2419" s="4" t="str">
        <f ca="1">IFERROR(__xludf.DUMMYFUNCTION("""COMPUTED_VALUE"""),"वियोगिनीमैक्षत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॥नैषधीयचरितम्१.८३ ॥")</f>
        <v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॥नैषधीयचरितम्१.८३ ॥</v>
      </c>
      <c r="B2419" s="4" t="s">
        <v>15</v>
      </c>
      <c r="C2419" s="4"/>
    </row>
    <row r="2420" spans="1:3" ht="24" customHeight="1">
      <c r="A2420" s="4" t="str">
        <f ca="1">IFERROR(__xludf.DUMMYFUNCTION("""COMPUTED_VALUE"""),"स्मरार्धचन्द्रेषुनिभे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॥नैषधीयचरितम्१.८४ ॥")</f>
        <v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॥नैषधीयचरितम्१.८४ ॥</v>
      </c>
      <c r="B2420" s="4" t="s">
        <v>3</v>
      </c>
      <c r="C2420" s="4"/>
    </row>
    <row r="2421" spans="1:3" ht="24" customHeight="1">
      <c r="A2421" s="4" t="str">
        <f ca="1">IFERROR(__xludf.DUMMYFUNCTION("""COMPUTED_VALUE"""),"नवा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॥नैषधीयचरितम्१.८५ ॥")</f>
        <v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॥नैषधीयचरितम्१.८५ ॥</v>
      </c>
      <c r="B2421" s="4" t="s">
        <v>9</v>
      </c>
      <c r="C2421" s="4"/>
    </row>
    <row r="2422" spans="1:3" ht="24" customHeight="1">
      <c r="A2422" s="4" t="str">
        <f ca="1">IFERROR(__xludf.DUMMYFUNCTION("""COMPUTED_VALUE"""),"विचिन्वतीः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॥नैषधीयचरितम्१.८६ ॥")</f>
        <v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॥नैषधीयचरितम्१.८६ ॥</v>
      </c>
      <c r="B2422" s="4" t="s">
        <v>4</v>
      </c>
      <c r="C2422" s="4"/>
    </row>
    <row r="2423" spans="1:3" ht="24" customHeight="1">
      <c r="A2423" s="4" t="str">
        <f ca="1">IFERROR(__xludf.DUMMYFUNCTION("""COMPUTED_VALUE"""),"अमन्यतासौ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॥नैषधीयचरितम्१.८७ ॥")</f>
        <v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॥नैषधीयचरितम्१.८७ ॥</v>
      </c>
      <c r="B2423" s="4" t="s">
        <v>2</v>
      </c>
      <c r="C2423" s="4"/>
    </row>
    <row r="2424" spans="1:3" ht="24" customHeight="1">
      <c r="A2424" s="4" t="str">
        <f ca="1">IFERROR(__xludf.DUMMYFUNCTION("""COMPUTED_VALUE"""),"पिकाद्वने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॥नैषधीयचरितम्१.८८ ॥")</f>
        <v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॥नैषधीयचरितम्१.८८ ॥</v>
      </c>
      <c r="B2424" s="4" t="s">
        <v>11</v>
      </c>
      <c r="C2424" s="4"/>
    </row>
    <row r="2425" spans="1:3" ht="24" customHeight="1">
      <c r="A2425" s="4" t="str">
        <f ca="1">IFERROR(__xludf.DUMMYFUNCTION("""COMPUTED_VALUE"""),"रसालसालः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॥नैषधीयचरितम्१.८९ ॥")</f>
        <v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॥नैषधीयचरितम्१.८९ ॥</v>
      </c>
      <c r="B2425" s="4" t="s">
        <v>5</v>
      </c>
      <c r="C2425" s="4"/>
    </row>
    <row r="2426" spans="1:3" ht="24" customHeight="1">
      <c r="A2426" s="4" t="str">
        <f ca="1">IFERROR(__xludf.DUMMYFUNCTION("""COMPUTED_VALUE"""),"दिनेदिने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॥नैषधीयचरितम्१.९ ॥")</f>
        <v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॥नैषधीयचरितम्१.९ ॥</v>
      </c>
      <c r="B2426" s="4" t="s">
        <v>3</v>
      </c>
      <c r="C2426" s="4"/>
    </row>
    <row r="2427" spans="1:3" ht="24" customHeight="1">
      <c r="A2427" s="4" t="str">
        <f ca="1">IFERROR(__xludf.DUMMYFUNCTION("""COMPUTED_VALUE"""),"कुड्मलमुच्चशेखरं निपीय चाम्पेयमधीरया धिया । स धूमकेतुं विपदे वियोगिना मुदीतमातङ्कितवानशङ्कत ॥नैषधीयचरितम्१.९१ ॥")</f>
        <v>कुड्मलमुच्चशेखरं निपीय चाम्पेयमधीरया धिया । स धूमकेतुं विपदे वियोगिना मुदीतमातङ्कितवानशङ्कत ॥नैषधीयचरितम्१.९१ ॥</v>
      </c>
      <c r="B2427" s="4" t="s">
        <v>2</v>
      </c>
      <c r="C2427" s="4"/>
    </row>
    <row r="2428" spans="1:3" ht="24" customHeight="1">
      <c r="A2428" s="4" t="str">
        <f ca="1">IFERROR(__xludf.DUMMYFUNCTION("""COMPUTED_VALUE"""),"गलत्परागं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॥नैषधीयचरितम्१.९२ ॥")</f>
        <v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॥नैषधीयचरितम्१.९२ ॥</v>
      </c>
      <c r="B2428" s="4" t="s">
        <v>5</v>
      </c>
      <c r="C2428" s="4"/>
    </row>
    <row r="2429" spans="1:3" ht="24" customHeight="1">
      <c r="A2429" s="4" t="str">
        <f ca="1">IFERROR(__xludf.DUMMYFUNCTION("""COMPUTED_VALUE"""),"तदङ्गमुद्दिश्य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॥नैषधीयचरितम्१.९३ ॥")</f>
        <v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॥नैषधीयचरितम्१.९३ ॥</v>
      </c>
      <c r="B2429" s="4" t="s">
        <v>2</v>
      </c>
      <c r="C2429" s="4"/>
    </row>
    <row r="2430" spans="1:3" ht="24" customHeight="1">
      <c r="A2430" s="4" t="str">
        <f ca="1">IFERROR(__xludf.DUMMYFUNCTION("""COMPUTED_VALUE"""),"मरुल्ललत्पल्लवकण्टकैः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॥नैषधीयचरितम्१.९४ ॥")</f>
        <v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॥नैषधीयचरितम्१.९४ ॥</v>
      </c>
      <c r="B2430" s="4" t="s">
        <v>12</v>
      </c>
      <c r="C2430" s="4"/>
    </row>
    <row r="2431" spans="1:3" ht="24" customHeight="1">
      <c r="A2431" s="4" t="str">
        <f ca="1">IFERROR(__xludf.DUMMYFUNCTION("""COMPUTED_VALUE"""),"युवद्वयीचित्तनिमज्जनोचितप्रसूनशून्येतरगर्भगह्वरम्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॥नैषधीयचरितम्१.९५ ॥")</f>
        <v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॥नैषधीयचरितम्१.९५ ॥</v>
      </c>
      <c r="B2431" s="4" t="s">
        <v>2</v>
      </c>
      <c r="C2431" s="4"/>
    </row>
    <row r="2432" spans="1:3" ht="24" customHeight="1">
      <c r="A2432" s="4" t="str">
        <f ca="1">IFERROR(__xludf.DUMMYFUNCTION("""COMPUTED_VALUE"""),"मुनिद्रुमः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॥नैषधीयचरितम्१.९६ ॥")</f>
        <v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॥नैषधीयचरितम्१.९६ ॥</v>
      </c>
      <c r="B2432" s="4" t="s">
        <v>12</v>
      </c>
      <c r="C2432" s="4"/>
    </row>
    <row r="2433" spans="1:3" ht="24" customHeight="1">
      <c r="A2433" s="4" t="str">
        <f ca="1">IFERROR(__xludf.DUMMYFUNCTION("""COMPUTED_VALUE"""),"पुरा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॥नैषधीयचरितम्१.९७ ॥")</f>
        <v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॥नैषधीयचरितम्१.९७ ॥</v>
      </c>
      <c r="B2433" s="4" t="s">
        <v>5</v>
      </c>
      <c r="C2433" s="4"/>
    </row>
    <row r="2434" spans="1:3" ht="24" customHeight="1">
      <c r="A2434" s="4" t="str">
        <f ca="1">IFERROR(__xludf.DUMMYFUNCTION("""COMPUTED_VALUE"""),"गता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॥नैषधीयचरितम्१.९८ ॥")</f>
        <v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॥नैषधीयचरितम्१.९८ ॥</v>
      </c>
      <c r="B2434" s="4" t="s">
        <v>2</v>
      </c>
      <c r="C2434" s="4"/>
    </row>
    <row r="2435" spans="1:3" ht="24" customHeight="1">
      <c r="A2435" s="4" t="str">
        <f ca="1">IFERROR(__xludf.DUMMYFUNCTION("""COMPUTED_VALUE"""),"नृपाय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॥नैषधीयचरितम्१.९९ ॥")</f>
        <v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॥नैषधीयचरितम्१.९९ ॥</v>
      </c>
      <c r="B2435" s="4" t="s">
        <v>17</v>
      </c>
      <c r="C2435" s="4"/>
    </row>
    <row r="2436" spans="1:3" ht="24" customHeight="1">
      <c r="A2436" s="4" t="str">
        <f ca="1">IFERROR(__xludf.DUMMYFUNCTION("""COMPUTED_VALUE"""),"अयोगभाजोऽपि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॥नैषधीयचरितम्१.१ ॥")</f>
        <v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॥नैषधीयचरितम्१.१ ॥</v>
      </c>
      <c r="B2436" s="4" t="s">
        <v>7</v>
      </c>
      <c r="C2436" s="4"/>
    </row>
    <row r="2437" spans="1:3" ht="24" customHeight="1">
      <c r="A2437" s="4" t="str">
        <f ca="1">IFERROR(__xludf.DUMMYFUNCTION("""COMPUTED_VALUE"""),"अशोकमर्थान्वितनामताशया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॥नैषधीयचरितम्१.१०१ ॥")</f>
        <v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॥नैषधीयचरितम्१.१०१ ॥</v>
      </c>
      <c r="B2437" s="4" t="s">
        <v>19</v>
      </c>
      <c r="C2437" s="4"/>
    </row>
    <row r="2438" spans="1:3" ht="24" customHeight="1">
      <c r="A2438" s="4" t="str">
        <f ca="1">IFERROR(__xludf.DUMMYFUNCTION("""COMPUTED_VALUE"""),"विलासवापीतटवीचिवादनात्पिकालिगीतेः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॥नैषधीयचरितम्१.१०२ ॥")</f>
        <v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॥नैषधीयचरितम्१.१०२ ॥</v>
      </c>
      <c r="B2438" s="4" t="s">
        <v>1</v>
      </c>
      <c r="C2438" s="4"/>
    </row>
    <row r="2439" spans="1:3" ht="24" customHeight="1">
      <c r="A2439" s="4" t="str">
        <f ca="1">IFERROR(__xludf.DUMMYFUNCTION("""COMPUTED_VALUE"""),"तदर्थमध्याप्य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॥नैषधीयचरितम्१.१०३ ॥")</f>
        <v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॥नैषधीयचरितम्१.१०३ ॥</v>
      </c>
      <c r="B2439" s="4" t="s">
        <v>2</v>
      </c>
      <c r="C2439" s="4"/>
    </row>
    <row r="2440" spans="1:3" ht="24" customHeight="1">
      <c r="A2440" s="4" t="str">
        <f ca="1">IFERROR(__xludf.DUMMYFUNCTION("""COMPUTED_VALUE"""),"इतीष्टगन्धाढ्यमटन्नसौ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॥नैषधीयचरितम्१.१०४ ॥")</f>
        <v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॥नैषधीयचरितम्१.१०४ ॥</v>
      </c>
      <c r="B2440" s="4" t="s">
        <v>0</v>
      </c>
      <c r="C2440" s="4"/>
    </row>
    <row r="2441" spans="1:3" ht="24" customHeight="1">
      <c r="A2441" s="4" t="str">
        <f ca="1">IFERROR(__xludf.DUMMYFUNCTION("""COMPUTED_VALUE"""),"करेण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॥नैषधीयचरितम्१.१०५ ॥")</f>
        <v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॥नैषधीयचरितम्१.१०५ ॥</v>
      </c>
      <c r="B2441" s="4" t="s">
        <v>0</v>
      </c>
      <c r="C2441" s="4"/>
    </row>
    <row r="2442" spans="1:3" ht="24" customHeight="1">
      <c r="A2442" s="4" t="str">
        <f ca="1">IFERROR(__xludf.DUMMYFUNCTION("""COMPUTED_VALUE"""),"लताबलालास्यकलागुरुस्तरुप्रसूनगन्धोत्करपश्यतोहरः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॥नैषधीयचरितम्१.१०६ ॥")</f>
        <v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॥नैषधीयचरितम्१.१०६ ॥</v>
      </c>
      <c r="B2442" s="4" t="s">
        <v>11</v>
      </c>
      <c r="C2442" s="4"/>
    </row>
    <row r="2443" spans="1:3" ht="24" customHeight="1">
      <c r="A2443" s="4" t="str">
        <f ca="1">IFERROR(__xludf.DUMMYFUNCTION("""COMPUTED_VALUE"""),"अथ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॥नैषधीयचरितम्१.१०७ ॥")</f>
        <v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॥नैषधीयचरितम्१.१०७ ॥</v>
      </c>
      <c r="B2443" s="4" t="s">
        <v>3</v>
      </c>
      <c r="C2443" s="4"/>
    </row>
    <row r="2444" spans="1:3" ht="24" customHeight="1">
      <c r="A2444" s="4" t="str">
        <f ca="1">IFERROR(__xludf.DUMMYFUNCTION("""COMPUTED_VALUE"""),"पयोनिलीनाभ्रमुकामुकावलीरदाननन्तोरगपुच्छसुच्छवीन्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॥नैषधीयचरितम्१.१०८ ॥")</f>
        <v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॥नैषधीयचरितम्१.१०८ ॥</v>
      </c>
      <c r="B2444" s="4" t="s">
        <v>5</v>
      </c>
      <c r="C2444" s="4"/>
    </row>
    <row r="2445" spans="1:3" ht="24" customHeight="1">
      <c r="A2445" s="4" t="str">
        <f ca="1">IFERROR(__xludf.DUMMYFUNCTION("""COMPUTED_VALUE"""),"तटान्तविश्रान्ततुरंगमच्छटास्फुटानुबिम्बोदयचुम्बनेन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॥नैषधीयचरितम्१.१०९ ॥")</f>
        <v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॥नैषधीयचरितम्१.१०९ ॥</v>
      </c>
      <c r="B2445" s="4" t="s">
        <v>5</v>
      </c>
      <c r="C2445" s="4"/>
    </row>
    <row r="2446" spans="1:3" ht="24" customHeight="1">
      <c r="A2446" s="4" t="str">
        <f ca="1">IFERROR(__xludf.DUMMYFUNCTION("""COMPUTED_VALUE"""),"सिताम्बुजानां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॥नैषधीयचरितम्१.११ ॥")</f>
        <v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॥नैषधीयचरितम्१.११ ॥</v>
      </c>
      <c r="B2446" s="4" t="s">
        <v>24</v>
      </c>
      <c r="C2446" s="4"/>
    </row>
    <row r="2447" spans="1:3" ht="24" customHeight="1">
      <c r="A2447" s="4" t="str">
        <f ca="1">IFERROR(__xludf.DUMMYFUNCTION("""COMPUTED_VALUE"""),"रथाङ्गभाजा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॥नैषधीयचरितम्१.१११ ॥")</f>
        <v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॥नैषधीयचरितम्१.१११ ॥</v>
      </c>
      <c r="B2447" s="4" t="s">
        <v>5</v>
      </c>
      <c r="C2447" s="4"/>
    </row>
    <row r="2448" spans="1:3" ht="24" customHeight="1">
      <c r="A2448" s="4" t="str">
        <f ca="1">IFERROR(__xludf.DUMMYFUNCTION("""COMPUTED_VALUE"""),"तरङ्गिणीरङ्कजुषः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॥नैषधीयचरितम्१.११२ ॥")</f>
        <v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॥नैषधीयचरितम्१.११२ ॥</v>
      </c>
      <c r="B2448" s="4" t="s">
        <v>5</v>
      </c>
      <c r="C2448" s="4"/>
    </row>
    <row r="2449" spans="1:3" ht="24" customHeight="1">
      <c r="A2449" s="4" t="str">
        <f ca="1">IFERROR(__xludf.DUMMYFUNCTION("""COMPUTED_VALUE"""),"महीयसः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॥नैषधीयचरितम्१.११३ ॥")</f>
        <v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॥नैषधीयचरितम्१.११३ ॥</v>
      </c>
      <c r="B2449" s="4" t="s">
        <v>5</v>
      </c>
      <c r="C2449" s="4"/>
    </row>
    <row r="2450" spans="1:3" ht="24" customHeight="1">
      <c r="A2450" s="4" t="str">
        <f ca="1">IFERROR(__xludf.DUMMYFUNCTION("""COMPUTED_VALUE"""),"चलीकृता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॥नैषधीयचरितम्१.११४ ॥")</f>
        <v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॥नैषधीयचरितम्१.११४ ॥</v>
      </c>
      <c r="B2450" s="4" t="s">
        <v>2</v>
      </c>
      <c r="C2450" s="4"/>
    </row>
    <row r="2451" spans="1:3" ht="24" customHeight="1">
      <c r="A2451" s="4" t="str">
        <f ca="1">IFERROR(__xludf.DUMMYFUNCTION("""COMPUTED_VALUE"""),"प्रकाममादित्यमवाप्य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॥नैषधीयचरितम्१.११५ ॥")</f>
        <v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॥नैषधीयचरितम्१.११५ ॥</v>
      </c>
      <c r="B2451" s="4" t="s">
        <v>2</v>
      </c>
      <c r="C2451" s="4"/>
    </row>
    <row r="2452" spans="1:3" ht="24" customHeight="1">
      <c r="A2452" s="4" t="str">
        <f ca="1">IFERROR(__xludf.DUMMYFUNCTION("""COMPUTED_VALUE"""),"यदम्बुपूरप्रतिबिम्बितायतिर्मरुत्तरङ्गैस्तरलस्तटद्रुमः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॥नैषधीयचरितम्१.११६ ॥")</f>
        <v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॥नैषधीयचरितम्१.११६ ॥</v>
      </c>
      <c r="B2452" s="4" t="s">
        <v>2</v>
      </c>
      <c r="C2452" s="4"/>
    </row>
    <row r="2453" spans="1:3" ht="24" customHeight="1">
      <c r="A2453" s="4" t="str">
        <f ca="1">IFERROR(__xludf.DUMMYFUNCTION("""COMPUTED_VALUE"""),"पयोधिलक्ष्मीमुषि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॥नैषधीयचरितम्१.११७ ॥")</f>
        <v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॥नैषधीयचरितम्१.११७ ॥</v>
      </c>
      <c r="B2453" s="4" t="s">
        <v>20</v>
      </c>
      <c r="C2453" s="4"/>
    </row>
    <row r="2454" spans="1:3" ht="24" customHeight="1">
      <c r="A2454" s="4" t="str">
        <f ca="1">IFERROR(__xludf.DUMMYFUNCTION("""COMPUTED_VALUE"""),"प्रियासु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॥नैषधीयचरितम्१.११८ ॥")</f>
        <v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॥नैषधीयचरितम्१.११८ ॥</v>
      </c>
      <c r="B2454" s="4" t="s">
        <v>16</v>
      </c>
      <c r="C2454" s="4"/>
    </row>
    <row r="2455" spans="1:3" ht="24" customHeight="1">
      <c r="A2455" s="4" t="str">
        <f ca="1">IFERROR(__xludf.DUMMYFUNCTION("""COMPUTED_VALUE"""),"महीमहेन्द्रस्तमवेक्ष्य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॥नैषधीयचरितम्१.११९ ॥")</f>
        <v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॥नैषधीयचरितम्१.११९ ॥</v>
      </c>
      <c r="B2455" s="4" t="s">
        <v>6</v>
      </c>
      <c r="C2455" s="4"/>
    </row>
    <row r="2456" spans="1:3" ht="24" customHeight="1">
      <c r="A2456" s="4" t="str">
        <f ca="1">IFERROR(__xludf.DUMMYFUNCTION("""COMPUTED_VALUE"""),"अवश्यभव्येष्वनवग्रहग्रहा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॥नैषधीयचरितम्१.१२ ॥")</f>
        <v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॥नैषधीयचरितम्१.१२ ॥</v>
      </c>
      <c r="B2456" s="4" t="s">
        <v>1</v>
      </c>
      <c r="C2456" s="4"/>
    </row>
    <row r="2457" spans="1:3" ht="24" customHeight="1">
      <c r="A2457" s="4" t="str">
        <f ca="1">IFERROR(__xludf.DUMMYFUNCTION("""COMPUTED_VALUE"""),"अथावलम्ब्य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॥नैषधीयचरितम्१.१२१ ॥")</f>
        <v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॥नैषधीयचरितम्१.१२१ ॥</v>
      </c>
      <c r="B2457" s="4" t="s">
        <v>18</v>
      </c>
      <c r="C2457" s="4"/>
    </row>
    <row r="2458" spans="1:3" ht="24" customHeight="1">
      <c r="A2458" s="4" t="str">
        <f ca="1">IFERROR(__xludf.DUMMYFUNCTION("""COMPUTED_VALUE"""),"सनालमात्मानननिर्जितप्रभं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॥नैषधीयचरितम्१.१२२ ॥")</f>
        <v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॥नैषधीयचरितम्१.१२२ ॥</v>
      </c>
      <c r="B2458" s="4" t="s">
        <v>19</v>
      </c>
      <c r="C2458" s="4"/>
    </row>
    <row r="2459" spans="1:3" ht="24" customHeight="1">
      <c r="A2459" s="4" t="str">
        <f ca="1">IFERROR(__xludf.DUMMYFUNCTION("""COMPUTED_VALUE"""),"कृतावरोहस्य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॥नैषधीयचरितम्१.१२३ ॥")</f>
        <v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॥नैषधीयचरितम्१.१२३ ॥</v>
      </c>
      <c r="B2459" s="4" t="s">
        <v>7</v>
      </c>
      <c r="C2459" s="4"/>
    </row>
    <row r="2460" spans="1:3" ht="24" customHeight="1">
      <c r="A2460" s="4" t="str">
        <f ca="1">IFERROR(__xludf.DUMMYFUNCTION("""COMPUTED_VALUE"""),"विधाय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॥नैषधीयचरितम्१.१२४ ॥")</f>
        <v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॥नैषधीयचरितम्१.१२४ ॥</v>
      </c>
      <c r="B2460" s="4" t="s">
        <v>1</v>
      </c>
      <c r="C2460" s="4"/>
    </row>
    <row r="2461" spans="1:3" ht="24" customHeight="1">
      <c r="A2461" s="4" t="str">
        <f ca="1">IFERROR(__xludf.DUMMYFUNCTION("""COMPUTED_VALUE"""),"तदात्तमात्मानमवेत्य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॥नैषधीयचरितम्१.१२५ ॥")</f>
        <v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॥नैषधीयचरितम्१.१२५ ॥</v>
      </c>
      <c r="B2461" s="4" t="s">
        <v>11</v>
      </c>
      <c r="C2461" s="4"/>
    </row>
    <row r="2462" spans="1:3" ht="24" customHeight="1">
      <c r="A2462" s="4" t="str">
        <f ca="1">IFERROR(__xludf.DUMMYFUNCTION("""COMPUTED_VALUE"""),"ससंभ्रमोत्पातिपतत्कुलाकुलं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॥नैषधीयचरितम्१.१२६ ॥")</f>
        <v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॥नैषधीयचरितम्१.१२६ ॥</v>
      </c>
      <c r="B2462" s="4" t="s">
        <v>4</v>
      </c>
      <c r="C2462" s="4"/>
    </row>
    <row r="2463" spans="1:3" ht="24" customHeight="1">
      <c r="A2463" s="4" t="str">
        <f ca="1">IFERROR(__xludf.DUMMYFUNCTION("""COMPUTED_VALUE"""),"पतत्रिणा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॥नैषधीयचरितम्१.१२७ ॥")</f>
        <v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॥नैषधीयचरितम्१.१२७ ॥</v>
      </c>
      <c r="B2463" s="4" t="s">
        <v>11</v>
      </c>
      <c r="C2463" s="4"/>
    </row>
    <row r="2464" spans="1:3" ht="24" customHeight="1">
      <c r="A2464" s="4" t="str">
        <f ca="1">IFERROR(__xludf.DUMMYFUNCTION("""COMPUTED_VALUE"""),"न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॥नैषधीयचरितम्१.१२८ ॥")</f>
        <v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॥नैषधीयचरितम्१.१२८ ॥</v>
      </c>
      <c r="B2464" s="4" t="s">
        <v>11</v>
      </c>
      <c r="C2464" s="4"/>
    </row>
    <row r="2465" spans="1:3" ht="24" customHeight="1">
      <c r="A2465" s="4" t="str">
        <f ca="1">IFERROR(__xludf.DUMMYFUNCTION("""COMPUTED_VALUE"""),"न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॥नैषधीयचरितम्१.१२९ ॥")</f>
        <v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॥नैषधीयचरितम्१.१२९ ॥</v>
      </c>
      <c r="B2465" s="4" t="s">
        <v>8</v>
      </c>
      <c r="C2465" s="4"/>
    </row>
    <row r="2466" spans="1:3" ht="24" customHeight="1">
      <c r="A2466" s="4" t="str">
        <f ca="1">IFERROR(__xludf.DUMMYFUNCTION("""COMPUTED_VALUE"""),"धिगस्तु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॥नैषधीयचरितम्१.१३ ॥")</f>
        <v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॥नैषधीयचरितम्१.१३ ॥</v>
      </c>
      <c r="B2466" s="4" t="s">
        <v>5</v>
      </c>
      <c r="C2466" s="4"/>
    </row>
    <row r="2467" spans="1:3" ht="24" customHeight="1">
      <c r="A2467" s="4" t="str">
        <f ca="1">IFERROR(__xludf.DUMMYFUNCTION("""COMPUTED_VALUE"""),"न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॥नैषधीयचरितम्१.१३१ ॥")</f>
        <v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॥नैषधीयचरितम्१.१३१ ॥</v>
      </c>
      <c r="B2467" s="4" t="s">
        <v>9</v>
      </c>
      <c r="C2467" s="4"/>
    </row>
    <row r="2468" spans="1:3" ht="24" customHeight="1">
      <c r="A2468" s="4" t="str">
        <f ca="1">IFERROR(__xludf.DUMMYFUNCTION("""COMPUTED_VALUE"""),"पदेपदे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॥नैषधीयचरितम्१.१३२ ॥")</f>
        <v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॥नैषधीयचरितम्१.१३२ ॥</v>
      </c>
      <c r="B2468" s="4" t="s">
        <v>7</v>
      </c>
      <c r="C2468" s="4"/>
    </row>
    <row r="2469" spans="1:3" ht="24" customHeight="1">
      <c r="A2469" s="4" t="str">
        <f ca="1">IFERROR(__xludf.DUMMYFUNCTION("""COMPUTED_VALUE"""),"फलेन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॥नैषधीयचरितम्१.१३३ ॥")</f>
        <v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॥नैषधीयचरितम्१.१३३ ॥</v>
      </c>
      <c r="B2469" s="4" t="s">
        <v>2</v>
      </c>
      <c r="C2469" s="4"/>
    </row>
    <row r="2470" spans="1:3" ht="24" customHeight="1">
      <c r="A2470" s="4" t="str">
        <f ca="1">IFERROR(__xludf.DUMMYFUNCTION("""COMPUTED_VALUE"""),"इतीदृशैस्तं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॥नैषधीयचरितम्१.१३४ ॥")</f>
        <v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॥नैषधीयचरितम्१.१३४ ॥</v>
      </c>
      <c r="B2470" s="4" t="s">
        <v>0</v>
      </c>
      <c r="C2470" s="4"/>
    </row>
    <row r="2471" spans="1:3" ht="24" customHeight="1">
      <c r="A2471" s="4" t="str">
        <f ca="1">IFERROR(__xludf.DUMMYFUNCTION("""COMPUTED_VALUE"""),"मदेकपुत्राजननी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॥नैषधीयचरितम्१.१३५ ॥")</f>
        <v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॥नैषधीयचरितम्१.१३५ ॥</v>
      </c>
      <c r="B2471" s="4" t="s">
        <v>1</v>
      </c>
      <c r="C2471" s="4"/>
    </row>
    <row r="2472" spans="1:3" ht="24" customHeight="1">
      <c r="A2472" s="4" t="str">
        <f ca="1">IFERROR(__xludf.DUMMYFUNCTION("""COMPUTED_VALUE"""),"मुहूर्तमात्रं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॥नैषधीयचरितम्१.१३६ ॥")</f>
        <v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॥नैषधीयचरितम्१.१३६ ॥</v>
      </c>
      <c r="B2472" s="4" t="s">
        <v>0</v>
      </c>
      <c r="C2472" s="4"/>
    </row>
    <row r="2473" spans="1:3" ht="24" customHeight="1">
      <c r="A2473" s="4" t="str">
        <f ca="1">IFERROR(__xludf.DUMMYFUNCTION("""COMPUTED_VALUE"""),"मदर्थसंदेशमृणालमन्थरः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॥नैषधीयचरितम्१.१३७ ॥")</f>
        <v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॥नैषधीयचरितम्१.१३७ ॥</v>
      </c>
      <c r="B2473" s="4" t="s">
        <v>7</v>
      </c>
      <c r="C2473" s="4"/>
    </row>
    <row r="2474" spans="1:3" ht="24" customHeight="1">
      <c r="A2474" s="4" t="str">
        <f ca="1">IFERROR(__xludf.DUMMYFUNCTION("""COMPUTED_VALUE"""),"कथं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॥नैषधीयचरितम्१.१३८ ॥")</f>
        <v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॥नैषधीयचरितम्१.१३८ ॥</v>
      </c>
      <c r="B2474" s="4" t="s">
        <v>0</v>
      </c>
      <c r="C2474" s="4"/>
    </row>
    <row r="2475" spans="1:3" ht="24" customHeight="1">
      <c r="A2475" s="4" t="str">
        <f ca="1">IFERROR(__xludf.DUMMYFUNCTION("""COMPUTED_VALUE"""),"अयि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॥नैषधीयचरितम्१.१३९ ॥")</f>
        <v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॥नैषधीयचरितम्१.१३९ ॥</v>
      </c>
      <c r="B2475" s="4" t="s">
        <v>18</v>
      </c>
      <c r="C2475" s="4"/>
    </row>
    <row r="2476" spans="1:3" ht="24" customHeight="1">
      <c r="A2476" s="4" t="str">
        <f ca="1">IFERROR(__xludf.DUMMYFUNCTION("""COMPUTED_VALUE"""),"ममैव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॥नैषधीयचरितम्१.१४ ॥")</f>
        <v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॥नैषधीयचरितम्१.१४ ॥</v>
      </c>
      <c r="B2476" s="4" t="s">
        <v>4</v>
      </c>
      <c r="C2476" s="4"/>
    </row>
    <row r="2477" spans="1:3" ht="24" customHeight="1">
      <c r="A2477" s="4" t="str">
        <f ca="1">IFERROR(__xludf.DUMMYFUNCTION("""COMPUTED_VALUE"""),"तवापि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॥नैषधीयचरितम्१.१४१ ॥")</f>
        <v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॥नैषधीयचरितम्१.१४१ ॥</v>
      </c>
      <c r="B2477" s="4" t="s">
        <v>12</v>
      </c>
      <c r="C2477" s="4"/>
    </row>
    <row r="2478" spans="1:3" ht="24" customHeight="1">
      <c r="A2478" s="4" t="str">
        <f ca="1">IFERROR(__xludf.DUMMYFUNCTION("""COMPUTED_VALUE"""),"सुताः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॥नैषधीयचरितम्१.१४२ ॥")</f>
        <v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॥नैषधीयचरितम्१.१४२ ॥</v>
      </c>
      <c r="B2478" s="4" t="s">
        <v>7</v>
      </c>
      <c r="C2478" s="4"/>
    </row>
    <row r="2479" spans="1:3" ht="24" customHeight="1">
      <c r="A2479" s="4" t="str">
        <f ca="1">IFERROR(__xludf.DUMMYFUNCTION("""COMPUTED_VALUE"""),"इत्थममुं विलपन्तममुञ्चद्दीनदयालुतयावनिपालः । रूपमदर्शि धृतोऽसि यदर्थं गच्छ यथेच्छमथेत्यभिधाय ॥नैषधीयचरितम्१.१४३ ॥")</f>
        <v>इत्थममुं विलपन्तममुञ्चद्दीनदयालुतयावनिपालः । रूपमदर्शि धृतोऽसि यदर्थं गच्छ यथेच्छमथेत्यभिधाय ॥नैषधीयचरितम्१.१४३ ॥</v>
      </c>
      <c r="B2479" s="4" t="s">
        <v>2</v>
      </c>
      <c r="C2479" s="4"/>
    </row>
    <row r="2480" spans="1:3" ht="24" customHeight="1">
      <c r="A2480" s="4" t="str">
        <f ca="1">IFERROR(__xludf.DUMMYFUNCTION("""COMPUTED_VALUE"""),"आनन्दजाश्रुभिरनुस्रियमाणमार्गान्प्राक्शोकनिर्गमितनेत्रपयःप्रवाहान्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॥नैषधीयचरितम्१.१४४ ॥")</f>
        <v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॥नैषधीयचरितम्१.१४४ ॥</v>
      </c>
      <c r="B2480" s="4" t="s">
        <v>1</v>
      </c>
      <c r="C2480" s="4"/>
    </row>
    <row r="2481" spans="1:3" ht="24" customHeight="1">
      <c r="A2481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॥नैषधीयचरितम्१.१४५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॥नैषधीयचरितम्१.१४५ ॥</v>
      </c>
      <c r="B2481" s="4" t="s">
        <v>7</v>
      </c>
      <c r="C2481" s="4"/>
    </row>
    <row r="2482" spans="1:3" ht="24" customHeight="1">
      <c r="A2482" s="4" t="str">
        <f ca="1">IFERROR(__xludf.DUMMYFUNCTION("""COMPUTED_VALUE"""),"अधिगत्य जगत्यधीश्वरादथ मुक्तिं पुरुषोत्तमात्ततः । वचसामपि गोचरो न यः स तमानन्दमविन्दत द्विजः ॥नैषधीयचरितम्२.१ ॥")</f>
        <v>अधिगत्य जगत्यधीश्वरादथ मुक्तिं पुरुषोत्तमात्ततः । वचसामपि गोचरो न यः स तमानन्दमविन्दत द्विजः ॥नैषधीयचरितम्२.१ ॥</v>
      </c>
      <c r="B2482" s="4" t="s">
        <v>3</v>
      </c>
      <c r="C2482" s="4"/>
    </row>
    <row r="2483" spans="1:3" ht="24" customHeight="1">
      <c r="A2483" s="4" t="str">
        <f ca="1">IFERROR(__xludf.DUMMYFUNCTION("""COMPUTED_VALUE"""),"अधुनीत खगः स नैकधा तनुमुत्फुल्लतनूरुहीकृताम् । करयन्त्रणदन्तुरान्तरे व्यलिखच्चञ्चुपुटेन पक्षती ॥नैषधीयचरितम्२.२ ॥")</f>
        <v>अधुनीत खगः स नैकधा तनुमुत्फुल्लतनूरुहीकृताम् । करयन्त्रणदन्तुरान्तरे व्यलिखच्चञ्चुपुटेन पक्षती ॥नैषधीयचरितम्२.२ ॥</v>
      </c>
      <c r="B2483" s="4" t="s">
        <v>2</v>
      </c>
      <c r="C2483" s="4"/>
    </row>
    <row r="2484" spans="1:3" ht="24" customHeight="1">
      <c r="A2484" s="4" t="str">
        <f ca="1">IFERROR(__xludf.DUMMYFUNCTION("""COMPUTED_VALUE"""),"अयमेकतमेन पक्षतेरधिमध्योर्ध्वगजङ्घमङ्घ्रिणा । स्खलनक्षण एव शिश्रिये द्रुतकण्डूयितमौलिरालयम् ॥नैषधीयचरितम्२.३ ॥")</f>
        <v>अयमेकतमेन पक्षतेरधिमध्योर्ध्वगजङ्घमङ्घ्रिणा । स्खलनक्षण एव शिश्रिये द्रुतकण्डूयितमौलिरालयम् ॥नैषधीयचरितम्२.३ ॥</v>
      </c>
      <c r="B2484" s="4" t="s">
        <v>5</v>
      </c>
      <c r="C2484" s="4"/>
    </row>
    <row r="2485" spans="1:3" ht="24" customHeight="1">
      <c r="A2485" s="4" t="str">
        <f ca="1">IFERROR(__xludf.DUMMYFUNCTION("""COMPUTED_VALUE"""),"स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॥नैषधीयचरितम्२.४ ॥")</f>
        <v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॥नैषधीयचरितम्२.४ ॥</v>
      </c>
      <c r="B2485" s="4" t="s">
        <v>1</v>
      </c>
      <c r="C2485" s="4"/>
    </row>
    <row r="2486" spans="1:3" ht="24" customHeight="1">
      <c r="A2486" s="4" t="str">
        <f ca="1">IFERROR(__xludf.DUMMYFUNCTION("""COMPUTED_VALUE"""),"अयमेत्य तडाकनीडजैर्लघु पर्यव्रियताथ शाङ्कितैः । उदडीयत वैकृतात्करग्रहजादस्य विकस्वरस्वरैः ॥नैषधीयचरितम्२.५ ॥")</f>
        <v>अयमेत्य तडाकनीडजैर्लघु पर्यव्रियताथ शाङ्कितैः । उदडीयत वैकृतात्करग्रहजादस्य विकस्वरस्वरैः ॥नैषधीयचरितम्२.५ ॥</v>
      </c>
      <c r="B2486" s="4" t="s">
        <v>0</v>
      </c>
      <c r="C2486" s="4"/>
    </row>
    <row r="2487" spans="1:3" ht="24" customHeight="1">
      <c r="A2487" s="4" t="str">
        <f ca="1">IFERROR(__xludf.DUMMYFUNCTION("""COMPUTED_VALUE"""),"वहतो बहुशैवलक्ष्मता धृतरुद्राक्षमधुव्रतं खगः । स नलस्य ययौ करं पुनः सरसः कोकनदभ्रमादिव ॥नैषधीयचरितम्२.६ ॥")</f>
        <v>वहतो बहुशैवलक्ष्मता धृतरुद्राक्षमधुव्रतं खगः । स नलस्य ययौ करं पुनः सरसः कोकनदभ्रमादिव ॥नैषधीयचरितम्२.६ ॥</v>
      </c>
      <c r="B2487" s="4" t="s">
        <v>4</v>
      </c>
      <c r="C2487" s="4"/>
    </row>
    <row r="2488" spans="1:3" ht="24" customHeight="1">
      <c r="A2488" s="4" t="str">
        <f ca="1">IFERROR(__xludf.DUMMYFUNCTION("""COMPUTED_VALUE"""),"पतगश्चिरकाललालनादतिविश्रम्भमवापितो नु सः । अतुलं विदधे कुतूहलं भुजमेतस्य भजन्महीभुजः ॥नैषधीयचरितम्२.७ ॥")</f>
        <v>पतगश्चिरकाललालनादतिविश्रम्भमवापितो नु सः । अतुलं विदधे कुतूहलं भुजमेतस्य भजन्महीभुजः ॥नैषधीयचरितम्२.७ ॥</v>
      </c>
      <c r="B2488" s="4" t="s">
        <v>3</v>
      </c>
      <c r="C2488" s="4"/>
    </row>
    <row r="2489" spans="1:3" ht="24" customHeight="1">
      <c r="A2489" s="4" t="str">
        <f ca="1">IFERROR(__xludf.DUMMYFUNCTION("""COMPUTED_VALUE"""),"नृपमानसमिष्टमानसः स निमज्जत्कुतुकामृतोर्मिषु । अवलम्बितकर्णशष्कुलीकलसीकं रचयन्नवोचत ॥नैषधीयचरितम्२.८ ॥")</f>
        <v>नृपमानसमिष्टमानसः स निमज्जत्कुतुकामृतोर्मिषु । अवलम्बितकर्णशष्कुलीकलसीकं रचयन्नवोचत ॥नैषधीयचरितम्२.८ ॥</v>
      </c>
      <c r="B2489" s="4" t="s">
        <v>2</v>
      </c>
      <c r="C2489" s="4"/>
    </row>
    <row r="2490" spans="1:3" ht="24" customHeight="1">
      <c r="A2490" s="4" t="str">
        <f ca="1">IFERROR(__xludf.DUMMYFUNCTION("""COMPUTED_VALUE"""),"मृगया न विगीयते नृपैरपि धर्मागममर्मपारगैः । स्मरसुन्दर मां यदत्यजस्तव धर्मः सदयोदयोज्ज्वलः ॥नैषधीयचरितम्२.९ ॥")</f>
        <v>मृगया न विगीयते नृपैरपि धर्मागममर्मपारगैः । स्मरसुन्दर मां यदत्यजस्तव धर्मः सदयोदयोज्ज्वलः ॥नैषधीयचरितम्२.९ ॥</v>
      </c>
      <c r="B2490" s="4" t="s">
        <v>11</v>
      </c>
      <c r="C2490" s="4"/>
    </row>
    <row r="2491" spans="1:3" ht="24" customHeight="1">
      <c r="A2491" s="4" t="str">
        <f ca="1">IFERROR(__xludf.DUMMYFUNCTION("""COMPUTED_VALUE"""),"अबलस्वकुलाशिनो झषान्निजनीडद्रुमपीडिनः खगान् । अनवद्यतृणार्दिनो मृगान्मृगयाघाय न भूभुजां घ्नताम् ॥नैषधीयचरितम्२.१ ॥")</f>
        <v>अबलस्वकुलाशिनो झषान्निजनीडद्रुमपीडिनः खगान् । अनवद्यतृणार्दिनो मृगान्मृगयाघाय न भूभुजां घ्नताम् ॥नैषधीयचरितम्२.१ ॥</v>
      </c>
      <c r="B2491" s="4" t="s">
        <v>2</v>
      </c>
      <c r="C2491" s="4"/>
    </row>
    <row r="2492" spans="1:3" ht="24" customHeight="1">
      <c r="A2492" s="4" t="str">
        <f ca="1">IFERROR(__xludf.DUMMYFUNCTION("""COMPUTED_VALUE"""),"यदवादिषमप्रियं तव प्रियमाधाय नुनुत्सुरस्मि तत् । कृतमातपसंज्वरं तरोरभिवृष्यामृतमंशुमानिव ॥नैषधीयचरितम्२.११ ॥")</f>
        <v>यदवादिषमप्रियं तव प्रियमाधाय नुनुत्सुरस्मि तत् । कृतमातपसंज्वरं तरोरभिवृष्यामृतमंशुमानिव ॥नैषधीयचरितम्२.११ ॥</v>
      </c>
      <c r="B2492" s="4" t="s">
        <v>4</v>
      </c>
      <c r="C2492" s="4"/>
    </row>
    <row r="2493" spans="1:3" ht="24" customHeight="1">
      <c r="A2493" s="4" t="str">
        <f ca="1">IFERROR(__xludf.DUMMYFUNCTION("""COMPUTED_VALUE"""),"उपनम्रमयाचितं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॥नैषधीयचरितम्२.१२ ॥")</f>
        <v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॥नैषधीयचरितम्२.१२ ॥</v>
      </c>
      <c r="B2493" s="4" t="s">
        <v>24</v>
      </c>
      <c r="C2493" s="4"/>
    </row>
    <row r="2494" spans="1:3" ht="24" customHeight="1">
      <c r="A2494" s="4" t="str">
        <f ca="1">IFERROR(__xludf.DUMMYFUNCTION("""COMPUTED_VALUE"""),"पतगेन मया जगत्पतेरुपकृत्यै तव किं प्रभूयते । इति वेद्मि न तु त्यजन्ति मां तदपि प्रत्युपकर्तुमर्तयः ॥नैषधीयचरितम्२.१३ ॥")</f>
        <v>पतगेन मया जगत्पतेरुपकृत्यै तव किं प्रभूयते । इति वेद्मि न तु त्यजन्ति मां तदपि प्रत्युपकर्तुमर्तयः ॥नैषधीयचरितम्२.१३ ॥</v>
      </c>
      <c r="B2494" s="4" t="s">
        <v>5</v>
      </c>
      <c r="C2494" s="4"/>
    </row>
    <row r="2495" spans="1:3" ht="24" customHeight="1">
      <c r="A2495" s="4" t="str">
        <f ca="1">IFERROR(__xludf.DUMMYFUNCTION("""COMPUTED_VALUE"""),"अचिरादुपकर्तुराचरेदथवात्मौपयिकीमुपक्रियाम् । पृथुरित्थमथाणुरस्तु सा न विशेषे विदुषामिह ग्रहः ॥नैषधीयचरितम्२.१४ ॥")</f>
        <v>अचिरादुपकर्तुराचरेदथवात्मौपयिकीमुपक्रियाम् । पृथुरित्थमथाणुरस्तु सा न विशेषे विदुषामिह ग्रहः ॥नैषधीयचरितम्२.१४ ॥</v>
      </c>
      <c r="B2495" s="4" t="s">
        <v>24</v>
      </c>
      <c r="C2495" s="4"/>
    </row>
    <row r="2496" spans="1:3" ht="24" customHeight="1">
      <c r="A2496" s="4" t="str">
        <f ca="1">IFERROR(__xludf.DUMMYFUNCTION("""COMPUTED_VALUE"""),"भविता न विचारचारु चेत्तदपि श्रव्यमिदं मदीरितम् । खगवागियमित्यतोऽपि किं न मुदं धास्यति कीरगीरिव ॥नैषधीयचरितम्२.१५ ॥")</f>
        <v>भविता न विचारचारु चेत्तदपि श्रव्यमिदं मदीरितम् । खगवागियमित्यतोऽपि किं न मुदं धास्यति कीरगीरिव ॥नैषधीयचरितम्२.१५ ॥</v>
      </c>
      <c r="B2496" s="4" t="s">
        <v>4</v>
      </c>
      <c r="C2496" s="4"/>
    </row>
    <row r="2497" spans="1:3" ht="24" customHeight="1">
      <c r="A2497" s="4" t="str">
        <f ca="1">IFERROR(__xludf.DUMMYFUNCTION("""COMPUTED_VALUE"""),"स जयत्यरिसार्थसार्थकीकृतनामा किल भीमभूपतिः । यमवाप्य विदर्भभूः प्रभुं हसति द्यामपि शक्रभर्तृकाम् ॥नैषधीयचरितम्२.१६ ॥")</f>
        <v>स जयत्यरिसार्थसार्थकीकृतनामा किल भीमभूपतिः । यमवाप्य विदर्भभूः प्रभुं हसति द्यामपि शक्रभर्तृकाम् ॥नैषधीयचरितम्२.१६ ॥</v>
      </c>
      <c r="B2497" s="4" t="s">
        <v>19</v>
      </c>
      <c r="C2497" s="4"/>
    </row>
    <row r="2498" spans="1:3" ht="24" customHeight="1">
      <c r="A2498" s="4" t="str">
        <f ca="1">IFERROR(__xludf.DUMMYFUNCTION("""COMPUTED_VALUE"""),"दमनादमनाक्प्रसेदुषास्तनयां तथ्यगिरस्तपोधनात् । वरमाप स दिष्टविष्टपत्रितयानन्यसदृग्गुणोदयाम् ॥नैषधीयचरितम्२.१७ ॥ ")</f>
        <v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॥नैषधीयचरितम्२.१७ ॥ </v>
      </c>
      <c r="B2498" s="4" t="s">
        <v>5</v>
      </c>
      <c r="C2498" s="4"/>
    </row>
    <row r="2499" spans="1:3" ht="24" customHeight="1">
      <c r="A2499" s="4" t="str">
        <f ca="1">IFERROR(__xludf.DUMMYFUNCTION("""COMPUTED_VALUE"""),"भुवनत्रयसुभ्रुवामसौ दमयन्ती कमनीयतामदम् । उदियाय यतस्तनुश्रिया दमयन्तीति ततोऽभिधां दधौ ॥नैषधीयचरितम्२.१८ ॥")</f>
        <v>भुवनत्रयसुभ्रुवामसौ दमयन्ती कमनीयतामदम् । उदियाय यतस्तनुश्रिया दमयन्तीति ततोऽभिधां दधौ ॥नैषधीयचरितम्२.१८ ॥</v>
      </c>
      <c r="B2499" s="4" t="s">
        <v>20</v>
      </c>
      <c r="C2499" s="4"/>
    </row>
    <row r="2500" spans="1:3" ht="24" customHeight="1">
      <c r="A2500" s="4" t="str">
        <f ca="1">IFERROR(__xludf.DUMMYFUNCTION("""COMPUTED_VALUE"""),"श्रियमेव परं धराधिपाद्गुणसिन्धोरुदितामवेहि ताम् । व्यवधावपि वा विधोः कलां मृडचूडानिलयां न वेद कः ॥नैषधीयचरितम्२.१९ ॥")</f>
        <v>श्रियमेव परं धराधिपाद्गुणसिन्धोरुदितामवेहि ताम् । व्यवधावपि वा विधोः कलां मृडचूडानिलयां न वेद कः ॥नैषधीयचरितम्२.१९ ॥</v>
      </c>
      <c r="B2500" s="4" t="s">
        <v>19</v>
      </c>
      <c r="C2500" s="4"/>
    </row>
    <row r="2501" spans="1:3" ht="24" customHeight="1">
      <c r="A2501" s="4" t="str">
        <f ca="1">IFERROR(__xludf.DUMMYFUNCTION("""COMPUTED_VALUE"""),"चिकुरप्रकरा जयन्ति ते विदुषी मूर्धनि सा बिभर्ति यान् । पशुनाप्यपुरस्कृतेन तत्तुलनामिच्छतु चामरेण कः ॥नैषधीयचरितम्२.२ ॥")</f>
        <v>चिकुरप्रकरा जयन्ति ते विदुषी मूर्धनि सा बिभर्ति यान् । पशुनाप्यपुरस्कृतेन तत्तुलनामिच्छतु चामरेण कः ॥नैषधीयचरितम्२.२ ॥</v>
      </c>
      <c r="B2501" s="4" t="s">
        <v>19</v>
      </c>
      <c r="C2501" s="4"/>
    </row>
    <row r="2502" spans="1:3" ht="24" customHeight="1">
      <c r="A2502" s="4" t="str">
        <f ca="1">IFERROR(__xludf.DUMMYFUNCTION("""COMPUTED_VALUE"""),"स्वदृशोर्जनयन्ति सान्त्वनां खुरकण्डूयनकैतवान्मृगाः । जितयोरुदयत्प्रमीलयोस्तदखर्वेक्षणशोभया भया ॥नैषधीयचरितम्२.२१ ॥")</f>
        <v>स्वदृशोर्जनयन्ति सान्त्वनां खुरकण्डूयनकैतवान्मृगाः । जितयोरुदयत्प्रमीलयोस्तदखर्वेक्षणशोभया भया ॥नैषधीयचरितम्२.२१ ॥</v>
      </c>
      <c r="B2502" s="4" t="s">
        <v>5</v>
      </c>
      <c r="C2502" s="4"/>
    </row>
    <row r="2503" spans="1:3" ht="24" customHeight="1">
      <c r="A2503" s="4" t="str">
        <f ca="1">IFERROR(__xludf.DUMMYFUNCTION("""COMPUTED_VALUE"""),"अपि लोकयुगं दृशावपि श्रुतदृष्टा रमणीगुणा अपि । शृउतिगामितया दमस्वसुर्व्यतिभाते सुतरां धरापते ॥नैषधीयचरितम्२.२२ ॥")</f>
        <v>अपि लोकयुगं दृशावपि श्रुतदृष्टा रमणीगुणा अपि । शृउतिगामितया दमस्वसुर्व्यतिभाते सुतरां धरापते ॥नैषधीयचरितम्२.२२ ॥</v>
      </c>
      <c r="B2503" s="4" t="s">
        <v>2</v>
      </c>
      <c r="C2503" s="4"/>
    </row>
    <row r="2504" spans="1:3" ht="24" customHeight="1">
      <c r="A2504" s="4" t="str">
        <f ca="1">IFERROR(__xludf.DUMMYFUNCTION("""COMPUTED_VALUE"""),"नलिनं मलिनं विवृण्वती पृषतीमस्पृशती तदीक्षणे । अपि खञ्जनमज्ञनाञ्चिते विदधाते रुचिगर्वदुर्विधम् ॥नैषधीयचरितम्२.२३ ॥")</f>
        <v>नलिनं मलिनं विवृण्वती पृषतीमस्पृशती तदीक्षणे । अपि खञ्जनमज्ञनाञ्चिते विदधाते रुचिगर्वदुर्विधम् ॥नैषधीयचरितम्२.२३ ॥</v>
      </c>
      <c r="B2504" s="4" t="s">
        <v>20</v>
      </c>
      <c r="C2504" s="4"/>
    </row>
    <row r="2505" spans="1:3" ht="24" customHeight="1">
      <c r="A2505" s="4" t="str">
        <f ca="1">IFERROR(__xludf.DUMMYFUNCTION("""COMPUTED_VALUE"""),"अधरं किल बिम्बनामकं फलमस्मादिति भव्यमन्वयम् । लभतेऽधरबिम्बमित्यदः पदमस्या रदनच्छदं वदत् ॥नैषधीयचरितम्२.२४ ॥")</f>
        <v>अधरं किल बिम्बनामकं फलमस्मादिति भव्यमन्वयम् । लभतेऽधरबिम्बमित्यदः पदमस्या रदनच्छदं वदत् ॥नैषधीयचरितम्२.२४ ॥</v>
      </c>
      <c r="B2505" s="4" t="s">
        <v>17</v>
      </c>
      <c r="C2505" s="4"/>
    </row>
    <row r="2506" spans="1:3" ht="24" customHeight="1">
      <c r="A2506" s="4" t="str">
        <f ca="1">IFERROR(__xludf.DUMMYFUNCTION("""COMPUTED_VALUE"""),"हतसारमिवेन्दुमण्डलं दमयन्तीवदनाय वेधसा । कृतमध्यबिलं विलोक्यते धृतगम्भीरखनीखनीलिम ॥नैषधीयचरितम्२.२५ ॥")</f>
        <v>हतसारमिवेन्दुमण्डलं दमयन्तीवदनाय वेधसा । कृतमध्यबिलं विलोक्यते धृतगम्भीरखनीखनीलिम ॥नैषधीयचरितम्२.२५ ॥</v>
      </c>
      <c r="B2506" s="4" t="s">
        <v>12</v>
      </c>
      <c r="C2506" s="4"/>
    </row>
    <row r="2507" spans="1:3" ht="24" customHeight="1">
      <c r="A2507" s="4" t="str">
        <f ca="1">IFERROR(__xludf.DUMMYFUNCTION("""COMPUTED_VALUE"""),"धृतलाञ्छनगोमयाञ्चनं विधुमालेपनपाण्डुरं विधिः । भ्रमयत्युचितं विदर्भजानननीराजनवर्धमानकम् ॥नैषधीयचरितम्२.२६ ॥")</f>
        <v>धृतलाञ्छनगोमयाञ्चनं विधुमालेपनपाण्डुरं विधिः । भ्रमयत्युचितं विदर्भजानननीराजनवर्धमानकम् ॥नैषधीयचरितम्२.२६ ॥</v>
      </c>
      <c r="B2507" s="4" t="s">
        <v>19</v>
      </c>
      <c r="C2507" s="4"/>
    </row>
    <row r="2508" spans="1:3" ht="24" customHeight="1">
      <c r="A2508" s="4" t="str">
        <f ca="1">IFERROR(__xludf.DUMMYFUNCTION("""COMPUTED_VALUE"""),"सुषमाविषये परीक्षणे निखिलं पद्ममभाजि तन्मुखात् । अधुनापि न भङ्गलक्षणं सलिलोन्मज्जनमुज्झति स्फुटम् ॥नैषधीयचरितम्२.२७ ॥")</f>
        <v>सुषमाविषये परीक्षणे निखिलं पद्ममभाजि तन्मुखात् । अधुनापि न भङ्गलक्षणं सलिलोन्मज्जनमुज्झति स्फुटम् ॥नैषधीयचरितम्२.२७ ॥</v>
      </c>
      <c r="B2508" s="4" t="s">
        <v>23</v>
      </c>
      <c r="C2508" s="4"/>
    </row>
    <row r="2509" spans="1:3" ht="24" customHeight="1">
      <c r="A2509" s="4" t="str">
        <f ca="1">IFERROR(__xludf.DUMMYFUNCTION("""COMPUTED_VALUE"""),"धनुषी रतिपञ्चबाणयोरुदिते विश्वजयाय तद्भ्रुवौ । नैलिकेन तदुच्चनासिके त्वयि नालीकविमुक्तिकामयोः ॥नैषधीयचरितम्२.२८ ॥")</f>
        <v>धनुषी रतिपञ्चबाणयोरुदिते विश्वजयाय तद्भ्रुवौ । नैलिकेन तदुच्चनासिके त्वयि नालीकविमुक्तिकामयोः ॥नैषधीयचरितम्२.२८ ॥</v>
      </c>
      <c r="B2509" s="4" t="s">
        <v>5</v>
      </c>
      <c r="C2509" s="4"/>
    </row>
    <row r="2510" spans="1:3" ht="24" customHeight="1">
      <c r="A2510" s="4" t="str">
        <f ca="1">IFERROR(__xludf.DUMMYFUNCTION("""COMPUTED_VALUE"""),"सदृशी तव शूर सा परं जलदुर्गस्थमृणालजिद्भुजा । अपि मित्त्रजुषां सरोरुहां गृहयालुः करलीलया श्रियः ॥नैषधीयचरितम्२.२९ ॥")</f>
        <v>सदृशी तव शूर सा परं जलदुर्गस्थमृणालजिद्भुजा । अपि मित्त्रजुषां सरोरुहां गृहयालुः करलीलया श्रियः ॥नैषधीयचरितम्२.२९ ॥</v>
      </c>
      <c r="B2510" s="4" t="s">
        <v>5</v>
      </c>
      <c r="C2510" s="4"/>
    </row>
    <row r="2511" spans="1:3" ht="24" customHeight="1">
      <c r="A2511" s="4" t="str">
        <f ca="1">IFERROR(__xludf.DUMMYFUNCTION("""COMPUTED_VALUE"""),"वयसी शिशुतातदुत्तरे सुदृशि स्वाभिविधिं विधित्सुनी । विधिनापि न रोमरेखया कृतसीम्नी प्रविभज्य रज्यतः ॥नैषधीयचरितम्२.३ ॥")</f>
        <v>वयसी शिशुतातदुत्तरे सुदृशि स्वाभिविधिं विधित्सुनी । विधिनापि न रोमरेखया कृतसीम्नी प्रविभज्य रज्यतः ॥नैषधीयचरितम्२.३ ॥</v>
      </c>
      <c r="B2511" s="4" t="s">
        <v>2</v>
      </c>
      <c r="C2511" s="4"/>
    </row>
    <row r="2512" spans="1:3" ht="24" customHeight="1">
      <c r="A2512" s="4" t="str">
        <f ca="1">IFERROR(__xludf.DUMMYFUNCTION("""COMPUTED_VALUE"""),"अयि तद्वपुषि प्रसर्पतोर्गमिते कान्तिझरैरगाधताम् । स्मरयौवनयोः खलु द्वयोः प्लवकुम्भौ भवतः कुचावुभौ ॥नैषधीयचरितम्२.३१ ॥")</f>
        <v>अयि तद्वपुषि प्रसर्पतोर्गमिते कान्तिझरैरगाधताम् । स्मरयौवनयोः खलु द्वयोः प्लवकुम्भौ भवतः कुचावुभौ ॥नैषधीयचरितम्२.३१ ॥</v>
      </c>
      <c r="B2512" s="4" t="s">
        <v>6</v>
      </c>
      <c r="C2512" s="4"/>
    </row>
    <row r="2513" spans="1:3" ht="24" customHeight="1">
      <c r="A2513" s="4" t="str">
        <f ca="1">IFERROR(__xludf.DUMMYFUNCTION("""COMPUTED_VALUE"""),"कलसे निजहेतुदण्डजः किमु चक्रभ्रमकारितागुणः । स तदुञ्चकुचौ भवन्प्रभाझरचक्रभ्रममातनोति यत् ॥नैषधीयचरितम्२.३२ ॥")</f>
        <v>कलसे निजहेतुदण्डजः किमु चक्रभ्रमकारितागुणः । स तदुञ्चकुचौ भवन्प्रभाझरचक्रभ्रममातनोति यत् ॥नैषधीयचरितम्२.३२ ॥</v>
      </c>
      <c r="B2513" s="4" t="s">
        <v>5</v>
      </c>
      <c r="C2513" s="4"/>
    </row>
    <row r="2514" spans="1:3" ht="24" customHeight="1">
      <c r="A2514" s="4" t="str">
        <f ca="1">IFERROR(__xludf.DUMMYFUNCTION("""COMPUTED_VALUE"""),"भजते खलु षण्मुखं शिखी चिकुरैर्निर्मितबर्हगर्हणः । अपि जम्भरिपुं दमस्वसुर्जितकुम्भः कुचशोभयेभराट् ॥नैषधीयचरितम्२.३३ ॥")</f>
        <v>भजते खलु षण्मुखं शिखी चिकुरैर्निर्मितबर्हगर्हणः । अपि जम्भरिपुं दमस्वसुर्जितकुम्भः कुचशोभयेभराट् ॥नैषधीयचरितम्२.३३ ॥</v>
      </c>
      <c r="B2514" s="4" t="s">
        <v>0</v>
      </c>
      <c r="C2514" s="4"/>
    </row>
    <row r="2515" spans="1:3" ht="24" customHeight="1">
      <c r="A2515" s="4" t="str">
        <f ca="1">IFERROR(__xludf.DUMMYFUNCTION("""COMPUTED_VALUE"""),"उदरं नतमध्यपृष्टतास्फुटदङ्गुष्ठपदेन मुष्टिना । चतुरङ्गुलमध्यनिर्गतत्रिवलिभ्राजि कृतं दमस्वसुः ॥नैषधीयचरितम्२.३४ ॥")</f>
        <v>उदरं नतमध्यपृष्टतास्फुटदङ्गुष्ठपदेन मुष्टिना । चतुरङ्गुलमध्यनिर्गतत्रिवलिभ्राजि कृतं दमस्वसुः ॥नैषधीयचरितम्२.३४ ॥</v>
      </c>
      <c r="B2515" s="4" t="s">
        <v>18</v>
      </c>
      <c r="C2515" s="4"/>
    </row>
    <row r="2516" spans="1:3" ht="24" customHeight="1">
      <c r="A2516" s="4" t="str">
        <f ca="1">IFERROR(__xludf.DUMMYFUNCTION("""COMPUTED_VALUE"""),"उदरं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॥नैषधीयचरितम्२.३५ ॥")</f>
        <v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॥नैषधीयचरितम्२.३५ ॥</v>
      </c>
      <c r="B2516" s="4" t="s">
        <v>6</v>
      </c>
      <c r="C2516" s="4"/>
    </row>
    <row r="2517" spans="1:3" ht="24" customHeight="1">
      <c r="A2517" s="4" t="str">
        <f ca="1">IFERROR(__xludf.DUMMYFUNCTION("""COMPUTED_VALUE"""),"पृथुवर्तुलतन्नितम्बकृन्मिहिरस्यन्दनशिल्पशिक्षया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॥नैषधीयचरितम्२.३६ ॥")</f>
        <v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॥नैषधीयचरितम्२.३६ ॥</v>
      </c>
      <c r="B2517" s="4" t="s">
        <v>10</v>
      </c>
      <c r="C2517" s="4"/>
    </row>
    <row r="2518" spans="1:3" ht="24" customHeight="1">
      <c r="A2518" s="4" t="str">
        <f ca="1">IFERROR(__xludf.DUMMYFUNCTION("""COMPUTED_VALUE"""),"तरुमूरुयुगेन सुन्दरी किमु रम्भां परिणाहिना परम् । तरुणीमपि जुष्णुरेव तां धनदापत्यतपः फलस्तनीम् ॥नैषधीयचरितम्२.३७ ॥")</f>
        <v>तरुमूरुयुगेन सुन्दरी किमु रम्भां परिणाहिना परम् । तरुणीमपि जुष्णुरेव तां धनदापत्यतपः फलस्तनीम् ॥नैषधीयचरितम्२.३७ ॥</v>
      </c>
      <c r="B2518" s="4" t="s">
        <v>1</v>
      </c>
      <c r="C2518" s="4"/>
    </row>
    <row r="2519" spans="1:3" ht="24" customHeight="1">
      <c r="A2519" s="4" t="str">
        <f ca="1">IFERROR(__xludf.DUMMYFUNCTION("""COMPUTED_VALUE"""),"जलजे रविसेवयेव ये पदमेतत्पदतामवापतुः । ध्रुवमेत्य रुतः सहंसकीकुरुतस्ते विधिपत्त्रदंपती ॥नैषधीयचरितम्२.३८ ॥")</f>
        <v>जलजे रविसेवयेव ये पदमेतत्पदतामवापतुः । ध्रुवमेत्य रुतः सहंसकीकुरुतस्ते विधिपत्त्रदंपती ॥नैषधीयचरितम्२.३८ ॥</v>
      </c>
      <c r="B2519" s="4" t="s">
        <v>2</v>
      </c>
      <c r="C2519" s="4"/>
    </row>
    <row r="2520" spans="1:3" ht="24" customHeight="1">
      <c r="A2520" s="4" t="str">
        <f ca="1">IFERROR(__xludf.DUMMYFUNCTION("""COMPUTED_VALUE"""),"श्रितपुण्यसरः सरित्कथं न समाधिक्षपिताखिलक्षपम् । जलजं गतिमेतु मञ्जुलां दमयन्तीपदनाम्नि जन्मनि ॥नैषधीयचरितम्२.३९ ॥")</f>
        <v>श्रितपुण्यसरः सरित्कथं न समाधिक्षपिताखिलक्षपम् । जलजं गतिमेतु मञ्जुलां दमयन्तीपदनाम्नि जन्मनि ॥नैषधीयचरितम्२.३९ ॥</v>
      </c>
      <c r="B2520" s="4" t="s">
        <v>1</v>
      </c>
      <c r="C2520" s="4"/>
    </row>
    <row r="2521" spans="1:3" ht="24" customHeight="1">
      <c r="A2521" s="4" t="str">
        <f ca="1">IFERROR(__xludf.DUMMYFUNCTION("""COMPUTED_VALUE"""),"सरसीः परिशीलितुं मया गमिकर्मीकृतनैकनीवृता । अतिथित्वमनायि सा दृशोः सदसत्संशयगोचरोदरी ॥नैषधीयचरितम्२.४ ॥")</f>
        <v>सरसीः परिशीलितुं मया गमिकर्मीकृतनैकनीवृता । अतिथित्वमनायि सा दृशोः सदसत्संशयगोचरोदरी ॥नैषधीयचरितम्२.४ ॥</v>
      </c>
      <c r="B2521" s="4" t="s">
        <v>0</v>
      </c>
      <c r="C2521" s="4"/>
    </row>
    <row r="2522" spans="1:3" ht="24" customHeight="1">
      <c r="A2522" s="4" t="str">
        <f ca="1">IFERROR(__xludf.DUMMYFUNCTION("""COMPUTED_VALUE"""),"अवधृत्य दिवोऽपि यौवतैर्न सहाधीतवतीमिमामहम् । कतमस्तु विधातुराशये पतिरस्या वसतीत्यचिन्तयम् ॥नैषधीयचरितम्२.४१ ॥")</f>
        <v>अवधृत्य दिवोऽपि यौवतैर्न सहाधीतवतीमिमामहम् । कतमस्तु विधातुराशये पतिरस्या वसतीत्यचिन्तयम् ॥नैषधीयचरितम्२.४१ ॥</v>
      </c>
      <c r="B2522" s="4" t="s">
        <v>5</v>
      </c>
      <c r="C2522" s="4"/>
    </row>
    <row r="2523" spans="1:3" ht="24" customHeight="1">
      <c r="A2523" s="4" t="str">
        <f ca="1">IFERROR(__xludf.DUMMYFUNCTION("""COMPUTED_VALUE"""),"अनुरूपमिमं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॥नैषधीयचरितम्२.४२ ॥")</f>
        <v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॥नैषधीयचरितम्२.४२ ॥</v>
      </c>
      <c r="B2523" s="4" t="s">
        <v>5</v>
      </c>
      <c r="C2523" s="4"/>
    </row>
    <row r="2524" spans="1:3" ht="24" customHeight="1">
      <c r="A2524" s="4" t="str">
        <f ca="1">IFERROR(__xludf.DUMMYFUNCTION("""COMPUTED_VALUE"""),"अनया तव रूपसीमया कृतसंस्कारविबोधनस्य मे । चिरमप्यवलोकिताद्य सा स्मृतिमारूढवती शुचिस्मिता ॥नैषधीयचरितम्२.४३ ॥")</f>
        <v>अनया तव रूपसीमया कृतसंस्कारविबोधनस्य मे । चिरमप्यवलोकिताद्य सा स्मृतिमारूढवती शुचिस्मिता ॥नैषधीयचरितम्२.४३ ॥</v>
      </c>
      <c r="B2524" s="4" t="s">
        <v>2</v>
      </c>
      <c r="C2524" s="4"/>
    </row>
    <row r="2525" spans="1:3" ht="24" customHeight="1">
      <c r="A2525" s="4" t="str">
        <f ca="1">IFERROR(__xludf.DUMMYFUNCTION("""COMPUTED_VALUE"""),"त्वयि वीर विराजते परं दमयन्तीकिलकिञ्चितं किल । तरुणीस्तन एव दीप्यते मणिहारावलिरामणीयकम् ॥नैषधीयचरितम्२.४४ ॥")</f>
        <v>त्वयि वीर विराजते परं दमयन्तीकिलकिञ्चितं किल । तरुणीस्तन एव दीप्यते मणिहारावलिरामणीयकम् ॥नैषधीयचरितम्२.४४ ॥</v>
      </c>
      <c r="B2525" s="4" t="s">
        <v>19</v>
      </c>
      <c r="C2525" s="4"/>
    </row>
    <row r="2526" spans="1:3" ht="24" customHeight="1">
      <c r="A2526" s="4" t="str">
        <f ca="1">IFERROR(__xludf.DUMMYFUNCTION("""COMPUTED_VALUE"""),"तव रूपमिदं तया विना विफलं पुष्पमिवावकेशिनः । इयमृद्धधना वृथावनी स्ववनी संप्रवदत्पिकापि ॥नैषधीयचरितम्२.४५ ॥")</f>
        <v>तव रूपमिदं तया विना विफलं पुष्पमिवावकेशिनः । इयमृद्धधना वृथावनी स्ववनी संप्रवदत्पिकापि ॥नैषधीयचरितम्२.४५ ॥</v>
      </c>
      <c r="B2526" s="4" t="s">
        <v>9</v>
      </c>
      <c r="C2526" s="4"/>
    </row>
    <row r="2527" spans="1:3" ht="24" customHeight="1">
      <c r="A2527" s="4" t="str">
        <f ca="1">IFERROR(__xludf.DUMMYFUNCTION("""COMPUTED_VALUE"""),"अनया सुरकाम्यमानया सह योगः सुलभस्तु न त्वया । घनसंवृतयाम्बुदागमे कुमुदेनेव निशाकरत्विषा ॥नैषधीयचरितम्२.४६ ॥")</f>
        <v>अनया सुरकाम्यमानया सह योगः सुलभस्तु न त्वया । घनसंवृतयाम्बुदागमे कुमुदेनेव निशाकरत्विषा ॥नैषधीयचरितम्२.४६ ॥</v>
      </c>
      <c r="B2527" s="4" t="s">
        <v>13</v>
      </c>
      <c r="C2527" s="4"/>
    </row>
    <row r="2528" spans="1:3" ht="24" customHeight="1">
      <c r="A2528" s="4" t="str">
        <f ca="1">IFERROR(__xludf.DUMMYFUNCTION("""COMPUTED_VALUE"""),"तदहं विदधे तथातथा दमयन्त्याः सविधे तव स्तवम् । हृदये निहितस्तया भवानपि नेन्द्रेण यथापनीयते ॥नैषधीयचरितम्२.४७ ॥")</f>
        <v>तदहं विदधे तथातथा दमयन्त्याः सविधे तव स्तवम् । हृदये निहितस्तया भवानपि नेन्द्रेण यथापनीयते ॥नैषधीयचरितम्२.४७ ॥</v>
      </c>
      <c r="B2528" s="4" t="s">
        <v>2</v>
      </c>
      <c r="C2528" s="4"/>
    </row>
    <row r="2529" spans="1:3" ht="24" customHeight="1">
      <c r="A2529" s="4" t="str">
        <f ca="1">IFERROR(__xludf.DUMMYFUNCTION("""COMPUTED_VALUE"""),"तव संमितिमेव केवलामिधगन्तुं धिगिदं निवेदितम् । ब्रुवते हि फलेन साधवो न तु कण्ठेन निजोपयोगिताम् ॥नैषधीयचरितम्२.४८ ॥")</f>
        <v>तव संमितिमेव केवलामिधगन्तुं धिगिदं निवेदितम् । ब्रुवते हि फलेन साधवो न तु कण्ठेन निजोपयोगिताम् ॥नैषधीयचरितम्२.४८ ॥</v>
      </c>
      <c r="B2529" s="4" t="s">
        <v>2</v>
      </c>
      <c r="C2529" s="4"/>
    </row>
    <row r="2530" spans="1:3" ht="24" customHeight="1">
      <c r="A2530" s="4" t="str">
        <f ca="1">IFERROR(__xludf.DUMMYFUNCTION("""COMPUTED_VALUE"""),"तदिदं विशदं वचोमृतं परिपीयाभ्युदितं द्विजाधिपात् । अतितृप्ततया विनिर्ममे स तदुद्गारमिव स्मितं सितम् ॥नैषधीयचरितम्२.४९ ॥")</f>
        <v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॥नैषधीयचरितम्२.४९ ॥</v>
      </c>
      <c r="B2530" s="4" t="s">
        <v>2</v>
      </c>
      <c r="C2530" s="4"/>
    </row>
    <row r="2531" spans="1:3" ht="24" customHeight="1">
      <c r="A2531" s="4" t="str">
        <f ca="1">IFERROR(__xludf.DUMMYFUNCTION("""COMPUTED_VALUE"""),"परिमृज्य भुजाग्रजन्मना पतगं कोकनदेन नैषधः । मृदु तस्य मुदेऽकिरद्गिरः प्रियवादामृतकूपकण्ठजाः ॥नैषधीयचरितम्२.५ ॥")</f>
        <v>परिमृज्य भुजाग्रजन्मना पतगं कोकनदेन नैषधः । मृदु तस्य मुदेऽकिरद्गिरः प्रियवादामृतकूपकण्ठजाः ॥नैषधीयचरितम्२.५ ॥</v>
      </c>
      <c r="B2531" s="4" t="s">
        <v>3</v>
      </c>
      <c r="C2531" s="4"/>
    </row>
    <row r="2532" spans="1:3" ht="24" customHeight="1">
      <c r="A2532" s="4" t="str">
        <f ca="1">IFERROR(__xludf.DUMMYFUNCTION("""COMPUTED_VALUE"""),"न तुलाविषये तवाकृतिर्न वचोवर्त्मनि ते सुशीलता ।  त्वदुदाहरणाकृतौ गुणा इति सामुद्रकसारमुद्रणा ॥नैषधीयचरितम्२.५१ ॥")</f>
        <v>न तुलाविषये तवाकृतिर्न वचोवर्त्मनि ते सुशीलता ।  त्वदुदाहरणाकृतौ गुणा इति सामुद्रकसारमुद्रणा ॥नैषधीयचरितम्२.५१ ॥</v>
      </c>
      <c r="B2532" s="4" t="s">
        <v>7</v>
      </c>
      <c r="C2532" s="4"/>
    </row>
    <row r="2533" spans="1:3" ht="24" customHeight="1">
      <c r="A2533" s="4" t="str">
        <f ca="1">IFERROR(__xludf.DUMMYFUNCTION("""COMPUTED_VALUE"""),"न सुवर्णमयी तनुः परं ननु किं वागपि तावकी तथा । न परं पथि पक्षपातितानवलम्बे किमु मादृशेऽपि सा ॥नैषधीयचरितम्२.५२ ॥")</f>
        <v>न सुवर्णमयी तनुः परं ननु किं वागपि तावकी तथा । न परं पथि पक्षपातितानवलम्बे किमु मादृशेऽपि सा ॥नैषधीयचरितम्२.५२ ॥</v>
      </c>
      <c r="B2533" s="4" t="s">
        <v>18</v>
      </c>
      <c r="C2533" s="4"/>
    </row>
    <row r="2534" spans="1:3" ht="24" customHeight="1">
      <c r="A2534" s="4" t="str">
        <f ca="1">IFERROR(__xludf.DUMMYFUNCTION("""COMPUTED_VALUE"""),"भृशतापभृता मया भवान्मरुदासादि तुषारसारवान् । धनिनामितरः सतां पुनर्गुणवत्संनिधिरेव सन्निधिः ॥नैषधीयचरितम्२.५३ ॥")</f>
        <v>भृशतापभृता मया भवान्मरुदासादि तुषारसारवान् । धनिनामितरः सतां पुनर्गुणवत्संनिधिरेव सन्निधिः ॥नैषधीयचरितम्२.५३ ॥</v>
      </c>
      <c r="B2534" s="4" t="s">
        <v>20</v>
      </c>
      <c r="C2534" s="4"/>
    </row>
    <row r="2535" spans="1:3" ht="24" customHeight="1">
      <c r="A2535" s="4" t="str">
        <f ca="1">IFERROR(__xludf.DUMMYFUNCTION("""COMPUTED_VALUE"""),"शतशः शृउतिमागतैव सा त्रिजगन्मोहमहौषधिर्मम । अमुना तव शंसितेन तु स्वदृशैवाधिगतामवैमि ताम् ॥नैषधीयचरितम्२.५४ ॥")</f>
        <v>शतशः शृउतिमागतैव सा त्रिजगन्मोहमहौषधिर्मम । अमुना तव शंसितेन तु स्वदृशैवाधिगतामवैमि ताम् ॥नैषधीयचरितम्२.५४ ॥</v>
      </c>
      <c r="B2535" s="4" t="s">
        <v>2</v>
      </c>
      <c r="C2535" s="4"/>
    </row>
    <row r="2536" spans="1:3" ht="24" customHeight="1">
      <c r="A2536" s="4" t="str">
        <f ca="1">IFERROR(__xludf.DUMMYFUNCTION("""COMPUTED_VALUE"""),"अखिलं विदुषामनाविलं सुहृदा च स्वहृदा च पश्यताम् । सविधेऽपि नसूक्ष्मसाक्षिणीवदनालंकृतिमात्रमक्षिणी ॥नैषधीयचरितम्२.५५ ॥")</f>
        <v>अखिलं विदुषामनाविलं सुहृदा च स्वहृदा च पश्यताम् । सविधेऽपि नसूक्ष्मसाक्षिणीवदनालंकृतिमात्रमक्षिणी ॥नैषधीयचरितम्२.५५ ॥</v>
      </c>
      <c r="B2536" s="4" t="s">
        <v>7</v>
      </c>
      <c r="C2536" s="4"/>
    </row>
    <row r="2537" spans="1:3" ht="24" customHeight="1">
      <c r="A2537" s="4" t="str">
        <f ca="1">IFERROR(__xludf.DUMMYFUNCTION("""COMPUTED_VALUE"""),"अमितं मधु तत्कथा मम श्रवणप्राघुणकीकृता जनैः । मदनानलबोधने भवेत्खग धाय्या धिगधैर्यधारिणः ॥नैषधीयचरितम्२.५६ ॥")</f>
        <v>अमितं मधु तत्कथा मम श्रवणप्राघुणकीकृता जनैः । मदनानलबोधने भवेत्खग धाय्या धिगधैर्यधारिणः ॥नैषधीयचरितम्२.५६ ॥</v>
      </c>
      <c r="B2537" s="4" t="s">
        <v>7</v>
      </c>
      <c r="C2537" s="4"/>
    </row>
    <row r="2538" spans="1:3" ht="24" customHeight="1">
      <c r="A2538" s="4" t="str">
        <f ca="1">IFERROR(__xludf.DUMMYFUNCTION("""COMPUTED_VALUE"""),"विषमो मलयाहिमण्डलीविषफूत्कारमयो मयोहितः । खग कालकलत्रदिग्भवः पवनस्तद्विरहानलैधसा ॥नैषधीयचरितम्२.५७ ॥")</f>
        <v>विषमो मलयाहिमण्डलीविषफूत्कारमयो मयोहितः । खग कालकलत्रदिग्भवः पवनस्तद्विरहानलैधसा ॥नैषधीयचरितम्२.५७ ॥</v>
      </c>
      <c r="B2538" s="4" t="s">
        <v>18</v>
      </c>
      <c r="C2538" s="4"/>
    </row>
    <row r="2539" spans="1:3" ht="24" customHeight="1">
      <c r="A2539" s="4" t="str">
        <f ca="1">IFERROR(__xludf.DUMMYFUNCTION("""COMPUTED_VALUE"""),"प्रतिमासमसौ निशापतिः खग संगच्छति यद्दिनाधिपम् । किमु तीव्रतरैस्ततः करैर्मम दाहाय स धैर्यतस्करैः ॥नैषधीयचरितम्२.५८ ॥")</f>
        <v>प्रतिमासमसौ निशापतिः खग संगच्छति यद्दिनाधिपम् । किमु तीव्रतरैस्ततः करैर्मम दाहाय स धैर्यतस्करैः ॥नैषधीयचरितम्२.५८ ॥</v>
      </c>
      <c r="B2539" s="4" t="s">
        <v>0</v>
      </c>
      <c r="C2539" s="4"/>
    </row>
    <row r="2540" spans="1:3" ht="24" customHeight="1">
      <c r="A2540" s="4" t="str">
        <f ca="1">IFERROR(__xludf.DUMMYFUNCTION("""COMPUTED_VALUE"""),"कुसुमानि यदि स्मरेषवो न तु वज्रं विषवल्लिजानि तत् । हृदयं यदमूमुहन्नमूर्मम यच्चातितरामतीतपन् ॥नैषधीयचरितम्२.५९ ॥")</f>
        <v>कुसुमानि यदि स्मरेषवो न तु वज्रं विषवल्लिजानि तत् । हृदयं यदमूमुहन्नमूर्मम यच्चातितरामतीतपन् ॥नैषधीयचरितम्२.५९ ॥</v>
      </c>
      <c r="B2540" s="4" t="s">
        <v>9</v>
      </c>
      <c r="C2540" s="4"/>
    </row>
    <row r="2541" spans="1:3" ht="24" customHeight="1">
      <c r="A2541" s="4" t="str">
        <f ca="1">IFERROR(__xludf.DUMMYFUNCTION("""COMPUTED_VALUE"""),"तदिहानवधौ निमज्जतो मम कंदर्पशराधिनीरधौ । भव पोत इवावलम्बनं विधिनाकस्मिकसृष्टसंनिधिः ॥नैषधीयचरितम्२.६ ॥")</f>
        <v>तदिहानवधौ निमज्जतो मम कंदर्पशराधिनीरधौ । भव पोत इवावलम्बनं विधिनाकस्मिकसृष्टसंनिधिः ॥नैषधीयचरितम्२.६ ॥</v>
      </c>
      <c r="B2541" s="4" t="s">
        <v>20</v>
      </c>
      <c r="C2541" s="4"/>
    </row>
    <row r="2542" spans="1:3" ht="24" customHeight="1">
      <c r="A2542" s="4" t="str">
        <f ca="1">IFERROR(__xludf.DUMMYFUNCTION("""COMPUTED_VALUE"""),"अथवा भवतः प्रवर्तना न कथं पिष्टमियं पिनष्टि नः । स्वत एव सतां परार्थता ग्रहणानां हि यथा यथाऋथता ॥नैषधीयचरितम्२.६१ ॥")</f>
        <v>अथवा भवतः प्रवर्तना न कथं पिष्टमियं पिनष्टि नः । स्वत एव सतां परार्थता ग्रहणानां हि यथा यथाऋथता ॥नैषधीयचरितम्२.६१ ॥</v>
      </c>
      <c r="B2542" s="4" t="s">
        <v>2</v>
      </c>
      <c r="C2542" s="4"/>
    </row>
    <row r="2543" spans="1:3" ht="24" customHeight="1">
      <c r="A2543" s="4" t="str">
        <f ca="1">IFERROR(__xludf.DUMMYFUNCTION("""COMPUTED_VALUE"""),"तव वर्त्मनि वर्ततां शिवं पुनरस्तु त्वरितं समागमः । अयि साधय साधयेप्सितं स्मरणीयाः समये वयं वयः ॥नैषधीयचरितम्२.६२ ॥")</f>
        <v>तव वर्त्मनि वर्ततां शिवं पुनरस्तु त्वरितं समागमः । अयि साधय साधयेप्सितं स्मरणीयाः समये वयं वयः ॥नैषधीयचरितम्२.६२ ॥</v>
      </c>
      <c r="B2543" s="4" t="s">
        <v>5</v>
      </c>
      <c r="C2543" s="4"/>
    </row>
    <row r="2544" spans="1:3" ht="24" customHeight="1">
      <c r="A2544" s="4" t="str">
        <f ca="1">IFERROR(__xludf.DUMMYFUNCTION("""COMPUTED_VALUE"""),"इति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॥नैषधीयचरितम्२.६३ ॥")</f>
        <v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॥नैषधीयचरितम्२.६३ ॥</v>
      </c>
      <c r="B2544" s="4" t="s">
        <v>2</v>
      </c>
      <c r="C2544" s="4"/>
    </row>
    <row r="2545" spans="1:3" ht="24" customHeight="1">
      <c r="A2545" s="4" t="str">
        <f ca="1">IFERROR(__xludf.DUMMYFUNCTION("""COMPUTED_VALUE"""),"अथ भीमसुतावलोकनैः सफलं कर्तुमहस्तदेव सः । क्षितिमण्डलमण्डनायितं नगरं कुण्डिनमण्डजो ययौ ॥नैषधीयचरितम्२.६४ ॥")</f>
        <v>अथ भीमसुतावलोकनैः सफलं कर्तुमहस्तदेव सः । क्षितिमण्डलमण्डनायितं नगरं कुण्डिनमण्डजो ययौ ॥नैषधीयचरितम्२.६४ ॥</v>
      </c>
      <c r="B2545" s="4" t="s">
        <v>5</v>
      </c>
      <c r="C2545" s="4"/>
    </row>
    <row r="2546" spans="1:3" ht="24" customHeight="1">
      <c r="A2546" s="4" t="str">
        <f ca="1">IFERROR(__xludf.DUMMYFUNCTION("""COMPUTED_VALUE"""),"प्रथमं पथि लोचनातिर्थि पथिकाप्रार्थितसिद्धिशंसिनम् । कलसं जलसंभृतं पुरः कलहंसः कलयांबभूव सः ॥नैषधीयचरितम्२.६५ ॥")</f>
        <v>प्रथमं पथि लोचनातिर्थि पथिकाप्रार्थितसिद्धिशंसिनम् । कलसं जलसंभृतं पुरः कलहंसः कलयांबभूव सः ॥नैषधीयचरितम्२.६५ ॥</v>
      </c>
      <c r="B2546" s="4" t="s">
        <v>18</v>
      </c>
      <c r="C2546" s="4"/>
    </row>
    <row r="2547" spans="1:3" ht="24" customHeight="1">
      <c r="A2547" s="4" t="str">
        <f ca="1">IFERROR(__xludf.DUMMYFUNCTION("""COMPUTED_VALUE"""),"अवलम्ब्य दिदृक्षयाम्बरे क्षणमाश्चर्यरसालसं गतम् । स विलासवनेऽवनीभृतः फलमैक्षिष्ट रसालसंगतम् ॥नैषधीयचरितम्२.६६ ॥")</f>
        <v>अवलम्ब्य दिदृक्षयाम्बरे क्षणमाश्चर्यरसालसं गतम् । स विलासवनेऽवनीभृतः फलमैक्षिष्ट रसालसंगतम् ॥नैषधीयचरितम्२.६६ ॥</v>
      </c>
      <c r="B2547" s="4" t="s">
        <v>2</v>
      </c>
      <c r="C2547" s="4"/>
    </row>
    <row r="2548" spans="1:3" ht="24" customHeight="1">
      <c r="A2548" s="4" t="str">
        <f ca="1">IFERROR(__xludf.DUMMYFUNCTION("""COMPUTED_VALUE"""),"नभसः कलभैरुपासितं जलदैर्भूरितरक्षुपं नगम् । स ददर्श पतङ्गपुंगवो विटपच्छन्नतरक्षुपन्नगम् ॥नैषधीयचरितम्२.६७ ॥")</f>
        <v>नभसः कलभैरुपासितं जलदैर्भूरितरक्षुपं नगम् । स ददर्श पतङ्गपुंगवो विटपच्छन्नतरक्षुपन्नगम् ॥नैषधीयचरितम्२.६७ ॥</v>
      </c>
      <c r="B2548" s="4" t="s">
        <v>15</v>
      </c>
      <c r="C2548" s="4"/>
    </row>
    <row r="2549" spans="1:3" ht="24" customHeight="1">
      <c r="A2549" s="4" t="str">
        <f ca="1">IFERROR(__xludf.DUMMYFUNCTION("""COMPUTED_VALUE"""),"स ययौ धुतपक्षतिः क्षणं क्षणमूर्ध्वायनदुर्विभावनः । विततीकृतनिश्चलच्छदः क्षणमालोककदत्तकौतुकः ॥नैषधीयचरितम्२.६८ ॥")</f>
        <v>स ययौ धुतपक्षतिः क्षणं क्षणमूर्ध्वायनदुर्विभावनः । विततीकृतनिश्चलच्छदः क्षणमालोककदत्तकौतुकः ॥नैषधीयचरितम्२.६८ ॥</v>
      </c>
      <c r="B2549" s="4" t="s">
        <v>19</v>
      </c>
      <c r="C2549" s="4"/>
    </row>
    <row r="2550" spans="1:3" ht="24" customHeight="1">
      <c r="A2550" s="4" t="str">
        <f ca="1">IFERROR(__xludf.DUMMYFUNCTION("""COMPUTED_VALUE"""),"तदूदीधितिधारया रयाद्गतया लोकविलोकनामसौ । छदहेम कषन्निवालसत्कषपाषाणनिभे नभस्तले ॥नैषधीयचरितम्२.६९ ")</f>
        <v xml:space="preserve">तदूदीधितिधारया रयाद्गतया लोकविलोकनामसौ । छदहेम कषन्निवालसत्कषपाषाणनिभे नभस्तले ॥नैषधीयचरितम्२.६९ </v>
      </c>
      <c r="B2550" s="4" t="s">
        <v>11</v>
      </c>
      <c r="C2550" s="4"/>
    </row>
    <row r="2551" spans="1:3" ht="24" customHeight="1">
      <c r="A2551" s="4" t="str">
        <f ca="1">IFERROR(__xludf.DUMMYFUNCTION("""COMPUTED_VALUE"""),"विनमद्भिरधः स्थितैः खगैर्झटिति श्येननिपातशङ्किभिः । स निरैक्षि दृशैकयोपरि स्यदझांकारितपत्रपद्धतिः ॥नैषधीयचरितम्२.७ ॥")</f>
        <v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॥नैषधीयचरितम्२.७ ॥</v>
      </c>
      <c r="B2551" s="4" t="s">
        <v>2</v>
      </c>
      <c r="C2551" s="4"/>
    </row>
    <row r="2552" spans="1:3" ht="24" customHeight="1">
      <c r="A2552" s="4" t="str">
        <f ca="1">IFERROR(__xludf.DUMMYFUNCTION("""COMPUTED_VALUE"""),"ददृशे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॥नैषधीयचरितम्२.७१ ॥")</f>
        <v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॥नैषधीयचरितम्२.७१ ॥</v>
      </c>
      <c r="B2552" s="4" t="s">
        <v>10</v>
      </c>
      <c r="C2552" s="4"/>
    </row>
    <row r="2553" spans="1:3" ht="24" customHeight="1">
      <c r="A2553" s="4" t="str">
        <f ca="1">IFERROR(__xludf.DUMMYFUNCTION("""COMPUTED_VALUE"""),"न वनं पथि शिश्रियेऽमुना क्वचिदप्युच्चतरद्रुचा रुतम् ॥नैषधीयचरितम्न सगोत्रजमन्ववादि वा गतिवेगप्रसरद्रुचा रुतम् ॥ २.७२ ॥")</f>
        <v>न वनं पथि शिश्रियेऽमुना क्वचिदप्युच्चतरद्रुचा रुतम् ॥नैषधीयचरितम्न सगोत्रजमन्ववादि वा गतिवेगप्रसरद्रुचा रुतम् ॥ २.७२ ॥</v>
      </c>
      <c r="B2553" s="4" t="s">
        <v>2</v>
      </c>
      <c r="C2553" s="4"/>
    </row>
    <row r="2554" spans="1:3" ht="24" customHeight="1">
      <c r="A2554" s="4" t="str">
        <f ca="1">IFERROR(__xludf.DUMMYFUNCTION("""COMPUTED_VALUE"""),"अथ भीमभुजेन पालिता नगरी मञ्चुरसौ धराजिता । पतगस्य जगाम दृक्पथं हरशैलोपमसौधराजिता ॥नैषधीयचरितम्२.७३ ॥")</f>
        <v>अथ भीमभुजेन पालिता नगरी मञ्चुरसौ धराजिता । पतगस्य जगाम दृक्पथं हरशैलोपमसौधराजिता ॥नैषधीयचरितम्२.७३ ॥</v>
      </c>
      <c r="B2554" s="4" t="s">
        <v>2</v>
      </c>
      <c r="C2554" s="4"/>
    </row>
    <row r="2555" spans="1:3" ht="24" customHeight="1">
      <c r="A2555" s="4" t="str">
        <f ca="1">IFERROR(__xludf.DUMMYFUNCTION("""COMPUTED_VALUE"""),"दयितं प्रति यत्र संतता रतिहासा इव रेजिरे भुवः । स्फटिकोपलविग्रहा गृहाः शशभृद्भित्तनिरङ्कभित्तयः ॥नैषधीयचरितम्२.७४ ॥")</f>
        <v>दयितं प्रति यत्र संतता रतिहासा इव रेजिरे भुवः । स्फटिकोपलविग्रहा गृहाः शशभृद्भित्तनिरङ्कभित्तयः ॥नैषधीयचरितम्२.७४ ॥</v>
      </c>
      <c r="B2555" s="4" t="s">
        <v>5</v>
      </c>
      <c r="C2555" s="4"/>
    </row>
    <row r="2556" spans="1:3" ht="24" customHeight="1">
      <c r="A2556" s="4" t="str">
        <f ca="1">IFERROR(__xludf.DUMMYFUNCTION("""COMPUTED_VALUE"""),"नृपनीलमणीगृहत्विषामुपधेर्यत्र भयेन भास्वतः । शरणार्थमुवास वासरेऽप्यसदावृत्त्युदयत्तमं तमः ॥नैषधीयचरितम्२.७५ ॥")</f>
        <v>नृपनीलमणीगृहत्विषामुपधेर्यत्र भयेन भास्वतः । शरणार्थमुवास वासरेऽप्यसदावृत्त्युदयत्तमं तमः ॥नैषधीयचरितम्२.७५ ॥</v>
      </c>
      <c r="B2556" s="4" t="s">
        <v>12</v>
      </c>
      <c r="C2556" s="4"/>
    </row>
    <row r="2557" spans="1:3" ht="24" customHeight="1">
      <c r="A2557" s="4" t="str">
        <f ca="1">IFERROR(__xludf.DUMMYFUNCTION("""COMPUTED_VALUE"""),"सितदीप्रमणिप्रकल्पिते यद्गारे हसदङ्करोदसि । निखिलान्निशि पूर्णिमा तिथीनुपतस्थेऽतिथिरेकिका तिथिः ॥नैषधीयचरितम्२.७६ ॥")</f>
        <v>सितदीप्रमणिप्रकल्पिते यद्गारे हसदङ्करोदसि । निखिलान्निशि पूर्णिमा तिथीनुपतस्थेऽतिथिरेकिका तिथिः ॥नैषधीयचरितम्२.७६ ॥</v>
      </c>
      <c r="B2557" s="4" t="s">
        <v>10</v>
      </c>
      <c r="C2557" s="4"/>
    </row>
    <row r="2558" spans="1:3" ht="24" customHeight="1">
      <c r="A2558" s="4" t="str">
        <f ca="1">IFERROR(__xludf.DUMMYFUNCTION("""COMPUTED_VALUE"""),"सुदतीजनमज्जनार्पितैर्घुसृणैर्यत्र कषायिताशया । न निशाखिलयापि वापिका प्रससाद ग्रहिलेव मानिनी ॥नैषधीयचरितम्२.७७ ॥")</f>
        <v>सुदतीजनमज्जनार्पितैर्घुसृणैर्यत्र कषायिताशया । न निशाखिलयापि वापिका प्रससाद ग्रहिलेव मानिनी ॥नैषधीयचरितम्२.७७ ॥</v>
      </c>
      <c r="B2558" s="4" t="s">
        <v>1</v>
      </c>
      <c r="C2558" s="4"/>
    </row>
    <row r="2559" spans="1:3" ht="24" customHeight="1">
      <c r="A2559" s="4" t="str">
        <f ca="1">IFERROR(__xludf.DUMMYFUNCTION("""COMPUTED_VALUE"""),"क्षणनीरवया यया निशि श्रितवप्रावलियोगपट्टया । मणिवेश्ममयं स्म निर्मलं किमपि ज्योतिरबाह्यमिज्यते ॥नैषधीयचरितम्२.७८ ॥")</f>
        <v>क्षणनीरवया यया निशि श्रितवप्रावलियोगपट्टया । मणिवेश्ममयं स्म निर्मलं किमपि ज्योतिरबाह्यमिज्यते ॥नैषधीयचरितम्२.७८ ॥</v>
      </c>
      <c r="B2559" s="4" t="s">
        <v>2</v>
      </c>
      <c r="C2559" s="4"/>
    </row>
    <row r="2560" spans="1:3" ht="24" customHeight="1">
      <c r="A2560" s="4" t="str">
        <f ca="1">IFERROR(__xludf.DUMMYFUNCTION("""COMPUTED_VALUE"""),"विललास जलाशयोदरे क्वचन द्यौरनुविम्बितेव या । परिखाकपटस्फुटस्फुरत्प्रतिबिम्बानवलम्बिताम्बुनि ॥नैषधीयचरितम्२.७९ ॥")</f>
        <v>विललास जलाशयोदरे क्वचन द्यौरनुविम्बितेव या । परिखाकपटस्फुटस्फुरत्प्रतिबिम्बानवलम्बिताम्बुनि ॥नैषधीयचरितम्२.७९ ॥</v>
      </c>
      <c r="B2560" s="4" t="s">
        <v>1</v>
      </c>
      <c r="C2560" s="4"/>
    </row>
    <row r="2561" spans="1:3" ht="24" customHeight="1">
      <c r="A2561" s="4" t="str">
        <f ca="1">IFERROR(__xludf.DUMMYFUNCTION("""COMPUTED_VALUE"""),"व्रजते दिवि यद्गृहावलीचलचेलाञ्चलदण्डताडनाः । व्यतरन्नरुणाय विश्रमं सृजते हेलिहयालिकालनाम् ॥नैषधीयचरितम्२.८ ॥ ")</f>
        <v xml:space="preserve">व्रजते दिवि यद्गृहावलीचलचेलाञ्चलदण्डताडनाः । व्यतरन्नरुणाय विश्रमं सृजते हेलिहयालिकालनाम् ॥नैषधीयचरितम्२.८ ॥ </v>
      </c>
      <c r="B2561" s="4" t="s">
        <v>1</v>
      </c>
      <c r="C2561" s="4"/>
    </row>
    <row r="2562" spans="1:3" ht="24" customHeight="1">
      <c r="A2562" s="4" t="str">
        <f ca="1">IFERROR(__xludf.DUMMYFUNCTION("""COMPUTED_VALUE"""),"क्षितिगर्भधराम्बरालयैस्तलमध्योपरिपूरिणां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॥नैषधीयचरितम्२.८१ ॥")</f>
        <v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॥नैषधीयचरितम्२.८१ ॥</v>
      </c>
      <c r="B2562" s="4" t="s">
        <v>6</v>
      </c>
      <c r="C2562" s="4"/>
    </row>
    <row r="2563" spans="1:3" ht="24" customHeight="1">
      <c r="A2563" s="4" t="str">
        <f ca="1">IFERROR(__xludf.DUMMYFUNCTION("""COMPUTED_VALUE"""),"दधदम्बुदनीलकण्ठतां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॥नैषधीयचरितम्२.८२ ॥")</f>
        <v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॥नैषधीयचरितम्२.८२ ॥</v>
      </c>
      <c r="B2563" s="4" t="s">
        <v>2</v>
      </c>
      <c r="C2563" s="4"/>
    </row>
    <row r="2564" spans="1:3" ht="24" customHeight="1">
      <c r="A2564" s="4" t="str">
        <f ca="1">IFERROR(__xludf.DUMMYFUNCTION("""COMPUTED_VALUE"""),"बहुरूपकशालभञ्जिकामुखचन्द्रेषु कलङ्करङ्कवः । यदनेककसौधकंधराहरिभिः कुक्षिगतीकृता इव ॥नैषधीयचरितम्२.८३ ॥")</f>
        <v>बहुरूपकशालभञ्जिकामुखचन्द्रेषु कलङ्करङ्कवः । यदनेककसौधकंधराहरिभिः कुक्षिगतीकृता इव ॥नैषधीयचरितम्२.८३ ॥</v>
      </c>
      <c r="B2564" s="4" t="s">
        <v>4</v>
      </c>
      <c r="C2564" s="4"/>
    </row>
    <row r="2565" spans="1:3" ht="24" customHeight="1">
      <c r="A2565" s="4" t="str">
        <f ca="1">IFERROR(__xludf.DUMMYFUNCTION("""COMPUTED_VALUE"""),"बलिसद्मदिवं स तथ्यवागुपरि स्माह दिवोऽपि नारदः । अधराथ कृता ययेव सा विपरीताजनि भूविभूषया ॥नैषधीयचरितम्२.८४ ॥")</f>
        <v>बलिसद्मदिवं स तथ्यवागुपरि स्माह दिवोऽपि नारदः । अधराथ कृता ययेव सा विपरीताजनि भूविभूषया ॥नैषधीयचरितम्२.८४ ॥</v>
      </c>
      <c r="B2565" s="4" t="s">
        <v>5</v>
      </c>
      <c r="C2565" s="4"/>
    </row>
    <row r="2566" spans="1:3" ht="24" customHeight="1">
      <c r="A2566" s="4" t="str">
        <f ca="1">IFERROR(__xludf.DUMMYFUNCTION("""COMPUTED_VALUE"""),"प्रतिहट्टपथे घरट्टजात्पथिकाह्वानदसक्तुसौरभैः । कलहान्न घनान्यदुत्थितादधुनाप्युज्झति घर्घरस्वरः ॥नैषधीयचरितम्२.८५ ॥")</f>
        <v>प्रतिहट्टपथे घरट्टजात्पथिकाह्वानदसक्तुसौरभैः । कलहान्न घनान्यदुत्थितादधुनाप्युज्झति घर्घरस्वरः ॥नैषधीयचरितम्२.८५ ॥</v>
      </c>
      <c r="B2566" s="4" t="s">
        <v>0</v>
      </c>
      <c r="C2566" s="4"/>
    </row>
    <row r="2567" spans="1:3" ht="24" customHeight="1">
      <c r="A2567" s="4" t="str">
        <f ca="1">IFERROR(__xludf.DUMMYFUNCTION("""COMPUTED_VALUE"""),"वरणः कनकस्य मानिनीं दिवमङ्कादमराद्रिरागताम् । घनरत्नकपाटपक्षतिः परिरभ्यानुनयन्नुवास याम् ॥नैषधीयचरितम्२.८६ ॥")</f>
        <v>वरणः कनकस्य मानिनीं दिवमङ्कादमराद्रिरागताम् । घनरत्नकपाटपक्षतिः परिरभ्यानुनयन्नुवास याम् ॥नैषधीयचरितम्२.८६ ॥</v>
      </c>
      <c r="B2567" s="4" t="s">
        <v>5</v>
      </c>
      <c r="C2567" s="4"/>
    </row>
    <row r="2568" spans="1:3" ht="24" customHeight="1">
      <c r="A2568" s="4" t="str">
        <f ca="1">IFERROR(__xludf.DUMMYFUNCTION("""COMPUTED_VALUE"""),"अनलैः परिवेषमेत्य या ज्वलदर्कोपलवप्रजन्मभिः । उदयं लयमन्तरा रवेरवहद्बाणपुरीपरार्ध्यताम् ॥नैषधीयचरितम्२.८७ ॥")</f>
        <v>अनलैः परिवेषमेत्य या ज्वलदर्कोपलवप्रजन्मभिः । उदयं लयमन्तरा रवेरवहद्बाणपुरीपरार्ध्यताम् ॥नैषधीयचरितम्२.८७ ॥</v>
      </c>
      <c r="B2568" s="4" t="s">
        <v>2</v>
      </c>
      <c r="C2568" s="4"/>
    </row>
    <row r="2569" spans="1:3" ht="24" customHeight="1">
      <c r="A2569" s="4" t="str">
        <f ca="1">IFERROR(__xludf.DUMMYFUNCTION("""COMPUTED_VALUE"""),"बहुकम्बुमणिर्वराटिकागणनाटत्करकर्कटोत्करः । हिमवालुकयाच्छवालुकः पटु दध्वान यदापणार्णवः ॥नैषधीयचरितम्२.८८ ॥")</f>
        <v>बहुकम्बुमणिर्वराटिकागणनाटत्करकर्कटोत्करः । हिमवालुकयाच्छवालुकः पटु दध्वान यदापणार्णवः ॥नैषधीयचरितम्२.८८ ॥</v>
      </c>
      <c r="B2569" s="4" t="s">
        <v>4</v>
      </c>
      <c r="C2569" s="4"/>
    </row>
    <row r="2570" spans="1:3" ht="24" customHeight="1">
      <c r="A2570" s="4" t="str">
        <f ca="1">IFERROR(__xludf.DUMMYFUNCTION("""COMPUTED_VALUE"""),"यदगारघटाट्टकुट्टिमस्रवदिन्दूपलतुन्दिलापया । मुमुचे न पतिव्रतौचिती प्रतिचन्द्रोदयमभ्रगङ्गया ॥नैषधीयचरितम्२.८९ ॥")</f>
        <v>यदगारघटाट्टकुट्टिमस्रवदिन्दूपलतुन्दिलापया । मुमुचे न पतिव्रतौचिती प्रतिचन्द्रोदयमभ्रगङ्गया ॥नैषधीयचरितम्२.८९ ॥</v>
      </c>
      <c r="B2570" s="4" t="s">
        <v>5</v>
      </c>
      <c r="C2570" s="4"/>
    </row>
    <row r="2571" spans="1:3" ht="24" customHeight="1">
      <c r="A2571" s="4" t="str">
        <f ca="1">IFERROR(__xludf.DUMMYFUNCTION("""COMPUTED_VALUE"""),"रुचयोस्तमितस्य भास्वतः स्खलिता यत्र निरालयाः किल । अनुसायमभुर्विलेपना पणकश्मीरजपण्यवीथयः ॥नैषधीयचरितम्२.९ ॥")</f>
        <v>रुचयोस्तमितस्य भास्वतः स्खलिता यत्र निरालयाः किल । अनुसायमभुर्विलेपना पणकश्मीरजपण्यवीथयः ॥नैषधीयचरितम्२.९ ॥</v>
      </c>
      <c r="B2571" s="4" t="s">
        <v>5</v>
      </c>
      <c r="C2571" s="4"/>
    </row>
    <row r="2572" spans="1:3" ht="24" customHeight="1">
      <c r="A2572" s="4" t="str">
        <f ca="1">IFERROR(__xludf.DUMMYFUNCTION("""COMPUTED_VALUE"""),"विततं वणिजापणेऽखिलं पणितुं यत्र जनेन वीक्ष्यते । मुनिनेव मृकण्डुसूनुना जगतीवस्तु पुरोदरे हरेः ॥नैषधीयचरितम्२.९१ ॥")</f>
        <v>विततं वणिजापणेऽखिलं पणितुं यत्र जनेन वीक्ष्यते । मुनिनेव मृकण्डुसूनुना जगतीवस्तु पुरोदरे हरेः ॥नैषधीयचरितम्२.९१ ॥</v>
      </c>
      <c r="B2572" s="4" t="s">
        <v>0</v>
      </c>
      <c r="C2572" s="4"/>
    </row>
    <row r="2573" spans="1:3" ht="24" customHeight="1">
      <c r="A2573" s="4" t="str">
        <f ca="1">IFERROR(__xludf.DUMMYFUNCTION("""COMPUTED_VALUE"""),"सममेणमदैर्यदापणे तुलयन्सौरभलोभनिश्चलम् । पणिता न जनारवैरवैदपि गुञ्जन्तमलिं मलीमसम् ॥नैषधीयचरितम्२.९२ ॥")</f>
        <v>सममेणमदैर्यदापणे तुलयन्सौरभलोभनिश्चलम् । पणिता न जनारवैरवैदपि गुञ्जन्तमलिं मलीमसम् ॥नैषधीयचरितम्२.९२ ॥</v>
      </c>
      <c r="B2573" s="4" t="s">
        <v>18</v>
      </c>
      <c r="C2573" s="4"/>
    </row>
    <row r="2574" spans="1:3" ht="24" customHeight="1">
      <c r="A2574" s="4" t="str">
        <f ca="1">IFERROR(__xludf.DUMMYFUNCTION("""COMPUTED_VALUE"""),"रविकान्तमयेन सेतुना सकलाहं ज्वलनाहितोष्मणा । शिशिरे निशिगच्छतां पुरा चरणौ यत्र दुनोति नो हिमं ॥नैषधीयचरितम्२.९३ ॥")</f>
        <v>रविकान्तमयेन सेतुना सकलाहं ज्वलनाहितोष्मणा । शिशिरे निशिगच्छतां पुरा चरणौ यत्र दुनोति नो हिमं ॥नैषधीयचरितम्२.९३ ॥</v>
      </c>
      <c r="B2574" s="4" t="s">
        <v>12</v>
      </c>
      <c r="C2574" s="4"/>
    </row>
    <row r="2575" spans="1:3" ht="24" customHeight="1">
      <c r="A2575" s="4" t="str">
        <f ca="1">IFERROR(__xludf.DUMMYFUNCTION("""COMPUTED_VALUE"""),"विधुदीधितिजेन यत्पथं पयसा नैषधशीलशीतलम् । शशिकान्तमयं तपागमे कलितीव्रस्तपति स्म नातपः ॥नैषधीयचरितम्२.९४ ॥")</f>
        <v>विधुदीधितिजेन यत्पथं पयसा नैषधशीलशीतलम् । शशिकान्तमयं तपागमे कलितीव्रस्तपति स्म नातपः ॥नैषधीयचरितम्२.९४ ॥</v>
      </c>
      <c r="B2575" s="4" t="s">
        <v>9</v>
      </c>
      <c r="C2575" s="4"/>
    </row>
    <row r="2576" spans="1:3" ht="24" customHeight="1">
      <c r="A2576" s="4" t="str">
        <f ca="1">IFERROR(__xludf.DUMMYFUNCTION("""COMPUTED_VALUE"""),"परिखावलयच्छलेन या न परेषां ग्रहणस्य गोचरः । फणिभाषितभाष्यफक्किकाविषमा कुण्डलनामवापिता ॥नैषधीयचरितम्२.९५ ॥")</f>
        <v>परिखावलयच्छलेन या न परेषां ग्रहणस्य गोचरः । फणिभाषितभाष्यफक्किकाविषमा कुण्डलनामवापिता ॥नैषधीयचरितम्२.९५ ॥</v>
      </c>
      <c r="B2576" s="4" t="s">
        <v>2</v>
      </c>
      <c r="C2576" s="4"/>
    </row>
    <row r="2577" spans="1:3" ht="24" customHeight="1">
      <c r="A2577" s="4" t="str">
        <f ca="1">IFERROR(__xludf.DUMMYFUNCTION("""COMPUTED_VALUE"""),"मुखपाणिपदाक्ष्णी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॥नैषधीयचरितम्२.९६ ॥")</f>
        <v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॥नैषधीयचरितम्२.९६ ॥</v>
      </c>
      <c r="B2577" s="4" t="s">
        <v>3</v>
      </c>
      <c r="C2577" s="4"/>
    </row>
    <row r="2578" spans="1:3" ht="24" customHeight="1">
      <c r="A2578" s="4" t="str">
        <f ca="1">IFERROR(__xludf.DUMMYFUNCTION("""COMPUTED_VALUE"""),"जघनस्तनभारगौरवाद्वियदालम्ब्य विहर्तुमक्षमाः । ध्रुवमप्सरसोऽवतीर्य यां शतमध्यासत तत्सखीजनः ॥नैषधीयचरितम्२.९७ ॥")</f>
        <v>जघनस्तनभारगौरवाद्वियदालम्ब्य विहर्तुमक्षमाः । ध्रुवमप्सरसोऽवतीर्य यां शतमध्यासत तत्सखीजनः ॥नैषधीयचरितम्२.९७ ॥</v>
      </c>
      <c r="B2578" s="4" t="s">
        <v>1</v>
      </c>
      <c r="C2578" s="4"/>
    </row>
    <row r="2579" spans="1:3" ht="24" customHeight="1">
      <c r="A2579" s="4" t="str">
        <f ca="1">IFERROR(__xludf.DUMMYFUNCTION("""COMPUTED_VALUE"""),"स्थितिशालिसमस्तवर्णतां न कथं चित्रमयी बिभर्तु या । स्वरभेदमुपैतु या कथं कलितानल्पमुखारवा न वा ॥नैषधीयचरितम्२.९८ ॥")</f>
        <v>स्थितिशालिसमस्तवर्णतां न कथं चित्रमयी बिभर्तु या । स्वरभेदमुपैतु या कथं कलितानल्पमुखारवा न वा ॥नैषधीयचरितम्२.९८ ॥</v>
      </c>
      <c r="B2579" s="4" t="s">
        <v>4</v>
      </c>
      <c r="C2579" s="4"/>
    </row>
    <row r="2580" spans="1:3" ht="24" customHeight="1">
      <c r="A2580" s="4" t="str">
        <f ca="1">IFERROR(__xludf.DUMMYFUNCTION("""COMPUTED_VALUE"""),"स्वरुचारुणया पताकया दिनमर्केण समीयुषोत्तृषः । लिलिहुर्बहुधा सुधाकरं निशि माणिक्यमया यदालयाः ॥नैषधीयचरितम्२.९९ ॥")</f>
        <v>स्वरुचारुणया पताकया दिनमर्केण समीयुषोत्तृषः । लिलिहुर्बहुधा सुधाकरं निशि माणिक्यमया यदालयाः ॥नैषधीयचरितम्२.९९ ॥</v>
      </c>
      <c r="B2580" s="4" t="s">
        <v>5</v>
      </c>
      <c r="C2580" s="4"/>
    </row>
    <row r="2581" spans="1:3" ht="24" customHeight="1">
      <c r="A2581" s="4" t="str">
        <f ca="1">IFERROR(__xludf.DUMMYFUNCTION("""COMPUTED_VALUE"""),"लिलिहे स्वरुचा पताकया निशि जिह्वानिभया सुधाकरम् । श्रितमर्ककरैः पितासु यन्नृपसद्मामलपद्मरागजम् ॥नैषधीयचरितम्२.१ ॥")</f>
        <v>लिलिहे स्वरुचा पताकया निशि जिह्वानिभया सुधाकरम् । श्रितमर्ककरैः पितासु यन्नृपसद्मामलपद्मरागजम् ॥नैषधीयचरितम्२.१ ॥</v>
      </c>
      <c r="B2581" s="4" t="s">
        <v>3</v>
      </c>
      <c r="C2581" s="4"/>
    </row>
    <row r="2582" spans="1:3" ht="24" customHeight="1">
      <c r="A2582" s="4" t="str">
        <f ca="1">IFERROR(__xludf.DUMMYFUNCTION("""COMPUTED_VALUE"""),"अमृतद्युतिलक्ष्म पीतया मिलितं यद्वलभीपताकया । वलयायितशेषशायिनः सखितामादित पीतवाससः ॥नैषधीयचरितम्२.१०१ ॥")</f>
        <v>अमृतद्युतिलक्ष्म पीतया मिलितं यद्वलभीपताकया । वलयायितशेषशायिनः सखितामादित पीतवाससः ॥नैषधीयचरितम्२.१०१ ॥</v>
      </c>
      <c r="B2582" s="4" t="s">
        <v>18</v>
      </c>
      <c r="C2582" s="4"/>
    </row>
    <row r="2583" spans="1:3" ht="24" customHeight="1">
      <c r="A2583" s="4" t="str">
        <f ca="1">IFERROR(__xludf.DUMMYFUNCTION("""COMPUTED_VALUE"""),"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॥नैषधीयचरितम्२.१०२ ॥")</f>
        <v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॥नैषधीयचरितम्२.१०२ ॥</v>
      </c>
      <c r="B2583" s="4" t="s">
        <v>4</v>
      </c>
      <c r="C2583" s="4"/>
    </row>
    <row r="2584" spans="1:3" ht="24" customHeight="1">
      <c r="A2584" s="4" t="str">
        <f ca="1">IFERROR(__xludf.DUMMYFUNCTION("""COMPUTED_VALUE"""),"यदतिविमलनीलवेश्मरश्मिभ्रमरितभाः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॥नैषधीयचरितम्२.१०३ ॥")</f>
        <v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॥नैषधीयचरितम्२.१०३ ॥</v>
      </c>
      <c r="B2584" s="4" t="s">
        <v>2</v>
      </c>
      <c r="C2584" s="4"/>
    </row>
    <row r="2585" spans="1:3" ht="24" customHeight="1">
      <c r="A2585" s="4" t="str">
        <f ca="1">IFERROR(__xludf.DUMMYFUNCTION("""COMPUTED_VALUE"""),"स्वप्राणेश्वरनर्महर्म्यकटकातिथ्यग्रहायोत्सुकं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॥नैषधीयचरितम्२.१०४ ॥")</f>
        <v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॥नैषधीयचरितम्२.१०४ ॥</v>
      </c>
      <c r="B2585" s="4" t="s">
        <v>1</v>
      </c>
      <c r="C2585" s="4"/>
    </row>
    <row r="2586" spans="1:3" ht="24" customHeight="1">
      <c r="A2586" s="4" t="str">
        <f ca="1">IFERROR(__xludf.DUMMYFUNCTION("""COMPUTED_VALUE"""),"वैदर्भीकेलिशैले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॥नैषधीयचरितम्२.१०५ ॥")</f>
        <v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॥नैषधीयचरितम्२.१०५ ॥</v>
      </c>
      <c r="B2586" s="4" t="s">
        <v>12</v>
      </c>
      <c r="C2586" s="4"/>
    </row>
    <row r="2587" spans="1:3" ht="24" customHeight="1">
      <c r="A2587" s="4" t="str">
        <f ca="1">IFERROR(__xludf.DUMMYFUNCTION("""COMPUTED_VALUE"""),"विधुकरपरिरम्भादात्मनिष्यन्दपूर्णैः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॥नैषधीयचरितम्२.१०६ ॥")</f>
        <v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॥नैषधीयचरितम्२.१०६ ॥</v>
      </c>
      <c r="B2587" s="4" t="s">
        <v>1</v>
      </c>
      <c r="C2587" s="4"/>
    </row>
    <row r="2588" spans="1:3" ht="24" customHeight="1">
      <c r="A2588" s="4" t="str">
        <f ca="1">IFERROR(__xludf.DUMMYFUNCTION("""COMPUTED_VALUE"""),"अथ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॥नैषधीयचरितम्२.१०७ ॥")</f>
        <v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॥नैषधीयचरितम्२.१०७ ॥</v>
      </c>
      <c r="B2588" s="4" t="s">
        <v>0</v>
      </c>
      <c r="C2588" s="4"/>
    </row>
    <row r="2589" spans="1:3" ht="24" customHeight="1">
      <c r="A2589" s="4" t="str">
        <f ca="1">IFERROR(__xludf.DUMMYFUNCTION("""COMPUTED_VALUE"""),"भ्रमणरयविकीर्णस्वर्णभासा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॥नैषधीयचरितम्२.१०८ ॥")</f>
        <v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॥नैषधीयचरितम्२.१०८ ॥</v>
      </c>
      <c r="B2589" s="4" t="s">
        <v>1</v>
      </c>
      <c r="C2589" s="4"/>
    </row>
    <row r="2590" spans="1:3" ht="24" customHeight="1">
      <c r="A2590" s="4" t="str">
        <f ca="1">IFERROR(__xludf.DUMMYFUNCTION("""COMPUTED_VALUE"""),"अनुभवति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॥नैषधीयचरितम्२.१०९ ॥")</f>
        <v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॥नैषधीयचरितम्२.१०९ ॥</v>
      </c>
      <c r="B2590" s="4" t="s">
        <v>11</v>
      </c>
      <c r="C2590" s="4"/>
    </row>
    <row r="2591" spans="1:3" ht="24" customHeight="1">
      <c r="A2591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॥नैषधीयचरितम्२.११ ॥")</f>
        <v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॥नैषधीयचरितम्२.११ ॥</v>
      </c>
      <c r="B2591" s="4" t="s">
        <v>18</v>
      </c>
      <c r="C2591" s="4"/>
    </row>
    <row r="2592" spans="1:3" ht="24" customHeight="1">
      <c r="A2592" s="4" t="str">
        <f ca="1">IFERROR(__xludf.DUMMYFUNCTION("""COMPUTED_VALUE"""),"आकुञ्चिताभ्यामथ पक्षतिभ्यां नभोविभागात्तरसावतीर्य । निवेशदेशाततधूतपक्षः पपात भूमावुपभैमि हंसः ॥नैषधीयचरितम्३.१ ॥")</f>
        <v>आकुञ्चिताभ्यामथ पक्षतिभ्यां नभोविभागात्तरसावतीर्य । निवेशदेशाततधूतपक्षः पपात भूमावुपभैमि हंसः ॥नैषधीयचरितम्३.१ ॥</v>
      </c>
      <c r="B2592" s="4" t="s">
        <v>18</v>
      </c>
      <c r="C2592" s="4"/>
    </row>
    <row r="2593" spans="1:3" ht="24" customHeight="1">
      <c r="A2593" s="4" t="str">
        <f ca="1">IFERROR(__xludf.DUMMYFUNCTION("""COMPUTED_VALUE"""),"आकस्मिकः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॥नैषधीयचरितम्३.२ ॥")</f>
        <v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॥नैषधीयचरितम्३.२ ॥</v>
      </c>
      <c r="B2593" s="4" t="s">
        <v>0</v>
      </c>
      <c r="C2593" s="4"/>
    </row>
    <row r="2594" spans="1:3" ht="24" customHeight="1">
      <c r="A2594" s="4" t="str">
        <f ca="1">IFERROR(__xludf.DUMMYFUNCTION("""COMPUTED_VALUE"""),"नेत्राणि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॥नैषधीयचरितम्३.३ ॥")</f>
        <v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॥नैषधीयचरितम्३.३ ॥</v>
      </c>
      <c r="B2594" s="4" t="s">
        <v>1</v>
      </c>
      <c r="C2594" s="4"/>
    </row>
    <row r="2595" spans="1:3" ht="24" customHeight="1">
      <c r="A2595" s="4" t="str">
        <f ca="1">IFERROR(__xludf.DUMMYFUNCTION("""COMPUTED_VALUE"""),"हंसं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॥नैषधीयचरितम्३.४ ॥")</f>
        <v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॥नैषधीयचरितम्३.४ ॥</v>
      </c>
      <c r="B2595" s="4" t="s">
        <v>24</v>
      </c>
      <c r="C2595" s="4"/>
    </row>
    <row r="2596" spans="1:3" ht="24" customHeight="1">
      <c r="A2596" s="4" t="str">
        <f ca="1">IFERROR(__xludf.DUMMYFUNCTION("""COMPUTED_VALUE"""),"तामिङ्गितैरप्यनुमाय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॥नैषधीयचरितम्३.५ ॥")</f>
        <v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॥नैषधीयचरितम्३.५ ॥</v>
      </c>
      <c r="B2596" s="4" t="s">
        <v>1</v>
      </c>
      <c r="C2596" s="4"/>
    </row>
    <row r="2597" spans="1:3" ht="24" customHeight="1">
      <c r="A2597" s="4" t="str">
        <f ca="1">IFERROR(__xludf.DUMMYFUNCTION("""COMPUTED_VALUE"""),"व्यर्थ्(कृतं पत्ररथेन तेन तथाऽवसाय व्यवसायमस्याः । परस्परामर्पितहस्ततालं तत्कालमालीभिरहस्यतालम् ॥नैषधीयचरितम्३.६ ॥")</f>
        <v>व्यर्थ्(कृतं पत्ररथेन तेन तथाऽवसाय व्यवसायमस्याः । परस्परामर्पितहस्ततालं तत्कालमालीभिरहस्यतालम् ॥नैषधीयचरितम्३.६ ॥</v>
      </c>
      <c r="B2597" s="4" t="s">
        <v>11</v>
      </c>
      <c r="C2597" s="4"/>
    </row>
    <row r="2598" spans="1:3" ht="24" customHeight="1">
      <c r="A2598" s="4" t="str">
        <f ca="1">IFERROR(__xludf.DUMMYFUNCTION("""COMPUTED_VALUE"""),"उच्चाटनीयः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॥नैषधीयचरितम्३.७ ॥")</f>
        <v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॥नैषधीयचरितम्३.७ ॥</v>
      </c>
      <c r="B2598" s="4" t="s">
        <v>15</v>
      </c>
      <c r="C2598" s="4"/>
    </row>
    <row r="2599" spans="1:3" ht="24" customHeight="1">
      <c r="A2599" s="4" t="str">
        <f ca="1">IFERROR(__xludf.DUMMYFUNCTION("""COMPUTED_VALUE"""),"धृताल्पकोपा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॥नैषधीयचरितम्३.८ ॥")</f>
        <v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॥नैषधीयचरितम्३.८ ॥</v>
      </c>
      <c r="B2599" s="4" t="s">
        <v>16</v>
      </c>
      <c r="C2599" s="4"/>
    </row>
    <row r="2600" spans="1:3" ht="24" customHeight="1">
      <c r="A2600" s="4" t="str">
        <f ca="1">IFERROR(__xludf.DUMMYFUNCTION("""COMPUTED_VALUE"""),"शस्ता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॥नैषधीयचरितम्३.९ ॥")</f>
        <v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॥नैषधीयचरितम्३.९ ॥</v>
      </c>
      <c r="B2600" s="4" t="s">
        <v>18</v>
      </c>
      <c r="C2600" s="4"/>
    </row>
    <row r="2601" spans="1:3" ht="24" customHeight="1">
      <c r="A2601" s="4" t="str">
        <f ca="1">IFERROR(__xludf.DUMMYFUNCTION("""COMPUTED_VALUE"""),"हंसोऽप्यसौ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॥नैषधीयचरितम्३.१ ॥")</f>
        <v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॥नैषधीयचरितम्३.१ ॥</v>
      </c>
      <c r="B2601" s="4" t="s">
        <v>16</v>
      </c>
      <c r="C2601" s="4"/>
    </row>
    <row r="2602" spans="1:3" ht="24" customHeight="1">
      <c r="A2602" s="4" t="str">
        <f ca="1">IFERROR(__xludf.DUMMYFUNCTION("""COMPUTED_VALUE"""),"पदे पदे भाVइनि भाविनी तं यथा करप्राप्यमवैति नूनम् । तथा सखेलं चलता लतासु प्रतार्य तेनाचकृषे कृशाङ्गी ॥नैषधीयचरितम्३.११ ॥")</f>
        <v>पदे पदे भाVइनि भाविनी तं यथा करप्राप्यमवैति नूनम् । तथा सखेलं चलता लतासु प्रतार्य तेनाचकृषे कृशाङ्गी ॥नैषधीयचरितम्३.११ ॥</v>
      </c>
      <c r="B2602" s="4" t="s">
        <v>15</v>
      </c>
      <c r="C2602" s="4"/>
    </row>
    <row r="2603" spans="1:3" ht="24" customHeight="1">
      <c r="A2603" s="4" t="str">
        <f ca="1">IFERROR(__xludf.DUMMYFUNCTION("""COMPUTED_VALUE"""),"रुषा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॥नैषधीयचरितम्३.१२ ॥")</f>
        <v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॥नैषधीयचरितम्३.१२ ॥</v>
      </c>
      <c r="B2603" s="4" t="s">
        <v>17</v>
      </c>
      <c r="C2603" s="4"/>
    </row>
    <row r="2604" spans="1:3" ht="24" customHeight="1">
      <c r="A2604" s="4" t="str">
        <f ca="1">IFERROR(__xludf.DUMMYFUNCTION("""COMPUTED_VALUE"""),"अये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॥नैषधीयचरितम्३.१३ ॥")</f>
        <v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॥नैषधीयचरितम्३.१३ ॥</v>
      </c>
      <c r="B2604" s="4" t="s">
        <v>11</v>
      </c>
      <c r="C2604" s="4"/>
    </row>
    <row r="2605" spans="1:3" ht="24" customHeight="1">
      <c r="A2605" s="4" t="str">
        <f ca="1">IFERROR(__xludf.DUMMYFUNCTION("""COMPUTED_VALUE"""),"वृथार्पयन्तीमपथे पदं त्वां मरुल्ललत्पल्लवपाणिकम्पैः । आलीव पश्य प्रतिषेधतीयं कपोतहुंकारगिरा वनाली ॥नैषधीयचरितम्३.१४ ॥")</f>
        <v>वृथार्पयन्तीमपथे पदं त्वां मरुल्ललत्पल्लवपाणिकम्पैः । आलीव पश्य प्रतिषेधतीयं कपोतहुंकारगिरा वनाली ॥नैषधीयचरितम्३.१४ ॥</v>
      </c>
      <c r="B2605" s="4" t="s">
        <v>11</v>
      </c>
      <c r="C2605" s="4"/>
    </row>
    <row r="2606" spans="1:3" ht="24" customHeight="1">
      <c r="A2606" s="4" t="str">
        <f ca="1">IFERROR(__xludf.DUMMYFUNCTION("""COMPUTED_VALUE"""),"धार्यः कथंकारमहं भवत्या वियद्विहारी वसुधैकगत्या । अहो शिशुत्वं तव खण्डितं न स्मरस्य सख्या वयसाप्यनेन ॥नैषधीयचरितम्३.१५ ॥")</f>
        <v>धार्यः कथंकारमहं भवत्या वियद्विहारी वसुधैकगत्या । अहो शिशुत्वं तव खण्डितं न स्मरस्य सख्या वयसाप्यनेन ॥नैषधीयचरितम्३.१५ ॥</v>
      </c>
      <c r="B2606" s="4" t="s">
        <v>1</v>
      </c>
      <c r="C2606" s="4"/>
    </row>
    <row r="2607" spans="1:3" ht="24" customHeight="1">
      <c r="A2607" s="4" t="str">
        <f ca="1">IFERROR(__xludf.DUMMYFUNCTION("""COMPUTED_VALUE"""),"सहस्रपत्त्रासनपत्त्रहंस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॥नैषधीयचरितम्३.१६ ॥")</f>
        <v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॥नैषधीयचरितम्३.१६ ॥</v>
      </c>
      <c r="B2607" s="4" t="s">
        <v>1</v>
      </c>
      <c r="C2607" s="4"/>
    </row>
    <row r="2608" spans="1:3" ht="24" customHeight="1">
      <c r="A2608" s="4" t="str">
        <f ca="1">IFERROR(__xludf.DUMMYFUNCTION("""COMPUTED_VALUE"""),"स्वर्गापगाहेममृणालिनीनां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॥नैषधीयचरितम्३.१७ ॥")</f>
        <v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॥नैषधीयचरितम्३.१७ ॥</v>
      </c>
      <c r="B2608" s="4" t="s">
        <v>2</v>
      </c>
      <c r="C2608" s="4"/>
    </row>
    <row r="2609" spans="1:3" ht="24" customHeight="1">
      <c r="A2609" s="4" t="str">
        <f ca="1">IFERROR(__xludf.DUMMYFUNCTION("""COMPUTED_VALUE"""),"धातुर्नियोगादिह नैषघीयं लीलासरः सेवितुमागतेषु । हैमेषु हंसेष्वहमेक एव भ्रमामि भूलोकविलोकनोत्कः ॥नैषधीयचरितम्३.१८ ॥")</f>
        <v>धातुर्नियोगादिह नैषघीयं लीलासरः सेवितुमागतेषु । हैमेषु हंसेष्वहमेक एव भ्रमामि भूलोकविलोकनोत्कः ॥नैषधीयचरितम्३.१८ ॥</v>
      </c>
      <c r="B2609" s="4" t="s">
        <v>19</v>
      </c>
      <c r="C2609" s="4"/>
    </row>
    <row r="2610" spans="1:3" ht="24" customHeight="1">
      <c r="A2610" s="4" t="str">
        <f ca="1">IFERROR(__xludf.DUMMYFUNCTION("""COMPUTED_VALUE"""),"विधेः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॥नैषधीयचरितम्३.१९ ॥")</f>
        <v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॥नैषधीयचरितम्३.१९ ॥</v>
      </c>
      <c r="B2610" s="4" t="s">
        <v>9</v>
      </c>
      <c r="C2610" s="4"/>
    </row>
    <row r="2611" spans="1:3" ht="24" customHeight="1">
      <c r="A2611" s="4" t="str">
        <f ca="1">IFERROR(__xludf.DUMMYFUNCTION("""COMPUTED_VALUE"""),"बन्धाय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॥नैषधीयचरितम्३.२ ॥")</f>
        <v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॥नैषधीयचरितम्३.२ ॥</v>
      </c>
      <c r="B2611" s="4" t="s">
        <v>5</v>
      </c>
      <c r="C2611" s="4"/>
    </row>
    <row r="2612" spans="1:3" ht="24" customHeight="1">
      <c r="A2612" s="4" t="str">
        <f ca="1">IFERROR(__xludf.DUMMYFUNCTION("""COMPUTED_VALUE"""),"इष्टेन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॥नैषधीयचरितम्३.२१ ॥")</f>
        <v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॥नैषधीयचरितम्३.२१ ॥</v>
      </c>
      <c r="B2612" s="4" t="s">
        <v>2</v>
      </c>
      <c r="C2612" s="4"/>
    </row>
    <row r="2613" spans="1:3" ht="24" customHeight="1">
      <c r="A2613" s="4" t="str">
        <f ca="1">IFERROR(__xludf.DUMMYFUNCTION("""COMPUTED_VALUE"""),"सुवर्णशैलादवतीर्य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॥नैषधीयचरितम्३.२२ ॥")</f>
        <v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॥नैषधीयचरितम्३.२२ ॥</v>
      </c>
      <c r="B2613" s="4" t="s">
        <v>5</v>
      </c>
      <c r="C2613" s="4"/>
    </row>
    <row r="2614" spans="1:3" ht="24" customHeight="1">
      <c r="A2614" s="4" t="str">
        <f ca="1">IFERROR(__xludf.DUMMYFUNCTION("""COMPUTED_VALUE"""),"क्रियेत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॥नैषधीयचरितम्३.२३ ॥")</f>
        <v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॥नैषधीयचरितम्३.२३ ॥</v>
      </c>
      <c r="B2614" s="4" t="s">
        <v>5</v>
      </c>
      <c r="C2614" s="4"/>
    </row>
    <row r="2615" spans="1:3" ht="24" customHeight="1">
      <c r="A2615" s="4" t="str">
        <f ca="1">IFERROR(__xludf.DUMMYFUNCTION("""COMPUTED_VALUE"""),"राजा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॥नैषधीयचरितम्३.२४ ॥")</f>
        <v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॥नैषधीयचरितम्३.२४ ॥</v>
      </c>
      <c r="B2615" s="4" t="s">
        <v>5</v>
      </c>
      <c r="C2615" s="4"/>
    </row>
    <row r="2616" spans="1:3" ht="24" customHeight="1">
      <c r="A2616" s="4" t="str">
        <f ca="1">IFERROR(__xludf.DUMMYFUNCTION("""COMPUTED_VALUE"""),"दारिद्र्यदारिद्रविणौघवर्षैरमोघमेघव्रतमर्थिसार्थे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॥नैषधीयचरितम्३.२५ ॥")</f>
        <v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॥नैषधीयचरितम्३.२५ ॥</v>
      </c>
      <c r="B2616" s="4" t="s">
        <v>10</v>
      </c>
      <c r="C2616" s="4"/>
    </row>
    <row r="2617" spans="1:3" ht="24" customHeight="1">
      <c r="A2617" s="4" t="str">
        <f ca="1">IFERROR(__xludf.DUMMYFUNCTION("""COMPUTED_VALUE"""),"अस्मत्किल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॥नैषधीयचरितम्३.२६ ॥")</f>
        <v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॥नैषधीयचरितम्३.२६ ॥</v>
      </c>
      <c r="B2617" s="4" t="s">
        <v>18</v>
      </c>
      <c r="C2617" s="4"/>
    </row>
    <row r="2618" spans="1:3" ht="24" customHeight="1">
      <c r="A2618" s="4" t="str">
        <f ca="1">IFERROR(__xludf.DUMMYFUNCTION("""COMPUTED_VALUE"""),"स्वर्लोकमस्माभिरितः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॥नैषधीयचरितम्३.२७ ॥")</f>
        <v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॥नैषधीयचरितम्३.२७ ॥</v>
      </c>
      <c r="B2618" s="4" t="s">
        <v>6</v>
      </c>
      <c r="C2618" s="4"/>
    </row>
    <row r="2619" spans="1:3" ht="24" customHeight="1">
      <c r="A2619" s="4" t="str">
        <f ca="1">IFERROR(__xludf.DUMMYFUNCTION("""COMPUTED_VALUE"""),"शृण्वन्सदारस्तदुदारभावं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॥नैषधीयचरितम्३.२८ ॥")</f>
        <v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॥नैषधीयचरितम्३.२८ ॥</v>
      </c>
      <c r="B2619" s="4" t="s">
        <v>11</v>
      </c>
      <c r="C2619" s="4"/>
    </row>
    <row r="2620" spans="1:3" ht="24" customHeight="1">
      <c r="A2620" s="4" t="str">
        <f ca="1">IFERROR(__xludf.DUMMYFUNCTION("""COMPUTED_VALUE"""),"सापीश्वरे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॥नैषधीयचरितम्३.२९ ॥")</f>
        <v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॥नैषधीयचरितम्३.२९ ॥</v>
      </c>
      <c r="B2620" s="4" t="s">
        <v>1</v>
      </c>
      <c r="C2620" s="4"/>
    </row>
    <row r="2621" spans="1:3" ht="24" customHeight="1">
      <c r="A2621" s="4" t="str">
        <f ca="1">IFERROR(__xludf.DUMMYFUNCTION("""COMPUTED_VALUE"""),"अलं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॥नैषधीयचरितम्३.३ ॥")</f>
        <v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॥नैषधीयचरितम्३.३ ॥</v>
      </c>
      <c r="B2621" s="4" t="s">
        <v>0</v>
      </c>
      <c r="C2621" s="4"/>
    </row>
    <row r="2622" spans="1:3" ht="24" customHeight="1">
      <c r="A2622" s="4" t="str">
        <f ca="1">IFERROR(__xludf.DUMMYFUNCTION("""COMPUTED_VALUE"""),"श्रियस्तदालिङ्गनभूर्न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॥नैषधीयचरितम्३.३१ ॥")</f>
        <v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॥नैषधीयचरितम्३.३१ ॥</v>
      </c>
      <c r="B2622" s="4" t="s">
        <v>9</v>
      </c>
      <c r="C2622" s="4"/>
    </row>
    <row r="2623" spans="1:3" ht="24" customHeight="1">
      <c r="A2623" s="4" t="str">
        <f ca="1">IFERROR(__xludf.DUMMYFUNCTION("""COMPUTED_VALUE"""),"धिक्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॥नैषधीयचरितम्३.३२ ॥")</f>
        <v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॥नैषधीयचरितम्३.३२ ॥</v>
      </c>
      <c r="B2623" s="4" t="s">
        <v>2</v>
      </c>
      <c r="C2623" s="4"/>
    </row>
    <row r="2624" spans="1:3" ht="24" customHeight="1">
      <c r="A2624" s="4" t="str">
        <f ca="1">IFERROR(__xludf.DUMMYFUNCTION("""COMPUTED_VALUE"""),"निलीयते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॥नैषधीयचरितम्३.३३ ॥")</f>
        <v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॥नैषधीयचरितम्३.३३ ॥</v>
      </c>
      <c r="B2624" s="4" t="s">
        <v>6</v>
      </c>
      <c r="C2624" s="4"/>
    </row>
    <row r="2625" spans="1:3" ht="24" customHeight="1">
      <c r="A2625" s="4" t="str">
        <f ca="1">IFERROR(__xludf.DUMMYFUNCTION("""COMPUTED_VALUE"""),"संज्ञाप्य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॥नैषधीयचरितम्३.३४ ॥")</f>
        <v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॥नैषधीयचरितम्३.३४ ॥</v>
      </c>
      <c r="B2625" s="4" t="s">
        <v>5</v>
      </c>
      <c r="C2625" s="4"/>
    </row>
    <row r="2626" spans="1:3" ht="24" customHeight="1">
      <c r="A2626" s="4" t="str">
        <f ca="1">IFERROR(__xludf.DUMMYFUNCTION("""COMPUTED_VALUE"""),"रेखाभिरास्ये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॥नैषधीयचरितम्३.३५ ॥")</f>
        <v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॥नैषधीयचरितम्३.३५ ॥</v>
      </c>
      <c r="B2626" s="4" t="s">
        <v>20</v>
      </c>
      <c r="C2626" s="4"/>
    </row>
    <row r="2627" spans="1:3" ht="24" customHeight="1">
      <c r="A2627" s="4" t="str">
        <f ca="1">IFERROR(__xludf.DUMMYFUNCTION("""COMPUTED_VALUE"""),"श्रियौ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॥नैषधीयचरितम्३.३६ ॥")</f>
        <v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॥नैषधीयचरितम्३.३६ ॥</v>
      </c>
      <c r="B2627" s="4" t="s">
        <v>20</v>
      </c>
      <c r="C2627" s="4"/>
    </row>
    <row r="2628" spans="1:3" ht="24" customHeight="1">
      <c r="A2628" s="4" t="str">
        <f ca="1">IFERROR(__xludf.DUMMYFUNCTION("""COMPUTED_VALUE"""),"विना पतत्रं विनतातनूजैः समीरणैरीक्षणलक्षणीयैः । मनोभिरासीदनणुप्रमाणैर्न लङ्घिता दिक्कतमा तदश्वैः ॥नैषधीयचरितम्३.३७ ॥")</f>
        <v>विना पतत्रं विनतातनूजैः समीरणैरीक्षणलक्षणीयैः । मनोभिरासीदनणुप्रमाणैर्न लङ्घिता दिक्कतमा तदश्वैः ॥नैषधीयचरितम्३.३७ ॥</v>
      </c>
      <c r="B2628" s="4" t="s">
        <v>4</v>
      </c>
      <c r="C2628" s="4"/>
    </row>
    <row r="2629" spans="1:3" ht="24" customHeight="1">
      <c r="A2629" s="4" t="str">
        <f ca="1">IFERROR(__xludf.DUMMYFUNCTION("""COMPUTED_VALUE"""),"संग्रामभूमीषु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॥नैषधीयचरितम्३.३८ ॥")</f>
        <v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॥नैषधीयचरितम्३.३८ ॥</v>
      </c>
      <c r="B2629" s="4" t="s">
        <v>13</v>
      </c>
      <c r="C2629" s="4"/>
    </row>
    <row r="2630" spans="1:3" ht="24" customHeight="1">
      <c r="A2630" s="4" t="str">
        <f ca="1">IFERROR(__xludf.DUMMYFUNCTION("""COMPUTED_VALUE"""),"यशो यद्स्याजनि संयुगेषु कण्डूलभावं भजता भुजेन । हेतोर्गुणादेव दिगापगालीकूलंकषत्वव्यसनं तदीयम् ॥नैषधीयचरितम्३.३९ ॥")</f>
        <v>यशो यद्स्याजनि संयुगेषु कण्डूलभावं भजता भुजेन । हेतोर्गुणादेव दिगापगालीकूलंकषत्वव्यसनं तदीयम् ॥नैषधीयचरितम्३.३९ ॥</v>
      </c>
      <c r="B2630" s="4" t="s">
        <v>5</v>
      </c>
      <c r="C2630" s="4"/>
    </row>
    <row r="2631" spans="1:3" ht="24" customHeight="1">
      <c r="A2631" s="4" t="str">
        <f ca="1">IFERROR(__xludf.DUMMYFUNCTION("""COMPUTED_VALUE"""),"यदि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॥नैषधीयचरितम्३.४ ॥")</f>
        <v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॥नैषधीयचरितम्३.४ ॥</v>
      </c>
      <c r="B2631" s="4" t="s">
        <v>5</v>
      </c>
      <c r="C2631" s="4"/>
    </row>
    <row r="2632" spans="1:3" ht="24" customHeight="1">
      <c r="A2632" s="4" t="str">
        <f ca="1">IFERROR(__xludf.DUMMYFUNCTION("""COMPUTED_VALUE"""),"अवारितद्वारतया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॥नैषधीयचरितम्३.४१ ॥")</f>
        <v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॥नैषधीयचरितम्३.४१ ॥</v>
      </c>
      <c r="B2632" s="4" t="s">
        <v>5</v>
      </c>
      <c r="C2632" s="4"/>
    </row>
    <row r="2633" spans="1:3" ht="24" customHeight="1">
      <c r="A2633" s="4" t="str">
        <f ca="1">IFERROR(__xludf.DUMMYFUNCTION("""COMPUTED_VALUE"""),"पीयूषधारानधराभिरन्तस्तासां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॥नैषधीयचरितम्३.४२ ॥")</f>
        <v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॥नैषधीयचरितम्३.४२ ॥</v>
      </c>
      <c r="B2633" s="4" t="s">
        <v>6</v>
      </c>
      <c r="C2633" s="4"/>
    </row>
    <row r="2634" spans="1:3" ht="24" customHeight="1">
      <c r="A2634" s="4" t="str">
        <f ca="1">IFERROR(__xludf.DUMMYFUNCTION("""COMPUTED_VALUE"""),"काभिर्न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॥नैषधीयचरितम्३.४३ ॥")</f>
        <v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॥नैषधीयचरितम्३.४३ ॥</v>
      </c>
      <c r="B2634" s="4" t="s">
        <v>1</v>
      </c>
      <c r="C2634" s="4"/>
    </row>
    <row r="2635" spans="1:3" ht="24" customHeight="1">
      <c r="A2635" s="4" t="str">
        <f ca="1">IFERROR(__xludf.DUMMYFUNCTION("""COMPUTED_VALUE"""),"वार्तापि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॥नैषधीयचरितम्३.४४ ॥")</f>
        <v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॥नैषधीयचरितम्३.४४ ॥</v>
      </c>
      <c r="B2635" s="4" t="s">
        <v>7</v>
      </c>
      <c r="C2635" s="4"/>
    </row>
    <row r="2636" spans="1:3" ht="24" customHeight="1">
      <c r="A2636" s="4" t="str">
        <f ca="1">IFERROR(__xludf.DUMMYFUNCTION("""COMPUTED_VALUE"""),"नलाश्रयेण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॥नैषधीयचरितम्३.४५ ॥")</f>
        <v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॥नैषधीयचरितम्३.४५ ॥</v>
      </c>
      <c r="B2636" s="4" t="s">
        <v>5</v>
      </c>
      <c r="C2636" s="4"/>
    </row>
    <row r="2637" spans="1:3" ht="24" customHeight="1">
      <c r="A2637" s="4" t="str">
        <f ca="1">IFERROR(__xludf.DUMMYFUNCTION("""COMPUTED_VALUE"""),"तन्नैषधानूढतया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॥नैषधीयचरितम्३.४६ ॥")</f>
        <v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॥नैषधीयचरितम्३.४६ ॥</v>
      </c>
      <c r="B2637" s="4" t="s">
        <v>4</v>
      </c>
      <c r="C2637" s="4"/>
    </row>
    <row r="2638" spans="1:3" ht="24" customHeight="1">
      <c r="A2638" s="4" t="str">
        <f ca="1">IFERROR(__xludf.DUMMYFUNCTION("""COMPUTED_VALUE"""),"तस्यैव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॥नैषधीयचरितम्३.४७ ॥")</f>
        <v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॥नैषधीयचरितम्३.४७ ॥</v>
      </c>
      <c r="B2638" s="4" t="s">
        <v>16</v>
      </c>
      <c r="C2638" s="4"/>
    </row>
    <row r="2639" spans="1:3" ht="24" customHeight="1">
      <c r="A2639" s="4" t="str">
        <f ca="1">IFERROR(__xludf.DUMMYFUNCTION("""COMPUTED_VALUE"""),"निशा शशाङ्कं शिवया गिरीशं शृइया हरिं योजयतः प्रतीतः । विधेरपि स्वारसिकः प्रयासः परस्परं योग्यसमागमाय ॥नैषधीयचरितम्३.४८ ॥")</f>
        <v>निशा शशाङ्कं शिवया गिरीशं शृइया हरिं योजयतः प्रतीतः । विधेरपि स्वारसिकः प्रयासः परस्परं योग्यसमागमाय ॥नैषधीयचरितम्३.४८ ॥</v>
      </c>
      <c r="B2639" s="4" t="s">
        <v>5</v>
      </c>
      <c r="C2639" s="4"/>
    </row>
    <row r="2640" spans="1:3" ht="24" customHeight="1">
      <c r="A2640" s="4" t="str">
        <f ca="1">IFERROR(__xludf.DUMMYFUNCTION("""COMPUTED_VALUE"""),"वेलातिगस्त्रैणगुणाब्धिवेणिर्न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॥नैषधीयचरितम्३.४९ ॥")</f>
        <v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॥नैषधीयचरितम्३.४९ ॥</v>
      </c>
      <c r="B2640" s="4" t="s">
        <v>1</v>
      </c>
      <c r="C2640" s="4"/>
    </row>
    <row r="2641" spans="1:3" ht="24" customHeight="1">
      <c r="A2641" s="4" t="str">
        <f ca="1">IFERROR(__xludf.DUMMYFUNCTION("""COMPUTED_VALUE"""),"विधिं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॥नैषधीयचरितम्३.५ ॥")</f>
        <v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॥नैषधीयचरितम्३.५ ॥</v>
      </c>
      <c r="B2641" s="4" t="s">
        <v>0</v>
      </c>
      <c r="C2641" s="4"/>
    </row>
    <row r="2642" spans="1:3" ht="24" customHeight="1">
      <c r="A2642" s="4" t="str">
        <f ca="1">IFERROR(__xludf.DUMMYFUNCTION("""COMPUTED_VALUE"""),"अन्येन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॥नैषधीयचरितम्३.५१ ॥")</f>
        <v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॥नैषधीयचरितम्३.५१ ॥</v>
      </c>
      <c r="B2642" s="4" t="s">
        <v>5</v>
      </c>
      <c r="C2642" s="4"/>
    </row>
    <row r="2643" spans="1:3" ht="24" customHeight="1">
      <c r="A2643" s="4" t="str">
        <f ca="1">IFERROR(__xludf.DUMMYFUNCTION("""COMPUTED_VALUE"""),"आस्तां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॥नैषधीयचरितम्३.५२ ॥")</f>
        <v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॥नैषधीयचरितम्३.५२ ॥</v>
      </c>
      <c r="B2643" s="4" t="s">
        <v>24</v>
      </c>
      <c r="C2643" s="4"/>
    </row>
    <row r="2644" spans="1:3" ht="24" customHeight="1">
      <c r="A2644" s="4" t="str">
        <f ca="1">IFERROR(__xludf.DUMMYFUNCTION("""COMPUTED_VALUE"""),"इतीरयित्वा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॥नैषधीयचरितम्३.५३ ॥")</f>
        <v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॥नैषधीयचरितम्३.५३ ॥</v>
      </c>
      <c r="B2644" s="4" t="s">
        <v>2</v>
      </c>
      <c r="C2644" s="4"/>
    </row>
    <row r="2645" spans="1:3" ht="24" customHeight="1">
      <c r="A2645" s="4" t="str">
        <f ca="1">IFERROR(__xludf.DUMMYFUNCTION("""COMPUTED_VALUE"""),"किंचित्तिरश्चीनविलोलमौलिर्विचिन्त्य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॥नैषधीयचरितम्३.५४ ॥")</f>
        <v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॥नैषधीयचरितम्३.५४ ॥</v>
      </c>
      <c r="B2645" s="4" t="s">
        <v>17</v>
      </c>
      <c r="C2645" s="4"/>
    </row>
    <row r="2646" spans="1:3" ht="24" customHeight="1">
      <c r="A2646" s="4" t="str">
        <f ca="1">IFERROR(__xludf.DUMMYFUNCTION("""COMPUTED_VALUE"""),"धिक्चापले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॥नैषधीयचरितम्३.५५ ॥")</f>
        <v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॥नैषधीयचरितम्३.५५ ॥</v>
      </c>
      <c r="B2646" s="4" t="s">
        <v>18</v>
      </c>
      <c r="C2646" s="4"/>
    </row>
    <row r="2647" spans="1:3" ht="24" customHeight="1">
      <c r="A2647" s="4" t="str">
        <f ca="1">IFERROR(__xludf.DUMMYFUNCTION("""COMPUTED_VALUE"""),"आदर्शतां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॥नैषधीयचरितम्३.५६ ॥")</f>
        <v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॥नैषधीयचरितम्३.५६ ॥</v>
      </c>
      <c r="B2647" s="4" t="s">
        <v>2</v>
      </c>
      <c r="C2647" s="4"/>
    </row>
    <row r="2648" spans="1:3" ht="24" customHeight="1">
      <c r="A2648" s="4" t="str">
        <f ca="1">IFERROR(__xludf.DUMMYFUNCTION("""COMPUTED_VALUE"""),"अनार्यमप्याचरितं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॥नैषधीयचरितम्३.५७ ॥")</f>
        <v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॥नैषधीयचरितम्३.५७ ॥</v>
      </c>
      <c r="B2648" s="4" t="s">
        <v>2</v>
      </c>
      <c r="C2648" s="4"/>
    </row>
    <row r="2649" spans="1:3" ht="24" customHeight="1">
      <c r="A2649" s="4" t="str">
        <f ca="1">IFERROR(__xludf.DUMMYFUNCTION("""COMPUTED_VALUE"""),"मत्प्रीतिमाधित्ससि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॥नैषधीयचरितम्३.५८ ॥")</f>
        <v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॥नैषधीयचरितम्३.५८ ॥</v>
      </c>
      <c r="B2649" s="4" t="s">
        <v>1</v>
      </c>
      <c r="C2649" s="4"/>
    </row>
    <row r="2650" spans="1:3" ht="24" customHeight="1">
      <c r="A2650" s="4" t="str">
        <f ca="1">IFERROR(__xludf.DUMMYFUNCTION("""COMPUTED_VALUE"""),"मनस्तु यं नोज्झति जातु यातु मनोरथः कण्ठपथं कथं सः । का नाम बाला द्विजराजपाणिग्रहाभिलाषं कथयेदलज्जा ॥नैषधीयचरितम्३.५९ ॥")</f>
        <v>मनस्तु यं नोज्झति जातु यातु मनोरथः कण्ठपथं कथं सः । का नाम बाला द्विजराजपाणिग्रहाभिलाषं कथयेदलज्जा ॥नैषधीयचरितम्३.५९ ॥</v>
      </c>
      <c r="B2650" s="4" t="s">
        <v>3</v>
      </c>
      <c r="C2650" s="4"/>
    </row>
    <row r="2651" spans="1:3" ht="24" customHeight="1">
      <c r="A2651" s="4" t="str">
        <f ca="1">IFERROR(__xludf.DUMMYFUNCTION("""COMPUTED_VALUE"""),"वाचं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॥नैषधीयचरितम्३.६ ॥")</f>
        <v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॥नैषधीयचरितम्३.६ ॥</v>
      </c>
      <c r="B2651" s="4" t="s">
        <v>1</v>
      </c>
      <c r="C2651" s="4"/>
    </row>
    <row r="2652" spans="1:3" ht="24" customHeight="1">
      <c r="A2652" s="4" t="str">
        <f ca="1">IFERROR(__xludf.DUMMYFUNCTION("""COMPUTED_VALUE"""),"मन्दाक्षमन्दाक्षरमुद्रमुक्त्वा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॥नैषधीयचरितम्३.६१ ॥")</f>
        <v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॥नैषधीयचरितम्३.६१ ॥</v>
      </c>
      <c r="B2652" s="4" t="s">
        <v>3</v>
      </c>
      <c r="C2652" s="4"/>
    </row>
    <row r="2653" spans="1:3" ht="24" customHeight="1">
      <c r="A2653" s="4" t="str">
        <f ca="1">IFERROR(__xludf.DUMMYFUNCTION("""COMPUTED_VALUE"""),"करेण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॥नैषधीयचरितम्३.६२ ॥")</f>
        <v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॥नैषधीयचरितम्३.६२ ॥</v>
      </c>
      <c r="B2653" s="4" t="s">
        <v>19</v>
      </c>
      <c r="C2653" s="4"/>
    </row>
    <row r="2654" spans="1:3" ht="24" customHeight="1">
      <c r="A2654" s="4" t="str">
        <f ca="1">IFERROR(__xludf.DUMMYFUNCTION("""COMPUTED_VALUE"""),"अवाप्यते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॥नैषधीयचरितम्३.६३ ॥")</f>
        <v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॥नैषधीयचरितम्३.६३ ॥</v>
      </c>
      <c r="B2654" s="4" t="s">
        <v>5</v>
      </c>
      <c r="C2654" s="4"/>
    </row>
    <row r="2655" spans="1:3" ht="24" customHeight="1">
      <c r="A2655" s="4" t="str">
        <f ca="1">IFERROR(__xludf.DUMMYFUNCTION("""COMPUTED_VALUE"""),"ईशाणिमैश्वर्य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॥नैषधीयचरितम्३.६४ ॥")</f>
        <v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॥नैषधीयचरितम्३.६४ ॥</v>
      </c>
      <c r="B2655" s="4" t="s">
        <v>25</v>
      </c>
      <c r="C2655" s="4"/>
    </row>
    <row r="2656" spans="1:3" ht="24" customHeight="1">
      <c r="A2656" s="4" t="str">
        <f ca="1">IFERROR(__xludf.DUMMYFUNCTION("""COMPUTED_VALUE"""),"मध्ये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॥नैषधीयचरितम्३.६५ ॥")</f>
        <v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॥नैषधीयचरितम्३.६५ ॥</v>
      </c>
      <c r="B2656" s="4" t="s">
        <v>20</v>
      </c>
      <c r="C2656" s="4"/>
    </row>
    <row r="2657" spans="1:3" ht="24" customHeight="1">
      <c r="A2657" s="4" t="str">
        <f ca="1">IFERROR(__xludf.DUMMYFUNCTION("""COMPUTED_VALUE"""),"पर्यङ्कतापन्नसरस्वदङ्कां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॥नैषधीयचरितम्३.६६ ॥")</f>
        <v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॥नैषधीयचरितम्३.६६ ॥</v>
      </c>
      <c r="B2657" s="4" t="s">
        <v>11</v>
      </c>
      <c r="C2657" s="4"/>
    </row>
    <row r="2658" spans="1:3" ht="24" customHeight="1">
      <c r="A2658" s="4" t="str">
        <f ca="1">IFERROR(__xludf.DUMMYFUNCTION("""COMPUTED_VALUE"""),"इतीरिता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॥नैषधीयचरितम्३.६७ ॥")</f>
        <v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॥नैषधीयचरितम्३.६७ ॥</v>
      </c>
      <c r="B2658" s="4" t="s">
        <v>13</v>
      </c>
      <c r="C2658" s="4"/>
    </row>
    <row r="2659" spans="1:3" ht="24" customHeight="1">
      <c r="A2659" s="4" t="str">
        <f ca="1">IFERROR(__xludf.DUMMYFUNCTION("""COMPUTED_VALUE"""),"विचिन्त्य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॥नैषधीयचरितम्३.६८ ॥")</f>
        <v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॥नैषधीयचरितम्३.६८ ॥</v>
      </c>
      <c r="B2659" s="4" t="s">
        <v>0</v>
      </c>
      <c r="C2659" s="4"/>
    </row>
    <row r="2660" spans="1:3" ht="24" customHeight="1">
      <c r="A2660" s="4" t="str">
        <f ca="1">IFERROR(__xludf.DUMMYFUNCTION("""COMPUTED_VALUE"""),"नृपेण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॥नैषधीयचरितम्३.६९ ॥")</f>
        <v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॥नैषधीयचरितम्३.६९ ॥</v>
      </c>
      <c r="B2660" s="4" t="s">
        <v>19</v>
      </c>
      <c r="C2660" s="4"/>
    </row>
    <row r="2661" spans="1:3" ht="24" customHeight="1">
      <c r="A2661" s="4" t="str">
        <f ca="1">IFERROR(__xludf.DUMMYFUNCTION("""COMPUTED_VALUE"""),"त्वच्चेतसः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॥नैषधीयचरितम्३.७ ॥")</f>
        <v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॥नैषधीयचरितम्३.७ ॥</v>
      </c>
      <c r="B2661" s="4" t="s">
        <v>5</v>
      </c>
      <c r="C2661" s="4"/>
    </row>
    <row r="2662" spans="1:3" ht="24" customHeight="1">
      <c r="A2662" s="4" t="str">
        <f ca="1">IFERROR(__xludf.DUMMYFUNCTION("""COMPUTED_VALUE"""),"महीमहेन्द्रः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॥नैषधीयचरितम्३.७१ ॥")</f>
        <v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॥नैषधीयचरितम्३.७१ ॥</v>
      </c>
      <c r="B2662" s="4" t="s">
        <v>1</v>
      </c>
      <c r="C2662" s="4"/>
    </row>
    <row r="2663" spans="1:3" ht="24" customHeight="1">
      <c r="A2663" s="4" t="str">
        <f ca="1">IFERROR(__xludf.DUMMYFUNCTION("""COMPUTED_VALUE"""),"पितर्नियोगेन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॥नैषधीयचरितम्३.७२ ॥")</f>
        <v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॥नैषधीयचरितम्३.७२ ॥</v>
      </c>
      <c r="B2663" s="4" t="s">
        <v>5</v>
      </c>
      <c r="C2663" s="4"/>
    </row>
    <row r="2664" spans="1:3" ht="24" customHeight="1">
      <c r="A2664" s="4" t="str">
        <f ca="1">IFERROR(__xludf.DUMMYFUNCTION("""COMPUTED_VALUE"""),"त्वयापि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॥नैषधीयचरितम्३.७३ ॥")</f>
        <v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॥नैषधीयचरितम्३.७३ ॥</v>
      </c>
      <c r="B2664" s="4" t="s">
        <v>4</v>
      </c>
      <c r="C2664" s="4"/>
    </row>
    <row r="2665" spans="1:3" ht="24" customHeight="1">
      <c r="A2665" s="4" t="str">
        <f ca="1">IFERROR(__xludf.DUMMYFUNCTION("""COMPUTED_VALUE"""),"श्रवः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॥नैषधीयचरितम्३.७४ ॥")</f>
        <v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॥नैषधीयचरितम्३.७४ ॥</v>
      </c>
      <c r="B2665" s="4" t="s">
        <v>0</v>
      </c>
      <c r="C2665" s="4"/>
    </row>
    <row r="2666" spans="1:3" ht="24" customHeight="1">
      <c r="A2666" s="4" t="str">
        <f ca="1">IFERROR(__xludf.DUMMYFUNCTION("""COMPUTED_VALUE"""),"मदन्यदानं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॥नैषधीयचरितम्३.७५ ॥")</f>
        <v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॥नैषधीयचरितम्३.७५ ॥</v>
      </c>
      <c r="B2666" s="4" t="s">
        <v>5</v>
      </c>
      <c r="C2666" s="4"/>
    </row>
    <row r="2667" spans="1:3" ht="24" customHeight="1">
      <c r="A2667" s="4" t="str">
        <f ca="1">IFERROR(__xludf.DUMMYFUNCTION("""COMPUTED_VALUE"""),"सरोजिनीमानसरागवृत्तेरनर्कसंपर्कमतर्कयित्वा । मदन्यपाणिग्रहशङ्कितेयमहो महीयस्तव साहसिक्यम् ॥नैषधीयचरितम्३.७६ ॥")</f>
        <v>सरोजिनीमानसरागवृत्तेरनर्कसंपर्कमतर्कयित्वा । मदन्यपाणिग्रहशङ्कितेयमहो महीयस्तव साहसिक्यम् ॥नैषधीयचरितम्३.७६ ॥</v>
      </c>
      <c r="B2667" s="4" t="s">
        <v>5</v>
      </c>
      <c r="C2667" s="4"/>
    </row>
    <row r="2668" spans="1:3" ht="24" customHeight="1">
      <c r="A2668" s="4" t="str">
        <f ca="1">IFERROR(__xludf.DUMMYFUNCTION("""COMPUTED_VALUE"""),"साधु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॥नैषधीयचरितम्३.७७ ॥")</f>
        <v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॥नैषधीयचरितम्३.७७ ॥</v>
      </c>
      <c r="B2668" s="4" t="s">
        <v>2</v>
      </c>
      <c r="C2668" s="4"/>
    </row>
    <row r="2669" spans="1:3" ht="24" customHeight="1">
      <c r="A2669" s="4" t="str">
        <f ca="1">IFERROR(__xludf.DUMMYFUNCTION("""COMPUTED_VALUE"""),"मद्विप्रलभ्यं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॥नैषधीयचरितम्३.७८ ॥")</f>
        <v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॥नैषधीयचरितम्३.७८ ॥</v>
      </c>
      <c r="B2669" s="4" t="s">
        <v>2</v>
      </c>
      <c r="C2669" s="4"/>
    </row>
    <row r="2670" spans="1:3" ht="24" customHeight="1">
      <c r="A2670" s="4" t="str">
        <f ca="1">IFERROR(__xludf.DUMMYFUNCTION("""COMPUTED_VALUE"""),"अनैषधायैव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॥नैषधीयचरितम्३.७९ ॥")</f>
        <v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॥नैषधीयचरितम्३.७९ ॥</v>
      </c>
      <c r="B2670" s="4" t="s">
        <v>9</v>
      </c>
      <c r="C2670" s="4"/>
    </row>
    <row r="2671" spans="1:3" ht="24" customHeight="1">
      <c r="A2671" s="4" t="str">
        <f ca="1">IFERROR(__xludf.DUMMYFUNCTION("""COMPUTED_VALUE"""),"तदेकदासीत्वपदादुदग्रे मदीप्सिते साधु विधित्सुता ते । अहेलिना किं नलिनी विधत्ते सुधाकरेणापि सुधाकरेण ॥नैषधीयचरितम्३.८ ॥")</f>
        <v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॥नैषधीयचरितम्३.८ ॥</v>
      </c>
      <c r="B2671" s="4" t="s">
        <v>7</v>
      </c>
      <c r="C2671" s="4"/>
    </row>
    <row r="2672" spans="1:3" ht="24" customHeight="1">
      <c r="A2672" s="4" t="str">
        <f ca="1">IFERROR(__xludf.DUMMYFUNCTION("""COMPUTED_VALUE"""),"तदेकलुब्धे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॥नैषधीयचरितम्३.८१ ॥")</f>
        <v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॥नैषधीयचरितम्३.८१ ॥</v>
      </c>
      <c r="B2672" s="4" t="s">
        <v>4</v>
      </c>
      <c r="C2672" s="4"/>
    </row>
    <row r="2673" spans="1:3" ht="24" customHeight="1">
      <c r="A2673" s="4" t="str">
        <f ca="1">IFERROR(__xludf.DUMMYFUNCTION("""COMPUTED_VALUE"""),"श्रुतः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॥नैषधीयचरितम्३.८२ ॥")</f>
        <v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॥नैषधीयचरितम्३.८२ ॥</v>
      </c>
      <c r="B2673" s="4" t="s">
        <v>13</v>
      </c>
      <c r="C2673" s="4"/>
    </row>
    <row r="2674" spans="1:3" ht="24" customHeight="1">
      <c r="A2674" s="4" t="str">
        <f ca="1">IFERROR(__xludf.DUMMYFUNCTION("""COMPUTED_VALUE"""),"संचीयतामाश्रुतपालनोत्थं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॥नैषधीयचरितम्३.८३ ॥")</f>
        <v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॥नैषधीयचरितम्३.८३ ॥</v>
      </c>
      <c r="B2674" s="4" t="s">
        <v>19</v>
      </c>
      <c r="C2674" s="4"/>
    </row>
    <row r="2675" spans="1:3" ht="24" customHeight="1">
      <c r="A2675" s="4" t="str">
        <f ca="1">IFERROR(__xludf.DUMMYFUNCTION("""COMPUTED_VALUE"""),"अलं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॥नैषधीयचरितम्३.८४ ॥")</f>
        <v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॥नैषधीयचरितम्३.८४ ॥</v>
      </c>
      <c r="B2675" s="4" t="s">
        <v>11</v>
      </c>
      <c r="C2675" s="4"/>
    </row>
    <row r="2676" spans="1:3" ht="24" customHeight="1">
      <c r="A2676" s="4" t="str">
        <f ca="1">IFERROR(__xludf.DUMMYFUNCTION("""COMPUTED_VALUE"""),"स्वजीवमप्याऋतमुदे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॥नैषधीयचरितम्३.८५ ॥")</f>
        <v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॥नैषधीयचरितम्३.८५ ॥</v>
      </c>
      <c r="B2676" s="4" t="s">
        <v>2</v>
      </c>
      <c r="C2676" s="4"/>
    </row>
    <row r="2677" spans="1:3" ht="24" customHeight="1">
      <c r="A2677" s="4" t="str">
        <f ca="1">IFERROR(__xludf.DUMMYFUNCTION("""COMPUTED_VALUE"""),"दत्वात्मजीवं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॥")</f>
        <v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v>
      </c>
      <c r="B2677" s="4" t="s">
        <v>1</v>
      </c>
      <c r="C2677" s="4"/>
    </row>
    <row r="2678" spans="1:3" ht="24" customHeight="1">
      <c r="A2678" s="4" t="str">
        <f ca="1">IFERROR(__xludf.DUMMYFUNCTION("""COMPUTED_VALUE"""),"क्रीणीष्व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॥नैषधीयचरितम्३.८७ ॥")</f>
        <v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॥नैषधीयचरितम्३.८७ ॥</v>
      </c>
      <c r="B2678" s="4" t="s">
        <v>2</v>
      </c>
      <c r="C2678" s="4"/>
    </row>
    <row r="2679" spans="1:3" ht="24" customHeight="1">
      <c r="A2679" s="4" t="str">
        <f ca="1">IFERROR(__xludf.DUMMYFUNCTION("""COMPUTED_VALUE"""),"वराटिकोपक्रिययापि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॥नैषधीयचरितम्३.८८ ॥")</f>
        <v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॥नैषधीयचरितम्३.८८ ॥</v>
      </c>
      <c r="B2679" s="4" t="s">
        <v>2</v>
      </c>
      <c r="C2679" s="4"/>
    </row>
    <row r="2680" spans="1:3" ht="24" customHeight="1">
      <c r="A2680" s="4" t="str">
        <f ca="1">IFERROR(__xludf.DUMMYFUNCTION("""COMPUTED_VALUE"""),"स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॥नैषधीयचरितम्३.८९ ॥")</f>
        <v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॥नैषधीयचरितम्३.८९ ॥</v>
      </c>
      <c r="B2680" s="4" t="s">
        <v>6</v>
      </c>
      <c r="C2680" s="4"/>
    </row>
    <row r="2681" spans="1:3" ht="24" customHeight="1">
      <c r="A2681" s="4" t="str">
        <f ca="1">IFERROR(__xludf.DUMMYFUNCTION("""COMPUTED_VALUE"""),"अकाण्डमेवात्मभुवार्जितस्य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॥नैषधीयचरितम्३.९ ॥")</f>
        <v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॥नैषधीयचरितम्३.९ ॥</v>
      </c>
      <c r="B2681" s="4" t="s">
        <v>5</v>
      </c>
      <c r="C2681" s="4"/>
    </row>
    <row r="2682" spans="1:3" ht="24" customHeight="1">
      <c r="A2682" s="4" t="str">
        <f ca="1">IFERROR(__xludf.DUMMYFUNCTION("""COMPUTED_VALUE"""),"अलं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॥नैषधीयचरितम्३.९१ ॥")</f>
        <v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॥नैषधीयचरितम्३.९१ ॥</v>
      </c>
      <c r="B2682" s="4" t="s">
        <v>2</v>
      </c>
      <c r="C2682" s="4"/>
    </row>
    <row r="2683" spans="1:3" ht="24" customHeight="1">
      <c r="A2683" s="4" t="str">
        <f ca="1">IFERROR(__xludf.DUMMYFUNCTION("""COMPUTED_VALUE"""),"अभ्यर्थनीयः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॥नैषधीयचरितम्३.९२ ॥")</f>
        <v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॥नैषधीयचरितम्३.९२ ॥</v>
      </c>
      <c r="B2683" s="4" t="s">
        <v>20</v>
      </c>
      <c r="C2683" s="4"/>
    </row>
    <row r="2684" spans="1:3" ht="24" customHeight="1">
      <c r="A2684" s="4" t="str">
        <f ca="1">IFERROR(__xludf.DUMMYFUNCTION("""COMPUTED_VALUE"""),"शुद्धान्तसंभोगनितान्ततुष्टे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॥नैषधीयचरितम्३.९३ ॥")</f>
        <v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॥नैषधीयचरितम्३.९३ ॥</v>
      </c>
      <c r="B2684" s="4" t="s">
        <v>0</v>
      </c>
      <c r="C2684" s="4"/>
    </row>
    <row r="2685" spans="1:3" ht="24" customHeight="1">
      <c r="A2685" s="4" t="str">
        <f ca="1">IFERROR(__xludf.DUMMYFUNCTION("""COMPUTED_VALUE"""),"त्वया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॥नैषधीयचरितम्३.९४ ॥")</f>
        <v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॥नैषधीयचरितम्३.९४ ॥</v>
      </c>
      <c r="B2685" s="4" t="s">
        <v>18</v>
      </c>
      <c r="C2685" s="4"/>
    </row>
    <row r="2686" spans="1:3" ht="24" customHeight="1">
      <c r="A2686" s="4" t="str">
        <f ca="1">IFERROR(__xludf.DUMMYFUNCTION("""COMPUTED_VALUE"""),"धरातुराषाहि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॥नैषधीयचरितम्३.९५ ॥")</f>
        <v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॥नैषधीयचरितम्३.९५ ॥</v>
      </c>
      <c r="B2686" s="4" t="s">
        <v>0</v>
      </c>
      <c r="C2686" s="4"/>
    </row>
    <row r="2687" spans="1:3" ht="24" customHeight="1">
      <c r="A2687" s="4" t="str">
        <f ca="1">IFERROR(__xludf.DUMMYFUNCTION("""COMPUTED_VALUE"""),"विज्ञेन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॥नैषधीयचरितम्३.९६ ॥")</f>
        <v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॥नैषधीयचरितम्३.९६ ॥</v>
      </c>
      <c r="B2687" s="4" t="s">
        <v>2</v>
      </c>
      <c r="C2687" s="4"/>
    </row>
    <row r="2688" spans="1:3" ht="24" customHeight="1">
      <c r="A2688" s="4" t="str">
        <f ca="1">IFERROR(__xludf.DUMMYFUNCTION("""COMPUTED_VALUE"""),"इत्युक्तवत्या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॥नैषधीयचरितम्३.९७ ॥")</f>
        <v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॥नैषधीयचरितम्३.९७ ॥</v>
      </c>
      <c r="B2688" s="4" t="s">
        <v>2</v>
      </c>
      <c r="C2688" s="4"/>
    </row>
    <row r="2689" spans="1:3" ht="24" customHeight="1">
      <c r="A2689" s="4" t="str">
        <f ca="1">IFERROR(__xludf.DUMMYFUNCTION("""COMPUTED_VALUE"""),"उन्मत्तमासाद्य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॥नैषधीयचरितम्३.९८ ॥")</f>
        <v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॥नैषधीयचरितम्३.९८ ॥</v>
      </c>
      <c r="B2689" s="4" t="s">
        <v>1</v>
      </c>
      <c r="C2689" s="4"/>
    </row>
    <row r="2690" spans="1:3" ht="24" customHeight="1">
      <c r="A2690" s="4" t="str">
        <f ca="1">IFERROR(__xludf.DUMMYFUNCTION("""COMPUTED_VALUE"""),"तथाभिधात्रीमथ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॥नैषधीयचरितम्३.९९ ॥")</f>
        <v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॥नैषधीयचरितम्३.९९ ॥</v>
      </c>
      <c r="B2690" s="4" t="s">
        <v>5</v>
      </c>
      <c r="C2690" s="4"/>
    </row>
    <row r="2691" spans="1:3" ht="24" customHeight="1">
      <c r="A2691" s="4" t="str">
        <f ca="1">IFERROR(__xludf.DUMMYFUNCTION("""COMPUTED_VALUE"""),"इदं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॥नैषधीयचरितम्३.१ ॥")</f>
        <v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॥नैषधीयचरितम्३.१ ॥</v>
      </c>
      <c r="B2691" s="4" t="s">
        <v>5</v>
      </c>
      <c r="C2691" s="4"/>
    </row>
    <row r="2692" spans="1:3" ht="24" customHeight="1">
      <c r="A2692" s="4" t="str">
        <f ca="1">IFERROR(__xludf.DUMMYFUNCTION("""COMPUTED_VALUE"""),"त्वदबद्धबुद्धेर्बहिरिन्द्रियाणां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॥नैषधीयचरितम्३.१०१ ॥")</f>
        <v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॥नैषधीयचरितम्३.१०१ ॥</v>
      </c>
      <c r="B2692" s="4" t="s">
        <v>2</v>
      </c>
      <c r="C2692" s="4"/>
    </row>
    <row r="2693" spans="1:3" ht="24" customHeight="1">
      <c r="A2693" s="4" t="str">
        <f ca="1">IFERROR(__xludf.DUMMYFUNCTION("""COMPUTED_VALUE"""),"तुल्यावयोर्मूर्तिरभून्मदीया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॥नैषधीयचरितम्३.१०२ ॥")</f>
        <v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॥नैषधीयचरितम्३.१०२ ॥</v>
      </c>
      <c r="B2693" s="4" t="s">
        <v>2</v>
      </c>
      <c r="C2693" s="4"/>
    </row>
    <row r="2694" spans="1:3" ht="24" customHeight="1">
      <c r="A2694" s="4" t="str">
        <f ca="1">IFERROR(__xludf.DUMMYFUNCTION("""COMPUTED_VALUE"""),"लिपिं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॥नैषधीयचरितम्३.१०३ ॥")</f>
        <v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॥नैषधीयचरितम्३.१०३ ॥</v>
      </c>
      <c r="B2694" s="4" t="s">
        <v>1</v>
      </c>
      <c r="C2694" s="4"/>
    </row>
    <row r="2695" spans="1:3" ht="24" customHeight="1">
      <c r="A2695" s="4" t="str">
        <f ca="1">IFERROR(__xludf.DUMMYFUNCTION("""COMPUTED_VALUE"""),"पातुर्दृशालेख्यमयीं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॥नैषधीयचरितम्३.१०४ ॥")</f>
        <v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॥नैषधीयचरितम्३.१०४ ॥</v>
      </c>
      <c r="B2695" s="4" t="s">
        <v>17</v>
      </c>
      <c r="C2695" s="4"/>
    </row>
    <row r="2696" spans="1:3" ht="24" customHeight="1">
      <c r="A2696" s="4" t="str">
        <f ca="1">IFERROR(__xludf.DUMMYFUNCTION("""COMPUTED_VALUE"""),"त्वं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॥नैषधीयचरितम्३.१०५ ॥")</f>
        <v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॥नैषधीयचरितम्३.१०५ ॥</v>
      </c>
      <c r="B2696" s="4" t="s">
        <v>2</v>
      </c>
      <c r="C2696" s="4"/>
    </row>
    <row r="2697" spans="1:3" ht="24" customHeight="1">
      <c r="A2697" s="4" t="str">
        <f ca="1">IFERROR(__xludf.DUMMYFUNCTION("""COMPUTED_VALUE"""),"अजस्रमारोहसि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॥नैषधीयचरितम्३.१०६ ॥")</f>
        <v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॥नैषधीयचरितम्३.१०६ ॥</v>
      </c>
      <c r="B2697" s="4" t="s">
        <v>5</v>
      </c>
      <c r="C2697" s="4"/>
    </row>
    <row r="2698" spans="1:3" ht="24" customHeight="1">
      <c r="A2698" s="4" t="str">
        <f ca="1">IFERROR(__xludf.DUMMYFUNCTION("""COMPUTED_VALUE"""),"हृतस्य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॥नैषधीयचरितम्३.१०७ ॥")</f>
        <v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॥नैषधीयचरितम्३.१०७ ॥</v>
      </c>
      <c r="B2698" s="4" t="s">
        <v>5</v>
      </c>
      <c r="C2698" s="4"/>
    </row>
    <row r="2699" spans="1:3" ht="24" customHeight="1">
      <c r="A2699" s="4" t="str">
        <f ca="1">IFERROR(__xludf.DUMMYFUNCTION("""COMPUTED_VALUE"""),"स्थितस्य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॥नैषधीयचरितम्३.१०८ ॥")</f>
        <v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॥नैषधीयचरितम्३.१०८ ॥</v>
      </c>
      <c r="B2699" s="4" t="s">
        <v>4</v>
      </c>
      <c r="C2699" s="4"/>
    </row>
    <row r="2700" spans="1:3" ht="24" customHeight="1">
      <c r="A2700" s="4" t="str">
        <f ca="1">IFERROR(__xludf.DUMMYFUNCTION("""COMPUTED_VALUE"""),"स्मरेण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॥नैषधीयचरितम्३.१०९ ॥")</f>
        <v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॥नैषधीयचरितम्३.१०९ ॥</v>
      </c>
      <c r="B2700" s="4" t="s">
        <v>1</v>
      </c>
      <c r="C2700" s="4"/>
    </row>
    <row r="2701" spans="1:3" ht="24" customHeight="1">
      <c r="A2701" s="4" t="str">
        <f ca="1">IFERROR(__xludf.DUMMYFUNCTION("""COMPUTED_VALUE"""),"त्वत्प्रापकात्त्रस्यति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॥नैषधीयचरितम्३.११ ॥")</f>
        <v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॥नैषधीयचरितम्३.११ ॥</v>
      </c>
      <c r="B2701" s="4" t="s">
        <v>5</v>
      </c>
      <c r="C2701" s="4"/>
    </row>
    <row r="2702" spans="1:3" ht="24" customHeight="1">
      <c r="A2702" s="4" t="str">
        <f ca="1">IFERROR(__xludf.DUMMYFUNCTION("""COMPUTED_VALUE"""),"स्मारं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॥नैषधीयचरितम्३.१११ ॥")</f>
        <v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॥नैषधीयचरितम्३.१११ ॥</v>
      </c>
      <c r="B2702" s="4" t="s">
        <v>3</v>
      </c>
      <c r="C2702" s="4"/>
    </row>
    <row r="2703" spans="1:3" ht="24" customHeight="1">
      <c r="A2703" s="4" t="str">
        <f ca="1">IFERROR(__xludf.DUMMYFUNCTION("""COMPUTED_VALUE"""),"बिभेति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॥नैषधीयचरितम्३.११२ ॥")</f>
        <v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॥नैषधीयचरितम्३.११२ ॥</v>
      </c>
      <c r="B2703" s="4" t="s">
        <v>20</v>
      </c>
      <c r="C2703" s="4"/>
    </row>
    <row r="2704" spans="1:3" ht="24" customHeight="1">
      <c r="A2704" s="4" t="str">
        <f ca="1">IFERROR(__xludf.DUMMYFUNCTION("""COMPUTED_VALUE"""),"भवद्वियोगाच्छिदुरार्तिधारा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॥नैषधीयचरितम्३.११३ ॥")</f>
        <v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॥नैषधीयचरितम्३.११३ ॥</v>
      </c>
      <c r="B2704" s="4" t="s">
        <v>5</v>
      </c>
      <c r="C2704" s="4"/>
    </row>
    <row r="2705" spans="1:3" ht="24" customHeight="1">
      <c r="A2705" s="4" t="str">
        <f ca="1">IFERROR(__xludf.DUMMYFUNCTION("""COMPUTED_VALUE"""),"सव्यापसव्यत्यजनाद्द्विरुक्तैः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॥नैषधीयचरितम्३.११४ ॥")</f>
        <v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॥नैषधीयचरितम्३.११४ ॥</v>
      </c>
      <c r="B2705" s="4" t="s">
        <v>7</v>
      </c>
      <c r="C2705" s="4"/>
    </row>
    <row r="2706" spans="1:3" ht="24" customHeight="1">
      <c r="A2706" s="4" t="str">
        <f ca="1">IFERROR(__xludf.DUMMYFUNCTION("""COMPUTED_VALUE"""),"त्वयि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॥नैषधीयचरितम्३.११५ ॥")</f>
        <v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॥नैषधीयचरितम्३.११५ ॥</v>
      </c>
      <c r="B2706" s="4" t="s">
        <v>5</v>
      </c>
      <c r="C2706" s="4"/>
    </row>
    <row r="2707" spans="1:3" ht="24" customHeight="1">
      <c r="A2707" s="4" t="str">
        <f ca="1">IFERROR(__xludf.DUMMYFUNCTION("""COMPUTED_VALUE"""),"धन्यासि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॥नैषधीयचरितम्३.११६ ॥")</f>
        <v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॥नैषधीयचरितम्३.११६ ॥</v>
      </c>
      <c r="B2707" s="4" t="s">
        <v>2</v>
      </c>
      <c r="C2707" s="4"/>
    </row>
    <row r="2708" spans="1:3" ht="24" customHeight="1">
      <c r="A2708" s="4" t="str">
        <f ca="1">IFERROR(__xludf.DUMMYFUNCTION("""COMPUTED_VALUE"""),"नलेन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॥नैषधीयचरितम्३.११७ ॥")</f>
        <v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॥नैषधीयचरितम्३.११७ ॥</v>
      </c>
      <c r="B2708" s="4" t="s">
        <v>13</v>
      </c>
      <c r="C2708" s="4"/>
    </row>
    <row r="2709" spans="1:3" ht="24" customHeight="1">
      <c r="A2709" s="4" t="str">
        <f ca="1">IFERROR(__xludf.DUMMYFUNCTION("""COMPUTED_VALUE"""),"स्तनद्वये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॥नैषधीयचरितम्३.११८ ॥")</f>
        <v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॥नैषधीयचरितम्३.११८ ॥</v>
      </c>
      <c r="B2709" s="4" t="s">
        <v>2</v>
      </c>
      <c r="C2709" s="4"/>
    </row>
    <row r="2710" spans="1:3" ht="24" customHeight="1">
      <c r="A2710" s="4" t="str">
        <f ca="1">IFERROR(__xludf.DUMMYFUNCTION("""COMPUTED_VALUE"""),"एकः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॥नैषधीयचरितम्३.११९ ॥")</f>
        <v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॥नैषधीयचरितम्३.११९ ॥</v>
      </c>
      <c r="B2710" s="4" t="s">
        <v>5</v>
      </c>
      <c r="C2710" s="4"/>
    </row>
    <row r="2711" spans="1:3" ht="24" customHeight="1">
      <c r="A2711" s="4" t="str">
        <f ca="1">IFERROR(__xludf.DUMMYFUNCTION("""COMPUTED_VALUE"""),"अहो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॥नैषधीयचरितम्३.१२ ॥")</f>
        <v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॥नैषधीयचरितम्३.१२ ॥</v>
      </c>
      <c r="B2711" s="4" t="s">
        <v>26</v>
      </c>
      <c r="C2711" s="4"/>
    </row>
    <row r="2712" spans="1:3" ht="24" customHeight="1">
      <c r="A2712" s="4" t="str">
        <f ca="1">IFERROR(__xludf.DUMMYFUNCTION("""COMPUTED_VALUE"""),"यस्ते नवः पल्लवितः कराभ्यां स्मितेन यः कोरकितस्तवास्ते ॥नैषधीयचरितम्अङ्गम्रदिम्ना तव पुष्पितो यः स्तनश्रिया यः फलितस्तवैव ॥ ३.१२१ ॥")</f>
        <v>यस्ते नवः पल्लवितः कराभ्यां स्मितेन यः कोरकितस्तवास्ते ॥नैषधीयचरितम्अङ्गम्रदिम्ना तव पुष्पितो यः स्तनश्रिया यः फलितस्तवैव ॥ ३.१२१ ॥</v>
      </c>
      <c r="B2712" s="4" t="s">
        <v>4</v>
      </c>
      <c r="C2712" s="4"/>
    </row>
    <row r="2713" spans="1:3" ht="24" customHeight="1">
      <c r="A2713" s="4" t="str">
        <f ca="1">IFERROR(__xludf.DUMMYFUNCTION("""COMPUTED_VALUE"""),"कांसीकृतासीत्खलु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॥नैषधीयचरितम्३.१२२ ॥")</f>
        <v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॥नैषधीयचरितम्३.१२२ ॥</v>
      </c>
      <c r="B2713" s="4" t="s">
        <v>4</v>
      </c>
      <c r="C2713" s="4"/>
    </row>
    <row r="2714" spans="1:3" ht="24" customHeight="1">
      <c r="A2714" s="4" t="str">
        <f ca="1">IFERROR(__xludf.DUMMYFUNCTION("""COMPUTED_VALUE"""),"सत्त्वस्रुतस्वेदमधूत्थसान्द्रे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॥नैषधीयचरितम्३.१२३ ॥")</f>
        <v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॥नैषधीयचरितम्३.१२३ ॥</v>
      </c>
      <c r="B2714" s="4" t="s">
        <v>5</v>
      </c>
      <c r="C2714" s="4"/>
    </row>
    <row r="2715" spans="1:3" ht="24" customHeight="1">
      <c r="A2715" s="4" t="str">
        <f ca="1">IFERROR(__xludf.DUMMYFUNCTION("""COMPUTED_VALUE"""),"बन्धाढ्यनानारतमल्लयुद्धप्रमोदितैः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॥नैषधीयचरितम्३.१२४ ॥")</f>
        <v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॥नैषधीयचरितम्३.१२४ ॥</v>
      </c>
      <c r="B2715" s="4" t="s">
        <v>1</v>
      </c>
      <c r="C2715" s="4"/>
    </row>
    <row r="2716" spans="1:3" ht="24" customHeight="1">
      <c r="A2716" s="4" t="str">
        <f ca="1">IFERROR(__xludf.DUMMYFUNCTION("""COMPUTED_VALUE"""),"अन्योन्यसंगमवशादधुना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॥नैषधीयचरितम्३.१२५ ॥")</f>
        <v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॥नैषधीयचरितम्३.१२५ ॥</v>
      </c>
      <c r="B2716" s="4" t="s">
        <v>12</v>
      </c>
      <c r="C2716" s="4"/>
    </row>
    <row r="2717" spans="1:3" ht="24" customHeight="1">
      <c r="A2717" s="4" t="str">
        <f ca="1">IFERROR(__xludf.DUMMYFUNCTION("""COMPUTED_VALUE"""),"कामः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॥नैषधीयचरितम्३.१२६ ॥")</f>
        <v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॥नैषधीयचरितम्३.१२६ ॥</v>
      </c>
      <c r="B2717" s="4" t="s">
        <v>5</v>
      </c>
      <c r="C2717" s="4"/>
    </row>
    <row r="2718" spans="1:3" ht="24" customHeight="1">
      <c r="A2718" s="4" t="str">
        <f ca="1">IFERROR(__xludf.DUMMYFUNCTION("""COMPUTED_VALUE"""),"त्वद्गुच्छावलिमौक्तिकानि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॥नैषधीयचरितम्३.१२७ ॥")</f>
        <v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॥नैषधीयचरितम्३.१२७ ॥</v>
      </c>
      <c r="B2718" s="4" t="s">
        <v>2</v>
      </c>
      <c r="C2718" s="4"/>
    </row>
    <row r="2719" spans="1:3" ht="24" customHeight="1">
      <c r="A2719" s="4" t="str">
        <f ca="1">IFERROR(__xludf.DUMMYFUNCTION("""COMPUTED_VALUE"""),"पुष्पेषुश्चिकुरेषु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॥नैषधीयचरितम्३.१२८ ॥")</f>
        <v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॥नैषधीयचरितम्३.१२८ ॥</v>
      </c>
      <c r="B2719" s="4" t="s">
        <v>2</v>
      </c>
      <c r="C2719" s="4"/>
    </row>
    <row r="2720" spans="1:3" ht="24" customHeight="1">
      <c r="A2720" s="4" t="str">
        <f ca="1">IFERROR(__xludf.DUMMYFUNCTION("""COMPUTED_VALUE"""),"इत्यालपत्यथ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॥नैषधीयचरितम्३.१२९ ॥")</f>
        <v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॥नैषधीयचरितम्३.१२९ ॥</v>
      </c>
      <c r="B2720" s="4" t="s">
        <v>1</v>
      </c>
      <c r="C2720" s="4"/>
    </row>
    <row r="2721" spans="1:3" ht="24" customHeight="1">
      <c r="A2721" s="4" t="str">
        <f ca="1">IFERROR(__xludf.DUMMYFUNCTION("""COMPUTED_VALUE"""),"अथ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॥नैषधीयचरितम्४.१ ॥")</f>
        <v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॥नैषधीयचरितम्४.१ ॥</v>
      </c>
      <c r="B2721" s="4" t="s">
        <v>2</v>
      </c>
      <c r="C2721" s="4"/>
    </row>
    <row r="2722" spans="1:3" ht="24" customHeight="1">
      <c r="A2722" s="4" t="str">
        <f ca="1">IFERROR(__xludf.DUMMYFUNCTION("""COMPUTED_VALUE"""),"यदतनुज्वरभाक्तनुते स्म सा प्रियकथासरसीरसमञ्जनम् । सपदि तस्य चिरान्तरतापिनी परिणतिर्विषमा समपद्यत ॥नैषधीयचरितम्४.२ ॥")</f>
        <v>यदतनुज्वरभाक्तनुते स्म सा प्रियकथासरसीरसमञ्जनम् । सपदि तस्य चिरान्तरतापिनी परिणतिर्विषमा समपद्यत ॥नैषधीयचरितम्४.२ ॥</v>
      </c>
      <c r="B2722" s="4" t="s">
        <v>2</v>
      </c>
      <c r="C2722" s="4"/>
    </row>
    <row r="2723" spans="1:3" ht="24" customHeight="1">
      <c r="A2723" s="4" t="str">
        <f ca="1">IFERROR(__xludf.DUMMYFUNCTION("""COMPUTED_VALUE"""),"ध्रुवमधीतवतीयमधीरतां दयितदूतपतद्गतवेगतः । स्थितिविरोधकरीं द्व्यणुकोदरी तदुदितः स हि यो यदनन्तरः ॥नैषधीयचरितम्४.३ ॥")</f>
        <v>ध्रुवमधीतवतीयमधीरतां दयितदूतपतद्गतवेगतः । स्थितिविरोधकरीं द्व्यणुकोदरी तदुदितः स हि यो यदनन्तरः ॥नैषधीयचरितम्४.३ ॥</v>
      </c>
      <c r="B2723" s="4" t="s">
        <v>0</v>
      </c>
      <c r="C2723" s="4"/>
    </row>
    <row r="2724" spans="1:3" ht="24" customHeight="1">
      <c r="A2724" s="4" t="str">
        <f ca="1">IFERROR(__xludf.DUMMYFUNCTION("""COMPUTED_VALUE"""),"अतितमां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॥नैषधीयचरितम्४.४ ॥")</f>
        <v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॥नैषधीयचरितम्४.४ ॥</v>
      </c>
      <c r="B2724" s="4" t="s">
        <v>1</v>
      </c>
      <c r="C2724" s="4"/>
    </row>
    <row r="2725" spans="1:3" ht="24" customHeight="1">
      <c r="A2725" s="4" t="str">
        <f ca="1">IFERROR(__xludf.DUMMYFUNCTION("""COMPUTED_VALUE"""),"किमु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॥नैषधीयचरितम्४.५ ॥")</f>
        <v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॥नैषधीयचरितम्४.५ ॥</v>
      </c>
      <c r="B2725" s="4" t="s">
        <v>2</v>
      </c>
      <c r="C2725" s="4"/>
    </row>
    <row r="2726" spans="1:3" ht="24" customHeight="1">
      <c r="A2726" s="4" t="str">
        <f ca="1">IFERROR(__xludf.DUMMYFUNCTION("""COMPUTED_VALUE"""),"कुसुमचापजतापसमाकुलं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॥नैषधीयचरितम्४.६ ॥")</f>
        <v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॥नैषधीयचरितम्४.६ ॥</v>
      </c>
      <c r="B2726" s="4" t="s">
        <v>20</v>
      </c>
      <c r="C2726" s="4"/>
    </row>
    <row r="2727" spans="1:3" ht="24" customHeight="1">
      <c r="A2727" s="4" t="str">
        <f ca="1">IFERROR(__xludf.DUMMYFUNCTION("""COMPUTED_VALUE"""),"तरुणतातरणिद्युतिनिर्मितद्रढिम तत्कुचकुम्भयुगं तदा । अनलसंगतितापमुपैतु नो कुसुमचापकुलाअलविलासजम् ॥नैषधीयचरितम्४.७ ॥")</f>
        <v>तरुणतातरणिद्युतिनिर्मितद्रढिम तत्कुचकुम्भयुगं तदा । अनलसंगतितापमुपैतु नो कुसुमचापकुलाअलविलासजम् ॥नैषधीयचरितम्४.७ ॥</v>
      </c>
      <c r="B2727" s="4" t="s">
        <v>3</v>
      </c>
      <c r="C2727" s="4"/>
    </row>
    <row r="2728" spans="1:3" ht="24" customHeight="1">
      <c r="A2728" s="4" t="str">
        <f ca="1">IFERROR(__xludf.DUMMYFUNCTION("""COMPUTED_VALUE"""),"अधृत थद्विरहोष्मणि मज्जितं मनसिजेन तदूरुयुगं तदा । स्पृशति तत्कदं कदलीतरुर्यदि मरुज्वलदूषरदूषितः ॥नैषधीयचरितम्४.८ ॥")</f>
        <v>अधृत थद्विरहोष्मणि मज्जितं मनसिजेन तदूरुयुगं तदा । स्पृशति तत्कदं कदलीतरुर्यदि मरुज्वलदूषरदूषितः ॥नैषधीयचरितम्४.८ ॥</v>
      </c>
      <c r="B2728" s="4" t="s">
        <v>2</v>
      </c>
      <c r="C2728" s="4"/>
    </row>
    <row r="2729" spans="1:3" ht="24" customHeight="1">
      <c r="A2729" s="4" t="str">
        <f ca="1">IFERROR(__xludf.DUMMYFUNCTION("""COMPUTED_VALUE"""),"स्मरशराहतिनिर्मितसंज्वरं करयुगं हसति स्म दमस्वसुः । अनपिधानपतत्तपनातपं तपनिपीतसरः सरसीरुहम् ॥नैषधीयचरितम्४.९ ॥")</f>
        <v>स्मरशराहतिनिर्मितसंज्वरं करयुगं हसति स्म दमस्वसुः । अनपिधानपतत्तपनातपं तपनिपीतसरः सरसीरुहम् ॥नैषधीयचरितम्४.९ ॥</v>
      </c>
      <c r="B2729" s="4" t="s">
        <v>24</v>
      </c>
      <c r="C2729" s="4"/>
    </row>
    <row r="2730" spans="1:3" ht="24" customHeight="1">
      <c r="A2730" s="4" t="str">
        <f ca="1">IFERROR(__xludf.DUMMYFUNCTION("""COMPUTED_VALUE"""),"मदनतापभरेण विदीर्य नो यदुदपाति हृदा दमनस्वसुः । निबिडपीनकुचद्वययन्त्रणा तमपराधमधात्प्रतिबध्नती ॥नैषधीयचरितम्४.१ ॥")</f>
        <v>मदनतापभरेण विदीर्य नो यदुदपाति हृदा दमनस्वसुः । निबिडपीनकुचद्वययन्त्रणा तमपराधमधात्प्रतिबध्नती ॥नैषधीयचरितम्४.१ ॥</v>
      </c>
      <c r="B2730" s="4" t="s">
        <v>2</v>
      </c>
      <c r="C2730" s="4"/>
    </row>
    <row r="2731" spans="1:3" ht="24" customHeight="1">
      <c r="A2731" s="4" t="str">
        <f ca="1">IFERROR(__xludf.DUMMYFUNCTION("""COMPUTED_VALUE"""),"निविशते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॥नैषधीयचरितम्४.११ ॥")</f>
        <v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॥नैषधीयचरितम्४.११ ॥</v>
      </c>
      <c r="B2731" s="4" t="s">
        <v>2</v>
      </c>
      <c r="C2731" s="4"/>
    </row>
    <row r="2732" spans="1:3" ht="24" customHeight="1">
      <c r="A2732" s="4" t="str">
        <f ca="1">IFERROR(__xludf.DUMMYFUNCTION("""COMPUTED_VALUE"""),"मनसि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॥नैषधीयचरितम्४.१२ ॥")</f>
        <v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॥नैषधीयचरितम्४.१२ ॥</v>
      </c>
      <c r="B2732" s="4" t="s">
        <v>1</v>
      </c>
      <c r="C2732" s="4"/>
    </row>
    <row r="2733" spans="1:3" ht="24" customHeight="1">
      <c r="A2733" s="4" t="str">
        <f ca="1">IFERROR(__xludf.DUMMYFUNCTION("""COMPUTED_VALUE"""),"हृदि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॥नैषधीयचरितम्४.१३ ॥")</f>
        <v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॥नैषधीयचरितम्४.१३ ॥</v>
      </c>
      <c r="B2733" s="4" t="s">
        <v>14</v>
      </c>
      <c r="C2733" s="4"/>
    </row>
    <row r="2734" spans="1:3" ht="24" customHeight="1">
      <c r="A2734" s="4" t="str">
        <f ca="1">IFERROR(__xludf.DUMMYFUNCTION("""COMPUTED_VALUE"""),"सुहृदमग्निमुदञ्चयितुं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॥नैषधीयचरितम्४.१४ ॥")</f>
        <v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॥नैषधीयचरितम्४.१४ ॥</v>
      </c>
      <c r="B2734" s="4" t="s">
        <v>2</v>
      </c>
      <c r="C2734" s="4"/>
    </row>
    <row r="2735" spans="1:3" ht="24" customHeight="1">
      <c r="A2735" s="4" t="str">
        <f ca="1">IFERROR(__xludf.DUMMYFUNCTION("""COMPUTED_VALUE"""),"विरहपाण्डिमरागतमोमषीशितिमतन्निजपीतिमवर्णकैः । दश दिशः खलु तदृगकल्पयल्लिपिकरी नलरूपकचित्रिताः ॥नैषधीयचरितम्४.१५ ॥")</f>
        <v>विरहपाण्डिमरागतमोमषीशितिमतन्निजपीतिमवर्णकैः । दश दिशः खलु तदृगकल्पयल्लिपिकरी नलरूपकचित्रिताः ॥नैषधीयचरितम्४.१५ ॥</v>
      </c>
      <c r="B2735" s="4" t="s">
        <v>2</v>
      </c>
      <c r="C2735" s="4"/>
    </row>
    <row r="2736" spans="1:3" ht="24" customHeight="1">
      <c r="A2736" s="4" t="str">
        <f ca="1">IFERROR(__xludf.DUMMYFUNCTION("""COMPUTED_VALUE"""),"स्मरकृतां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॥नैषधीयचरितम्४.१६ ॥")</f>
        <v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॥नैषधीयचरितम्४.१६ ॥</v>
      </c>
      <c r="B2736" s="4" t="s">
        <v>1</v>
      </c>
      <c r="C2736" s="4"/>
    </row>
    <row r="2737" spans="1:3" ht="24" customHeight="1">
      <c r="A2737" s="4" t="str">
        <f ca="1">IFERROR(__xludf.DUMMYFUNCTION("""COMPUTED_VALUE"""),"करपदाननलोचननामभिः शतदलैः सुतनोर्विरहज्वरे । रविमहो बहुपीतचरं चिरादनिशतापमिषादुदसृज्यत ॥नैषधीयचरितम्४.१७ ॥")</f>
        <v>करपदाननलोचननामभिः शतदलैः सुतनोर्विरहज्वरे । रविमहो बहुपीतचरं चिरादनिशतापमिषादुदसृज्यत ॥नैषधीयचरितम्४.१७ ॥</v>
      </c>
      <c r="B2737" s="4" t="s">
        <v>2</v>
      </c>
      <c r="C2737" s="4"/>
    </row>
    <row r="2738" spans="1:3" ht="24" customHeight="1">
      <c r="A2738" s="4" t="str">
        <f ca="1">IFERROR(__xludf.DUMMYFUNCTION("""COMPUTED_VALUE"""),"उदयति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॥नैषधीयचरितम्४.१८ ॥")</f>
        <v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॥नैषधीयचरितम्४.१८ ॥</v>
      </c>
      <c r="B2738" s="4" t="s">
        <v>11</v>
      </c>
      <c r="C2738" s="4"/>
    </row>
    <row r="2739" spans="1:3" ht="24" customHeight="1">
      <c r="A2739" s="4" t="str">
        <f ca="1">IFERROR(__xludf.DUMMYFUNCTION("""COMPUTED_VALUE"""),"हृदि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॥नैषधीयचरितम्४.१९ ॥")</f>
        <v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॥नैषधीयचरितम्४.१९ ॥</v>
      </c>
      <c r="B2739" s="4" t="s">
        <v>11</v>
      </c>
      <c r="C2739" s="4"/>
    </row>
    <row r="2740" spans="1:3" ht="24" customHeight="1">
      <c r="A2740" s="4" t="str">
        <f ca="1">IFERROR(__xludf.DUMMYFUNCTION("""COMPUTED_VALUE"""),"विधुरमानि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॥नैषधीयचरितम्४.२ ॥")</f>
        <v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॥नैषधीयचरितम्४.२ ॥</v>
      </c>
      <c r="B2740" s="4" t="s">
        <v>6</v>
      </c>
      <c r="C2740" s="4"/>
    </row>
    <row r="2741" spans="1:3" ht="24" customHeight="1">
      <c r="A2741" s="4" t="str">
        <f ca="1">IFERROR(__xludf.DUMMYFUNCTION("""COMPUTED_VALUE"""),"हृदयदत्तसरोरुहया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॥नैषधीयचरितम्४.२१ ॥")</f>
        <v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॥नैषधीयचरितम्४.२१ ॥</v>
      </c>
      <c r="B2741" s="4" t="s">
        <v>13</v>
      </c>
      <c r="C2741" s="4"/>
    </row>
    <row r="2742" spans="1:3" ht="24" customHeight="1">
      <c r="A2742" s="4" t="str">
        <f ca="1">IFERROR(__xludf.DUMMYFUNCTION("""COMPUTED_VALUE"""),"अनलभावमियं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॥नैषधीयचरितम्४.२२ ॥")</f>
        <v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॥नैषधीयचरितम्४.२२ ॥</v>
      </c>
      <c r="B2742" s="4" t="s">
        <v>2</v>
      </c>
      <c r="C2742" s="4"/>
    </row>
    <row r="2743" spans="1:3" ht="24" customHeight="1">
      <c r="A2743" s="4" t="str">
        <f ca="1">IFERROR(__xludf.DUMMYFUNCTION("""COMPUTED_VALUE"""),"प्रकृतिरेतु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॥नैषधीयचरितम्४.२३ ॥")</f>
        <v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॥नैषधीयचरितम्४.२३ ॥</v>
      </c>
      <c r="B2743" s="4" t="s">
        <v>4</v>
      </c>
      <c r="C2743" s="4"/>
    </row>
    <row r="2744" spans="1:3" ht="24" customHeight="1">
      <c r="A2744" s="4" t="str">
        <f ca="1">IFERROR(__xludf.DUMMYFUNCTION("""COMPUTED_VALUE"""),"रिपुतरा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॥नैषधीयचरितम्४.२४ ॥")</f>
        <v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॥नैषधीयचरितम्४.२४ ॥</v>
      </c>
      <c r="B2744" s="4" t="s">
        <v>8</v>
      </c>
      <c r="C2744" s="4"/>
    </row>
    <row r="2745" spans="1:3" ht="24" customHeight="1">
      <c r="A2745" s="4" t="str">
        <f ca="1">IFERROR(__xludf.DUMMYFUNCTION("""COMPUTED_VALUE"""),"हृदि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॥नैषधीयचरितम्४.२५ ॥")</f>
        <v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॥नैषधीयचरितम्४.२५ ॥</v>
      </c>
      <c r="B2745" s="4" t="s">
        <v>0</v>
      </c>
      <c r="C2745" s="4"/>
    </row>
    <row r="2746" spans="1:3" ht="24" customHeight="1">
      <c r="A2746" s="4" t="str">
        <f ca="1">IFERROR(__xludf.DUMMYFUNCTION("""COMPUTED_VALUE"""),"विरहपाण्डुकपोलतले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॥नैषधीयचरितम्४.२६ ॥")</f>
        <v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॥नैषधीयचरितम्४.२६ ॥</v>
      </c>
      <c r="B2746" s="4" t="s">
        <v>7</v>
      </c>
      <c r="C2746" s="4"/>
    </row>
    <row r="2747" spans="1:3" ht="24" customHeight="1">
      <c r="A2747" s="4" t="str">
        <f ca="1">IFERROR(__xludf.DUMMYFUNCTION("""COMPUTED_VALUE"""),"विरहतापिनि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॥नैषधीयचरितम्४.२७ ॥")</f>
        <v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॥नैषधीयचरितम्४.२७ ॥</v>
      </c>
      <c r="B2747" s="4" t="s">
        <v>19</v>
      </c>
      <c r="C2747" s="4"/>
    </row>
    <row r="2748" spans="1:3" ht="24" customHeight="1">
      <c r="A2748" s="4" t="str">
        <f ca="1">IFERROR(__xludf.DUMMYFUNCTION("""COMPUTED_VALUE"""),"विनिहितं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॥नैषधीयचरितम्४.२८ ॥")</f>
        <v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॥नैषधीयचरितम्४.२८ ॥</v>
      </c>
      <c r="B2748" s="4" t="s">
        <v>24</v>
      </c>
      <c r="C2748" s="4"/>
    </row>
    <row r="2749" spans="1:3" ht="24" customHeight="1">
      <c r="A2749" s="4" t="str">
        <f ca="1">IFERROR(__xludf.DUMMYFUNCTION("""COMPUTED_VALUE"""),"स्मरहुताशनदीपितया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॥नैषधीयचरितम्४.२९ ॥")</f>
        <v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॥नैषधीयचरितम्४.२९ ॥</v>
      </c>
      <c r="B2749" s="4" t="s">
        <v>2</v>
      </c>
      <c r="C2749" s="4"/>
    </row>
    <row r="2750" spans="1:3" ht="24" customHeight="1">
      <c r="A2750" s="4" t="str">
        <f ca="1">IFERROR(__xludf.DUMMYFUNCTION("""COMPUTED_VALUE"""),"प्रियकरग्रहमेवमवाप्स्यति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॥नैषधीयचरितम्४.३ ॥")</f>
        <v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॥नैषधीयचरितम्४.३ ॥</v>
      </c>
      <c r="B2750" s="4" t="s">
        <v>1</v>
      </c>
      <c r="C2750" s="4"/>
    </row>
    <row r="2751" spans="1:3" ht="24" customHeight="1">
      <c r="A2751" s="4" t="str">
        <f ca="1">IFERROR(__xludf.DUMMYFUNCTION("""COMPUTED_VALUE"""),"त्वदितरोऽपि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॥नैषधीयचरितम्४.३१ ॥")</f>
        <v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॥नैषधीयचरितम्४.३१ ॥</v>
      </c>
      <c r="B2751" s="4" t="s">
        <v>2</v>
      </c>
      <c r="C2751" s="4"/>
    </row>
    <row r="2752" spans="1:3" ht="24" customHeight="1">
      <c r="A2752" s="4" t="str">
        <f ca="1">IFERROR(__xludf.DUMMYFUNCTION("""COMPUTED_VALUE"""),"विरहतप्ततदङ्गनिवेशिता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॥नैषधीयचरितम्४.३२ ॥")</f>
        <v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॥नैषधीयचरितम्४.३२ ॥</v>
      </c>
      <c r="B2752" s="4" t="s">
        <v>10</v>
      </c>
      <c r="C2752" s="4"/>
    </row>
    <row r="2753" spans="1:3" ht="24" customHeight="1">
      <c r="A2753" s="4" t="str">
        <f ca="1">IFERROR(__xludf.DUMMYFUNCTION("""COMPUTED_VALUE"""),"इयमनङ्गशरावलिपन्नगक्षतविसारिवियोगविषावशा । शशिकलेव खरांशुकरार्दिता करुणनीरनिधौ निदधौ न कम् ॥नैषधीयचरितम्४.३३ ॥")</f>
        <v>इयमनङ्गशरावलिपन्नगक्षतविसारिवियोगविषावशा । शशिकलेव खरांशुकरार्दिता करुणनीरनिधौ निदधौ न कम् ॥नैषधीयचरितम्४.३३ ॥</v>
      </c>
      <c r="B2753" s="4" t="s">
        <v>19</v>
      </c>
      <c r="C2753" s="4"/>
    </row>
    <row r="2754" spans="1:3" ht="24" customHeight="1">
      <c r="A2754" s="4" t="str">
        <f ca="1">IFERROR(__xludf.DUMMYFUNCTION("""COMPUTED_VALUE"""),"ज्वलति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॥नैषधीयचरितम्४.३४ ॥")</f>
        <v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॥नैषधीयचरितम्४.३४ ॥</v>
      </c>
      <c r="B2754" s="4" t="s">
        <v>8</v>
      </c>
      <c r="C2754" s="4"/>
    </row>
    <row r="2755" spans="1:3" ht="24" customHeight="1">
      <c r="A2755" s="4" t="str">
        <f ca="1">IFERROR(__xludf.DUMMYFUNCTION("""COMPUTED_VALUE"""),"पिकरुतिश्रुतिकम्पिनि शैवलं हृदि तया निहितं विचलद्बभौ । सततद्गतहृच्छयकेतुना हृतमिव स्वतनूधनघर्षिणा ॥नैषधीयचरितम्४.३५ ॥")</f>
        <v>पिकरुतिश्रुतिकम्पिनि शैवलं हृदि तया निहितं विचलद्बभौ । सततद्गतहृच्छयकेतुना हृतमिव स्वतनूधनघर्षिणा ॥नैषधीयचरितम्४.३५ ॥</v>
      </c>
      <c r="B2755" s="4" t="s">
        <v>7</v>
      </c>
      <c r="C2755" s="4"/>
    </row>
    <row r="2756" spans="1:3" ht="24" customHeight="1">
      <c r="A2756" s="4" t="str">
        <f ca="1">IFERROR(__xludf.DUMMYFUNCTION("""COMPUTED_VALUE"""),"न खलु मोहबशेन तदाननं नलमनः शशिकान्तमबोधि तत् । इतरथा शशिनोभ्युदये ततः कथमसुस्रुवदस्रुमयं पयः ॥नैषधीयचरितम्४.३६ ॥")</f>
        <v>न खलु मोहबशेन तदाननं नलमनः शशिकान्तमबोधि तत् । इतरथा शशिनोभ्युदये ततः कथमसुस्रुवदस्रुमयं पयः ॥नैषधीयचरितम्४.३६ ॥</v>
      </c>
      <c r="B2756" s="4" t="s">
        <v>5</v>
      </c>
      <c r="C2756" s="4"/>
    </row>
    <row r="2757" spans="1:3" ht="24" customHeight="1">
      <c r="A2757" s="4" t="str">
        <f ca="1">IFERROR(__xludf.DUMMYFUNCTION("""COMPUTED_VALUE"""),"रतिपतेर्विजयास्त्रमिषुर्यथा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॥नैषधीयचरितम्४.३७ ॥")</f>
        <v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॥नैषधीयचरितम्४.३७ ॥</v>
      </c>
      <c r="B2757" s="4" t="s">
        <v>2</v>
      </c>
      <c r="C2757" s="4"/>
    </row>
    <row r="2758" spans="1:3" ht="24" customHeight="1">
      <c r="A2758" s="4" t="str">
        <f ca="1">IFERROR(__xludf.DUMMYFUNCTION("""COMPUTED_VALUE"""),"शशिमयं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॥नैषधीयचरितम्४.३८ ॥")</f>
        <v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॥नैषधीयचरितम्४.३८ ॥</v>
      </c>
      <c r="B2758" s="4" t="s">
        <v>17</v>
      </c>
      <c r="C2758" s="4"/>
    </row>
    <row r="2759" spans="1:3" ht="24" customHeight="1">
      <c r="A2759" s="4" t="str">
        <f ca="1">IFERROR(__xludf.DUMMYFUNCTION("""COMPUTED_VALUE"""),"अतनुना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॥नैषधीयचरितम्४.३९ ॥")</f>
        <v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॥नैषधीयचरितम्४.३९ ॥</v>
      </c>
      <c r="B2759" s="4" t="s">
        <v>2</v>
      </c>
      <c r="C2759" s="4"/>
    </row>
    <row r="2760" spans="1:3" ht="24" customHeight="1">
      <c r="A2760" s="4" t="str">
        <f ca="1">IFERROR(__xludf.DUMMYFUNCTION("""COMPUTED_VALUE"""),"रतिपतिप्रहितानिलहेतितां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॥नैषधीयचरितम्४.४ ॥")</f>
        <v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॥नैषधीयचरितम्४.४ ॥</v>
      </c>
      <c r="B2760" s="4" t="s">
        <v>2</v>
      </c>
      <c r="C2760" s="4"/>
    </row>
    <row r="2761" spans="1:3" ht="24" customHeight="1">
      <c r="A2761" s="4" t="str">
        <f ca="1">IFERROR(__xludf.DUMMYFUNCTION("""COMPUTED_VALUE"""),"न्यधित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॥नैषधीयचरितम्४.४१ ॥")</f>
        <v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॥नैषधीयचरितम्४.४१ ॥</v>
      </c>
      <c r="B2761" s="4" t="s">
        <v>2</v>
      </c>
      <c r="C2761" s="4"/>
    </row>
    <row r="2762" spans="1:3" ht="24" customHeight="1">
      <c r="A2762" s="4" t="str">
        <f ca="1">IFERROR(__xludf.DUMMYFUNCTION("""COMPUTED_VALUE"""),"अतिशरव्ययता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॥नैषधीयचरितम्४.४२ ॥")</f>
        <v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॥नैषधीयचरितम्४.४२ ॥</v>
      </c>
      <c r="B2762" s="4" t="s">
        <v>7</v>
      </c>
      <c r="C2762" s="4"/>
    </row>
    <row r="2763" spans="1:3" ht="24" customHeight="1">
      <c r="A2763" s="4" t="str">
        <f ca="1">IFERROR(__xludf.DUMMYFUNCTION("""COMPUTED_VALUE"""),"अथ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॥नैषधीयचरितम्४.४३ ॥")</f>
        <v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॥नैषधीयचरितम्४.४३ ॥</v>
      </c>
      <c r="B2763" s="4" t="s">
        <v>14</v>
      </c>
      <c r="C2763" s="4"/>
    </row>
    <row r="2764" spans="1:3" ht="24" customHeight="1">
      <c r="A2764" s="4" t="str">
        <f ca="1">IFERROR(__xludf.DUMMYFUNCTION("""COMPUTED_VALUE"""),"नरसुराब्जभुवामिव यावता भवति यस्य युगं यदनेहसा । विरहिणामपि तद्रतवद्युवक्षणमितं न कथं गणितागमे ॥नैषधीयचरितम्४.४४ ॥")</f>
        <v>नरसुराब्जभुवामिव यावता भवति यस्य युगं यदनेहसा । विरहिणामपि तद्रतवद्युवक्षणमितं न कथं गणितागमे ॥नैषधीयचरितम्४.४४ ॥</v>
      </c>
      <c r="B2764" s="4" t="s">
        <v>12</v>
      </c>
      <c r="C2764" s="4"/>
    </row>
    <row r="2765" spans="1:3" ht="24" customHeight="1">
      <c r="A2765" s="4" t="str">
        <f ca="1">IFERROR(__xludf.DUMMYFUNCTION("""COMPUTED_VALUE"""),"जनुरधत्त सती स्मरतापिता हिमवतो न तु तन्महिमादृता । ज्वलति भालतले लिखितः सतीविरह एव हरस्य न लोचनम् ॥नैषधीयचरितम्४.४५ ॥")</f>
        <v>जनुरधत्त सती स्मरतापिता हिमवतो न तु तन्महिमादृता । ज्वलति भालतले लिखितः सतीविरह एव हरस्य न लोचनम् ॥नैषधीयचरितम्४.४५ ॥</v>
      </c>
      <c r="B2765" s="4" t="s">
        <v>1</v>
      </c>
      <c r="C2765" s="4"/>
    </row>
    <row r="2766" spans="1:3" ht="24" customHeight="1">
      <c r="A2766" s="4" t="str">
        <f ca="1">IFERROR(__xludf.DUMMYFUNCTION("""COMPUTED_VALUE"""),"दहनजा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॥नैषधीयचरितम्४.४६ ॥")</f>
        <v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॥नैषधीयचरितम्४.४६ ॥</v>
      </c>
      <c r="B2766" s="4" t="s">
        <v>0</v>
      </c>
      <c r="C2766" s="4"/>
    </row>
    <row r="2767" spans="1:3" ht="24" customHeight="1">
      <c r="A2767" s="4" t="str">
        <f ca="1">IFERROR(__xludf.DUMMYFUNCTION("""COMPUTED_VALUE"""),"हृदि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॥नैषधीयचरितम्४.४७ ॥")</f>
        <v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॥नैषधीयचरितम्४.४७ ॥</v>
      </c>
      <c r="B2767" s="4" t="s">
        <v>20</v>
      </c>
      <c r="C2767" s="4"/>
    </row>
    <row r="2768" spans="1:3" ht="24" customHeight="1">
      <c r="A2768" s="4" t="str">
        <f ca="1">IFERROR(__xludf.DUMMYFUNCTION("""COMPUTED_VALUE"""),"अयि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॥नैषधीयचरितम्४.४८ ॥")</f>
        <v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॥नैषधीयचरितम्४.४८ ॥</v>
      </c>
      <c r="B2768" s="4" t="s">
        <v>11</v>
      </c>
      <c r="C2768" s="4"/>
    </row>
    <row r="2769" spans="1:3" ht="24" customHeight="1">
      <c r="A2769" s="4" t="str">
        <f ca="1">IFERROR(__xludf.DUMMYFUNCTION("""COMPUTED_VALUE"""),"अयमयोगिवधूवधपातबैर्भ्रमिमवाप्य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॥नैषधीयचरितम्४.४९ ॥")</f>
        <v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॥नैषधीयचरितम्४.४९ ॥</v>
      </c>
      <c r="B2769" s="4" t="s">
        <v>0</v>
      </c>
      <c r="C2769" s="4"/>
    </row>
    <row r="2770" spans="1:3" ht="24" customHeight="1">
      <c r="A2770" s="4" t="str">
        <f ca="1">IFERROR(__xludf.DUMMYFUNCTION("""COMPUTED_VALUE"""),"त्वमभिधेहि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॥नैषधीयचरितम्४.५ ॥")</f>
        <v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॥नैषधीयचरितम्४.५ ॥</v>
      </c>
      <c r="B2770" s="4" t="s">
        <v>2</v>
      </c>
      <c r="C2770" s="4"/>
    </row>
    <row r="2771" spans="1:3" ht="24" customHeight="1">
      <c r="A2771" s="4" t="str">
        <f ca="1">IFERROR(__xludf.DUMMYFUNCTION("""COMPUTED_VALUE"""),"निपततापि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॥नैषधीयचरितम्४.५१ ॥")</f>
        <v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॥नैषधीयचरितम्४.५१ ॥</v>
      </c>
      <c r="B2771" s="4" t="s">
        <v>20</v>
      </c>
      <c r="C2771" s="4"/>
    </row>
    <row r="2772" spans="1:3" ht="24" customHeight="1">
      <c r="A2772" s="4" t="str">
        <f ca="1">IFERROR(__xludf.DUMMYFUNCTION("""COMPUTED_VALUE"""),"किमसुभिर्ग्लपितैर्जड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॥नैषधीयचरितम्४.५२ ॥")</f>
        <v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॥नैषधीयचरितम्४.५२ ॥</v>
      </c>
      <c r="B2772" s="4" t="s">
        <v>0</v>
      </c>
      <c r="C2772" s="4"/>
    </row>
    <row r="2773" spans="1:3" ht="24" customHeight="1">
      <c r="A2773" s="4" t="str">
        <f ca="1">IFERROR(__xludf.DUMMYFUNCTION("""COMPUTED_VALUE"""),"मुखरय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॥नैषधीयचरितम्४.५३ ॥")</f>
        <v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॥नैषधीयचरितम्४.५३ ॥</v>
      </c>
      <c r="B2773" s="4" t="s">
        <v>1</v>
      </c>
      <c r="C2773" s="4"/>
    </row>
    <row r="2774" spans="1:3" ht="24" customHeight="1">
      <c r="A2774" s="4" t="str">
        <f ca="1">IFERROR(__xludf.DUMMYFUNCTION("""COMPUTED_VALUE"""),"निशि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॥नैषधीयचरितम्४.५४ ॥")</f>
        <v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॥नैषधीयचरितम्४.५४ ॥</v>
      </c>
      <c r="B2774" s="4" t="s">
        <v>2</v>
      </c>
      <c r="C2774" s="4"/>
    </row>
    <row r="2775" spans="1:3" ht="24" customHeight="1">
      <c r="A2775" s="4" t="str">
        <f ca="1">IFERROR(__xludf.DUMMYFUNCTION("""COMPUTED_VALUE"""),"शशकलङ्क भयंकर मादृशां ज्वलसि यन्निशि भूतपतिं श्रितः । तदमृतस्य तवेदृशभूतताद्भुतकरी परमूर्धविधूननी ॥नैषधीयचरितम्४.५५ ॥")</f>
        <v>शशकलङ्क भयंकर मादृशां ज्वलसि यन्निशि भूतपतिं श्रितः । तदमृतस्य तवेदृशभूतताद्भुतकरी परमूर्धविधूननी ॥नैषधीयचरितम्४.५५ ॥</v>
      </c>
      <c r="B2775" s="4" t="s">
        <v>1</v>
      </c>
      <c r="C2775" s="4"/>
    </row>
    <row r="2776" spans="1:3" ht="24" customHeight="1">
      <c r="A2776" s="4" t="str">
        <f ca="1">IFERROR(__xludf.DUMMYFUNCTION("""COMPUTED_VALUE"""),"श्रवणपूरतमालदलाङ्कुरं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॥नैषधीयचरितम्४.५६ ॥")</f>
        <v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॥नैषधीयचरितम्४.५६ ॥</v>
      </c>
      <c r="B2776" s="4" t="s">
        <v>7</v>
      </c>
      <c r="C2776" s="4"/>
    </row>
    <row r="2777" spans="1:3" ht="24" customHeight="1">
      <c r="A2777" s="4" t="str">
        <f ca="1">IFERROR(__xludf.DUMMYFUNCTION("""COMPUTED_VALUE"""),"असमये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॥नैषधीयचरितम्४.५७ ॥")</f>
        <v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॥नैषधीयचरितम्४.५७ ॥</v>
      </c>
      <c r="B2777" s="4" t="s">
        <v>2</v>
      </c>
      <c r="C2777" s="4"/>
    </row>
    <row r="2778" spans="1:3" ht="24" customHeight="1">
      <c r="A2778" s="4" t="str">
        <f ca="1">IFERROR(__xludf.DUMMYFUNCTION("""COMPUTED_VALUE"""),"अयि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॥नैषधीयचरितम्४.५८ ॥")</f>
        <v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॥नैषधीयचरितम्४.५८ ॥</v>
      </c>
      <c r="B2778" s="4" t="s">
        <v>0</v>
      </c>
      <c r="C2778" s="4"/>
    </row>
    <row r="2779" spans="1:3" ht="24" customHeight="1">
      <c r="A2779" s="4" t="str">
        <f ca="1">IFERROR(__xludf.DUMMYFUNCTION("""COMPUTED_VALUE"""),"कुरु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॥नैषधीयचरितम्४.५९ ॥")</f>
        <v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॥नैषधीयचरितम्४.५९ ॥</v>
      </c>
      <c r="B2779" s="4" t="s">
        <v>2</v>
      </c>
      <c r="C2779" s="4"/>
    </row>
    <row r="2780" spans="1:3" ht="24" customHeight="1">
      <c r="A2780" s="4" t="str">
        <f ca="1">IFERROR(__xludf.DUMMYFUNCTION("""COMPUTED_VALUE"""),"उदर एव धृतः किमुदन्वता न विषमो वडवानलवद्विधुः । विषवदुज्झितमप्यमुना न स स्मरहरः किममुं बुभुजे विभुः ॥नैषधीयचरितम्४.६ ॥")</f>
        <v>उदर एव धृतः किमुदन्वता न विषमो वडवानलवद्विधुः । विषवदुज्झितमप्यमुना न स स्मरहरः किममुं बुभुजे विभुः ॥नैषधीयचरितम्४.६ ॥</v>
      </c>
      <c r="B2780" s="4" t="s">
        <v>6</v>
      </c>
      <c r="C2780" s="4"/>
    </row>
    <row r="2781" spans="1:3" ht="24" customHeight="1">
      <c r="A2781" s="4" t="str">
        <f ca="1">IFERROR(__xludf.DUMMYFUNCTION("""COMPUTED_VALUE"""),"असितमेकसुराशितमप्यभून्न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॥नैषधीयचरितम्४.६१ ॥")</f>
        <v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॥नैषधीयचरितम्४.६१ ॥</v>
      </c>
      <c r="B2781" s="4" t="s">
        <v>4</v>
      </c>
      <c r="C2781" s="4"/>
    </row>
    <row r="2782" spans="1:3" ht="24" customHeight="1">
      <c r="A2782" s="4" t="str">
        <f ca="1">IFERROR(__xludf.DUMMYFUNCTION("""COMPUTED_VALUE"""),"विरहिवर्गवधव्यसनाकुलं कलय पापमशेषकलं विधुम् । सुरनिपीतसुधाकमपापकं ग्रहविदो विपरीतकथाः कथम् ॥नैषधीयचरितम्४.६२ ॥")</f>
        <v>विरहिवर्गवधव्यसनाकुलं कलय पापमशेषकलं विधुम् । सुरनिपीतसुधाकमपापकं ग्रहविदो विपरीतकथाः कथम् ॥नैषधीयचरितम्४.६२ ॥</v>
      </c>
      <c r="B2782" s="4" t="s">
        <v>10</v>
      </c>
      <c r="C2782" s="4"/>
    </row>
    <row r="2783" spans="1:3" ht="24" customHeight="1">
      <c r="A2783" s="4" t="str">
        <f ca="1">IFERROR(__xludf.DUMMYFUNCTION("""COMPUTED_VALUE"""),"विरहिभिर्बहु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॥नैषधीयचरितम्४.६३ ॥")</f>
        <v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॥नैषधीयचरितम्४.६३ ॥</v>
      </c>
      <c r="B2783" s="4" t="s">
        <v>2</v>
      </c>
      <c r="C2783" s="4"/>
    </row>
    <row r="2784" spans="1:3" ht="24" customHeight="1">
      <c r="A2784" s="4" t="str">
        <f ca="1">IFERROR(__xludf.DUMMYFUNCTION("""COMPUTED_VALUE"""),"स्वरिपुतीक्ष्णसुदर्शनविभ्रमात्किमु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॥नैषधीयचरितम्४.६४ ॥")</f>
        <v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॥नैषधीयचरितम्४.६४ ॥</v>
      </c>
      <c r="B2784" s="4" t="s">
        <v>2</v>
      </c>
      <c r="C2784" s="4"/>
    </row>
    <row r="2785" spans="1:3" ht="24" customHeight="1">
      <c r="A2785" s="4" t="str">
        <f ca="1">IFERROR(__xludf.DUMMYFUNCTION("""COMPUTED_VALUE"""),"वदनगर्भगतं न निजेच्छया शशिनमुज्झति राहुरसंशयम् । अशित एव गलत्ययमत्ययं सखि विना गलनालबिलाध्वना ॥नैषधीयचरितम्४.६५ ॥")</f>
        <v>वदनगर्भगतं न निजेच्छया शशिनमुज्झति राहुरसंशयम् । अशित एव गलत्ययमत्ययं सखि विना गलनालबिलाध्वना ॥नैषधीयचरितम्४.६५ ॥</v>
      </c>
      <c r="B2785" s="4" t="s">
        <v>1</v>
      </c>
      <c r="C2785" s="4"/>
    </row>
    <row r="2786" spans="1:3" ht="24" customHeight="1">
      <c r="A2786" s="4" t="str">
        <f ca="1">IFERROR(__xludf.DUMMYFUNCTION("""COMPUTED_VALUE"""),"ऋजुदृशः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॥नैषधीयचरितम्४.६६ ॥")</f>
        <v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॥नैषधीयचरितम्४.६६ ॥</v>
      </c>
      <c r="B2786" s="4" t="s">
        <v>11</v>
      </c>
      <c r="C2786" s="4"/>
    </row>
    <row r="2787" spans="1:3" ht="24" customHeight="1">
      <c r="A2787" s="4" t="str">
        <f ca="1">IFERROR(__xludf.DUMMYFUNCTION("""COMPUTED_VALUE"""),"स्मरसखौ रुचिभिः स्मरवैरिणा मखमृगस्य यथा दलितं शिरः । सपदि संदधतुर्भिषजौ दिवः सखि तथा तमसोऽपि करोतु कः ॥नैषधीयचरितम्४.६७ ॥")</f>
        <v>स्मरसखौ रुचिभिः स्मरवैरिणा मखमृगस्य यथा दलितं शिरः । सपदि संदधतुर्भिषजौ दिवः सखि तथा तमसोऽपि करोतु कः ॥नैषधीयचरितम्४.६७ ॥</v>
      </c>
      <c r="B2787" s="4" t="s">
        <v>19</v>
      </c>
      <c r="C2787" s="4"/>
    </row>
    <row r="2788" spans="1:3" ht="24" customHeight="1">
      <c r="A2788" s="4" t="str">
        <f ca="1">IFERROR(__xludf.DUMMYFUNCTION("""COMPUTED_VALUE"""),"नलविमस्तकितस्य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॥नैषधीयचरितम्४.६८ ॥")</f>
        <v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॥नैषधीयचरितम्४.६८ ॥</v>
      </c>
      <c r="B2788" s="4" t="s">
        <v>1</v>
      </c>
      <c r="C2788" s="4"/>
    </row>
    <row r="2789" spans="1:3" ht="24" customHeight="1">
      <c r="A2789" s="4" t="str">
        <f ca="1">IFERROR(__xludf.DUMMYFUNCTION("""COMPUTED_VALUE"""),"सखि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॥नैषधीयचरितम्४.६९ ॥")</f>
        <v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॥नैषधीयचरितम्४.६९ ॥</v>
      </c>
      <c r="B2789" s="4" t="s">
        <v>1</v>
      </c>
      <c r="C2789" s="4"/>
    </row>
    <row r="2790" spans="1:3" ht="24" customHeight="1">
      <c r="A2790" s="4" t="str">
        <f ca="1">IFERROR(__xludf.DUMMYFUNCTION("""COMPUTED_VALUE"""),"वद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॥नैषधीयचरितम्४.७ ॥")</f>
        <v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॥नैषधीयचरितम्४.७ ॥</v>
      </c>
      <c r="B2790" s="4" t="s">
        <v>7</v>
      </c>
      <c r="C2790" s="4"/>
    </row>
    <row r="2791" spans="1:3" ht="24" customHeight="1">
      <c r="A2791" s="4" t="str">
        <f ca="1">IFERROR(__xludf.DUMMYFUNCTION("""COMPUTED_VALUE"""),"दहति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॥नैषधीयचरितम्४.७१ ॥")</f>
        <v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॥नैषधीयचरितम्४.७१ ॥</v>
      </c>
      <c r="B2791" s="4" t="s">
        <v>2</v>
      </c>
      <c r="C2791" s="4"/>
    </row>
    <row r="2792" spans="1:3" ht="24" customHeight="1">
      <c r="A2792" s="4" t="str">
        <f ca="1">IFERROR(__xludf.DUMMYFUNCTION("""COMPUTED_VALUE"""),"सकलया कलया किल दंष्ट्रया समवधाय यमाय विनिर्मितः । विरहिणीगणचर्वणसाधनं विधुरतो द्विजराज इति श्रुतिः ॥नैषधीयचरितम्४.७२ ॥")</f>
        <v>सकलया कलया किल दंष्ट्रया समवधाय यमाय विनिर्मितः । विरहिणीगणचर्वणसाधनं विधुरतो द्विजराज इति श्रुतिः ॥नैषधीयचरितम्४.७२ ॥</v>
      </c>
      <c r="B2792" s="4" t="s">
        <v>2</v>
      </c>
      <c r="C2792" s="4"/>
    </row>
    <row r="2793" spans="1:3" ht="24" customHeight="1">
      <c r="A2793" s="4" t="str">
        <f ca="1">IFERROR(__xludf.DUMMYFUNCTION("""COMPUTED_VALUE"""),"स्मरमुखं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॥नैषधीयचरितम्४.७३ ॥")</f>
        <v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॥नैषधीयचरितम्४.७३ ॥</v>
      </c>
      <c r="B2793" s="4" t="s">
        <v>2</v>
      </c>
      <c r="C2793" s="4"/>
    </row>
    <row r="2794" spans="1:3" ht="24" customHeight="1">
      <c r="A2794" s="4" t="str">
        <f ca="1">IFERROR(__xludf.DUMMYFUNCTION("""COMPUTED_VALUE"""),"द्विजपतिग्रसनाहितपातकप्रभवकुष्ठसितीकृतविग्रहः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॥नैषधीयचरितम्४.७४ ॥")</f>
        <v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॥नैषधीयचरितम्४.७४ ॥</v>
      </c>
      <c r="B2794" s="4" t="s">
        <v>0</v>
      </c>
      <c r="C2794" s="4"/>
    </row>
    <row r="2795" spans="1:3" ht="24" customHeight="1">
      <c r="A2795" s="4" t="str">
        <f ca="1">IFERROR(__xludf.DUMMYFUNCTION("""COMPUTED_VALUE"""),"इति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॥नैषधीयचरितम्४.७५ ॥")</f>
        <v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॥नैषधीयचरितम्४.७५ ॥</v>
      </c>
      <c r="B2795" s="4" t="s">
        <v>0</v>
      </c>
      <c r="C2795" s="4"/>
    </row>
    <row r="2796" spans="1:3" ht="24" customHeight="1">
      <c r="A2796" s="4" t="str">
        <f ca="1">IFERROR(__xludf.DUMMYFUNCTION("""COMPUTED_VALUE"""),"हृदयमाश्रयसे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॥नैषधीयचरितम्४.७६ ॥")</f>
        <v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॥नैषधीयचरितम्४.७६ ॥</v>
      </c>
      <c r="B2796" s="4" t="s">
        <v>4</v>
      </c>
      <c r="C2796" s="4"/>
    </row>
    <row r="2797" spans="1:3" ht="24" customHeight="1">
      <c r="A2797" s="4" t="str">
        <f ca="1">IFERROR(__xludf.DUMMYFUNCTION("""COMPUTED_VALUE"""),"पुरभिदा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॥नैषधीयचरितम्४.७७ ॥")</f>
        <v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॥नैषधीयचरितम्४.७७ ॥</v>
      </c>
      <c r="B2797" s="4" t="s">
        <v>6</v>
      </c>
      <c r="C2797" s="4"/>
    </row>
    <row r="2798" spans="1:3" ht="24" customHeight="1">
      <c r="A2798" s="4" t="str">
        <f ca="1">IFERROR(__xludf.DUMMYFUNCTION("""COMPUTED_VALUE"""),"सहचरोऽसि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॥नैषधीयचरितम्४.७८ ॥")</f>
        <v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॥नैषधीयचरितम्४.७८ ॥</v>
      </c>
      <c r="B2798" s="4" t="s">
        <v>11</v>
      </c>
      <c r="C2798" s="4"/>
    </row>
    <row r="2799" spans="1:3" ht="24" customHeight="1">
      <c r="A2799" s="4" t="str">
        <f ca="1">IFERROR(__xludf.DUMMYFUNCTION("""COMPUTED_VALUE"""),"रतिवियुक्तमनात्मपरज्ञ किं स्वमिव मामपि तापितवानसि । कथमतापभृतस्तव संगमादितरथा हृदयं मम दह्यते ॥नैषधीयचरितम्४.७९ ॥")</f>
        <v>रतिवियुक्तमनात्मपरज्ञ किं स्वमिव मामपि तापितवानसि । कथमतापभृतस्तव संगमादितरथा हृदयं मम दह्यते ॥नैषधीयचरितम्४.७९ ॥</v>
      </c>
      <c r="B2799" s="4" t="s">
        <v>2</v>
      </c>
      <c r="C2799" s="4"/>
    </row>
    <row r="2800" spans="1:3" ht="24" customHeight="1">
      <c r="A2800" s="4" t="str">
        <f ca="1">IFERROR(__xludf.DUMMYFUNCTION("""COMPUTED_VALUE"""),"अनुममार न मार कथं नु सा रतिरतिप्रथितापि पतिव्रता । इयदनाथवधूवधपातकी दयितयापि तयासि किमुज्झितः ॥नैषधीयचरितम्४.८ ॥")</f>
        <v>अनुममार न मार कथं नु सा रतिरतिप्रथितापि पतिव्रता । इयदनाथवधूवधपातकी दयितयापि तयासि किमुज्झितः ॥नैषधीयचरितम्४.८ ॥</v>
      </c>
      <c r="B2800" s="4" t="s">
        <v>2</v>
      </c>
      <c r="C2800" s="4"/>
    </row>
    <row r="2801" spans="1:3" ht="24" customHeight="1">
      <c r="A2801" s="4" t="str">
        <f ca="1">IFERROR(__xludf.DUMMYFUNCTION("""COMPUTED_VALUE"""),"सुगत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॥नैषधीयचरितम्४.८१ ॥")</f>
        <v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॥नैषधीयचरितम्४.८१ ॥</v>
      </c>
      <c r="B2801" s="4" t="s">
        <v>0</v>
      </c>
      <c r="C2801" s="4"/>
    </row>
    <row r="2802" spans="1:3" ht="24" customHeight="1">
      <c r="A2802" s="4" t="str">
        <f ca="1">IFERROR(__xludf.DUMMYFUNCTION("""COMPUTED_VALUE"""),"फलमलभ्यत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॥नैषधीयचरितम्४.८२ ॥")</f>
        <v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॥नैषधीयचरितम्४.८२ ॥</v>
      </c>
      <c r="B2802" s="4" t="s">
        <v>2</v>
      </c>
      <c r="C2802" s="4"/>
    </row>
    <row r="2803" spans="1:3" ht="24" customHeight="1">
      <c r="A2803" s="4" t="str">
        <f ca="1">IFERROR(__xludf.DUMMYFUNCTION("""COMPUTED_VALUE"""),"अपि धयन्नितरामरवत्सुधां त्रिनयनात्कथमापिथ तां दशाम् । भण रतेरधरस्य रसादरादमृतमाप्तघृणः खलु नापिबः ॥नैषधीयचरितम्४.८३ ॥")</f>
        <v>अपि धयन्नितरामरवत्सुधां त्रिनयनात्कथमापिथ तां दशाम् । भण रतेरधरस्य रसादरादमृतमाप्तघृणः खलु नापिबः ॥नैषधीयचरितम्४.८३ ॥</v>
      </c>
      <c r="B2803" s="4" t="s">
        <v>26</v>
      </c>
      <c r="C2803" s="4"/>
    </row>
    <row r="2804" spans="1:3" ht="24" customHeight="1">
      <c r="A2804" s="4" t="str">
        <f ca="1">IFERROR(__xludf.DUMMYFUNCTION("""COMPUTED_VALUE"""),"भुवनमोहनजेन किमेनसा तव बभूव परेत पिशाचता । यदधुना विरहाधिमलीमसामभिभवन्भ्रमसि स्मर मद्विधाम् ॥नैषधीयचरितम्४.८४ ॥")</f>
        <v>भुवनमोहनजेन किमेनसा तव बभूव परेत पिशाचता । यदधुना विरहाधिमलीमसामभिभवन्भ्रमसि स्मर मद्विधाम् ॥नैषधीयचरितम्४.८४ ॥</v>
      </c>
      <c r="B2804" s="4" t="s">
        <v>20</v>
      </c>
      <c r="C2804" s="4"/>
    </row>
    <row r="2805" spans="1:3" ht="24" customHeight="1">
      <c r="A2805" s="4" t="str">
        <f ca="1">IFERROR(__xludf.DUMMYFUNCTION("""COMPUTED_VALUE"""),"वत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॥नैषधीयचरितम्४.८५ ॥")</f>
        <v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॥नैषधीयचरितम्४.८५ ॥</v>
      </c>
      <c r="B2805" s="4" t="s">
        <v>1</v>
      </c>
      <c r="C2805" s="4"/>
    </row>
    <row r="2806" spans="1:3" ht="24" customHeight="1">
      <c r="A2806" s="4" t="str">
        <f ca="1">IFERROR(__xludf.DUMMYFUNCTION("""COMPUTED_VALUE"""),"दृगुपहत्यपमृत्युविरूपताः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॥नैषधीयचरितम्४.८६ ॥")</f>
        <v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॥नैषधीयचरितम्४.८६ ॥</v>
      </c>
      <c r="B2806" s="4" t="s">
        <v>2</v>
      </c>
      <c r="C2806" s="4"/>
    </row>
    <row r="2807" spans="1:3" ht="24" customHeight="1">
      <c r="A2807" s="4" t="str">
        <f ca="1">IFERROR(__xludf.DUMMYFUNCTION("""COMPUTED_VALUE"""),"स्मर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॥नैषधीयचरितम्४.८७ ॥")</f>
        <v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॥नैषधीयचरितम्४.८७ ॥</v>
      </c>
      <c r="B2807" s="4" t="s">
        <v>3</v>
      </c>
      <c r="C2807" s="4"/>
    </row>
    <row r="2808" spans="1:3" ht="24" customHeight="1">
      <c r="A2808" s="4" t="str">
        <f ca="1">IFERROR(__xludf.DUMMYFUNCTION("""COMPUTED_VALUE"""),"स्मररिपोरिव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॥नैषधीयचरितम्४.८८ ॥")</f>
        <v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॥नैषधीयचरितम्४.८८ ॥</v>
      </c>
      <c r="B2808" s="4" t="s">
        <v>2</v>
      </c>
      <c r="C2808" s="4"/>
    </row>
    <row r="2809" spans="1:3" ht="24" customHeight="1">
      <c r="A2809" s="4" t="str">
        <f ca="1">IFERROR(__xludf.DUMMYFUNCTION("""COMPUTED_VALUE"""),"निधिरनंशमभेद्यमवेक्ष्य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॥नैषधीयचरितम्४.८९ ॥")</f>
        <v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॥नैषधीयचरितम्४.८९ ॥</v>
      </c>
      <c r="B2809" s="4" t="s">
        <v>9</v>
      </c>
      <c r="C2809" s="4"/>
    </row>
    <row r="2810" spans="1:3" ht="24" customHeight="1">
      <c r="A2810" s="4" t="str">
        <f ca="1">IFERROR(__xludf.DUMMYFUNCTION("""COMPUTED_VALUE"""),"अपि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॥नैषधीयचरितम्४.९ ॥")</f>
        <v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॥नैषधीयचरितम्४.९ ॥</v>
      </c>
      <c r="B2810" s="4" t="s">
        <v>15</v>
      </c>
      <c r="C2810" s="4"/>
    </row>
    <row r="2811" spans="1:3" ht="24" customHeight="1">
      <c r="A2811" s="4" t="str">
        <f ca="1">IFERROR(__xludf.DUMMYFUNCTION("""COMPUTED_VALUE"""),"उपहरन्ति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॥नैषधीयचरितम्४.९१ ॥")</f>
        <v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॥नैषधीयचरितम्४.९१ ॥</v>
      </c>
      <c r="B2811" s="4" t="s">
        <v>7</v>
      </c>
      <c r="C2811" s="4"/>
    </row>
    <row r="2812" spans="1:3" ht="24" customHeight="1">
      <c r="A2812" s="4" t="str">
        <f ca="1">IFERROR(__xludf.DUMMYFUNCTION("""COMPUTED_VALUE"""),"कुसुममप्यतिदुर्णयकारि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॥नैषधीयचरितम्४.९२ ॥")</f>
        <v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॥नैषधीयचरितम्४.९२ ॥</v>
      </c>
      <c r="B2812" s="4" t="s">
        <v>4</v>
      </c>
      <c r="C2812" s="4"/>
    </row>
    <row r="2813" spans="1:3" ht="24" customHeight="1">
      <c r="A2813" s="4" t="str">
        <f ca="1">IFERROR(__xludf.DUMMYFUNCTION("""COMPUTED_VALUE"""),"षड्टतवः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॥नैषधीयचरितम्४.९३ ॥")</f>
        <v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॥नैषधीयचरितम्४.९३ ॥</v>
      </c>
      <c r="B2813" s="4" t="s">
        <v>2</v>
      </c>
      <c r="C2813" s="4"/>
    </row>
    <row r="2814" spans="1:3" ht="24" customHeight="1">
      <c r="A2814" s="4" t="str">
        <f ca="1">IFERROR(__xludf.DUMMYFUNCTION("""COMPUTED_VALUE"""),"यदतनुस्त्वमिदं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॥नैषधीयचरितम्४.९४ ॥")</f>
        <v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॥नैषधीयचरितम्४.९४ ॥</v>
      </c>
      <c r="B2814" s="4" t="s">
        <v>13</v>
      </c>
      <c r="C2814" s="4"/>
    </row>
    <row r="2815" spans="1:3" ht="24" customHeight="1">
      <c r="A2815" s="4" t="str">
        <f ca="1">IFERROR(__xludf.DUMMYFUNCTION("""COMPUTED_VALUE"""),"सह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॥नैषधीयचरितम्४.९५ ॥")</f>
        <v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॥नैषधीयचरितम्४.९५ ॥</v>
      </c>
      <c r="B2815" s="4" t="s">
        <v>12</v>
      </c>
      <c r="C2815" s="4"/>
    </row>
    <row r="2816" spans="1:3" ht="24" customHeight="1">
      <c r="A2816" s="4" t="str">
        <f ca="1">IFERROR(__xludf.DUMMYFUNCTION("""COMPUTED_VALUE"""),"स्मर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॥नैषधीयचरितम्४.९६ ॥")</f>
        <v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॥नैषधीयचरितम्४.९६ ॥</v>
      </c>
      <c r="B2816" s="4" t="s">
        <v>10</v>
      </c>
      <c r="C2816" s="4"/>
    </row>
    <row r="2817" spans="1:3" ht="24" customHeight="1">
      <c r="A2817" s="4" t="str">
        <f ca="1">IFERROR(__xludf.DUMMYFUNCTION("""COMPUTED_VALUE"""),"विरहिणो विमुखस्य विधूदये शमनदिक्पवनः स न दक्षिणः । सुमनसो नमयन्नटनौ धनुस्तव तु बाहुरसौ यदि दक्षिणः ॥नैषधीयचरितम्४.९७ ॥")</f>
        <v>विरहिणो विमुखस्य विधूदये शमनदिक्पवनः स न दक्षिणः । सुमनसो नमयन्नटनौ धनुस्तव तु बाहुरसौ यदि दक्षिणः ॥नैषधीयचरितम्४.९७ ॥</v>
      </c>
      <c r="B2817" s="4" t="s">
        <v>7</v>
      </c>
      <c r="C2817" s="4"/>
    </row>
    <row r="2818" spans="1:3" ht="24" customHeight="1">
      <c r="A2818" s="4" t="str">
        <f ca="1">IFERROR(__xludf.DUMMYFUNCTION("""COMPUTED_VALUE"""),"किमु भवन्तमुमापतिरेककं मदमुदान्धमयोगिजनान्तकम् । यदजयत्तत एव न गीयते स भगवान्मदनान्धकमृत्युजित् ॥नैषधीयचरितम्४.९८ ॥")</f>
        <v>किमु भवन्तमुमापतिरेककं मदमुदान्धमयोगिजनान्तकम् । यदजयत्तत एव न गीयते स भगवान्मदनान्धकमृत्युजित् ॥नैषधीयचरितम्४.९८ ॥</v>
      </c>
      <c r="B2818" s="4" t="s">
        <v>3</v>
      </c>
      <c r="C2818" s="4"/>
    </row>
    <row r="2819" spans="1:3" ht="24" customHeight="1">
      <c r="A2819" s="4" t="str">
        <f ca="1">IFERROR(__xludf.DUMMYFUNCTION("""COMPUTED_VALUE"""),"त्वमिव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॥नैषधीयचरितम्४.९९ ॥")</f>
        <v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॥नैषधीयचरितम्४.९९ ॥</v>
      </c>
      <c r="B2819" s="4" t="s">
        <v>5</v>
      </c>
      <c r="C2819" s="4"/>
    </row>
    <row r="2820" spans="1:3" ht="24" customHeight="1">
      <c r="A2820" s="4" t="str">
        <f ca="1">IFERROR(__xludf.DUMMYFUNCTION("""COMPUTED_VALUE"""),"त्वमुचितं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॥नैषधीयचरितम्४.१ ॥")</f>
        <v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॥नैषधीयचरितम्४.१ ॥</v>
      </c>
      <c r="B2820" s="4" t="s">
        <v>2</v>
      </c>
      <c r="C2820" s="4"/>
    </row>
    <row r="2821" spans="1:3" ht="24" customHeight="1">
      <c r="A2821" s="4" t="str">
        <f ca="1">IFERROR(__xludf.DUMMYFUNCTION("""COMPUTED_VALUE"""),"इति कियद्वचसैव भृशं प्रियाधरपिपासु तदाननमाशु तत् । अजनि पांशुलमप्रियवाग्ज्वलन्मदनशोषणबाणहतेरिव ॥नैषधीयचरितम्४.१०१ ॥")</f>
        <v>इति कियद्वचसैव भृशं प्रियाधरपिपासु तदाननमाशु तत् । अजनि पांशुलमप्रियवाग्ज्वलन्मदनशोषणबाणहतेरिव ॥नैषधीयचरितम्४.१०१ ॥</v>
      </c>
      <c r="B2821" s="4" t="s">
        <v>4</v>
      </c>
      <c r="C2821" s="4"/>
    </row>
    <row r="2822" spans="1:3" ht="24" customHeight="1">
      <c r="A2822" s="4" t="str">
        <f ca="1">IFERROR(__xludf.DUMMYFUNCTION("""COMPUTED_VALUE"""),"प्रियसखीनिवहेन सहाथ सा व्यरचयद्गिरमर्धसमस्यया । हृदयमर्मणि मन्मथसायकैः क्षततमा बहु भाषितुमक्षमा ॥नैषधीयचरितम्४.१०२ ॥")</f>
        <v>प्रियसखीनिवहेन सहाथ सा व्यरचयद्गिरमर्धसमस्यया । हृदयमर्मणि मन्मथसायकैः क्षततमा बहु भाषितुमक्षमा ॥नैषधीयचरितम्४.१०२ ॥</v>
      </c>
      <c r="B2822" s="4" t="s">
        <v>12</v>
      </c>
      <c r="C2822" s="4"/>
    </row>
    <row r="2823" spans="1:3" ht="24" customHeight="1">
      <c r="A2823" s="4" t="str">
        <f ca="1">IFERROR(__xludf.DUMMYFUNCTION("""COMPUTED_VALUE"""),"अकरुणादव सूनशरादसून्सहजयापदि धीरतयात्मनः । असव एव ममाद्य विरोधिनः कथमरीन्सखि रक्षितुमात्थ माम् ॥नैषधीयचरितम्४.१०३ ॥")</f>
        <v>अकरुणादव सूनशरादसून्सहजयापदि धीरतयात्मनः । असव एव ममाद्य विरोधिनः कथमरीन्सखि रक्षितुमात्थ माम् ॥नैषधीयचरितम्४.१०३ ॥</v>
      </c>
      <c r="B2823" s="4" t="s">
        <v>12</v>
      </c>
      <c r="C2823" s="4"/>
    </row>
    <row r="2824" spans="1:3" ht="24" customHeight="1">
      <c r="A2824" s="4" t="str">
        <f ca="1">IFERROR(__xludf.DUMMYFUNCTION("""COMPUTED_VALUE"""),"हितगिरं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॥नैषधीयचरितम्४.१०४ ॥")</f>
        <v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॥नैषधीयचरितम्४.१०४ ॥</v>
      </c>
      <c r="B2824" s="4" t="s">
        <v>2</v>
      </c>
      <c r="C2824" s="4"/>
    </row>
    <row r="2825" spans="1:3" ht="24" customHeight="1">
      <c r="A2825" s="4" t="str">
        <f ca="1">IFERROR(__xludf.DUMMYFUNCTION("""COMPUTED_VALUE"""),"अमृतदीधितिरेष विदर्भजे भजसि तापममुष्य किमंशुभिः । यदि भवन्ति मृताः सखि चन्द्रिकाः शशभृतः क्व तदा ॥नैषधीयचरितम्४.१०५ ॥")</f>
        <v>अमृतदीधितिरेष विदर्भजे भजसि तापममुष्य किमंशुभिः । यदि भवन्ति मृताः सखि चन्द्रिकाः शशभृतः क्व तदा ॥नैषधीयचरितम्४.१०५ ॥</v>
      </c>
      <c r="B2825" s="4" t="s">
        <v>17</v>
      </c>
      <c r="C2825" s="4"/>
    </row>
    <row r="2826" spans="1:3" ht="24" customHeight="1">
      <c r="A2826" s="4" t="str">
        <f ca="1">IFERROR(__xludf.DUMMYFUNCTION("""COMPUTED_VALUE"""),"परितप्यते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॥नैषधीयचरितम्४.१०६ ॥")</f>
        <v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॥नैषधीयचरितम्४.१०६ ॥</v>
      </c>
      <c r="B2826" s="4" t="s">
        <v>18</v>
      </c>
      <c r="C2826" s="4"/>
    </row>
    <row r="2827" spans="1:3" ht="24" customHeight="1">
      <c r="A2827" s="4" t="str">
        <f ca="1">IFERROR(__xludf.DUMMYFUNCTION("""COMPUTED_VALUE"""),"अयि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॥नैषधीयचरितम्४.१०७ ॥")</f>
        <v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॥नैषधीयचरितम्४.१०७ ॥</v>
      </c>
      <c r="B2827" s="4" t="s">
        <v>18</v>
      </c>
      <c r="C2827" s="4"/>
    </row>
    <row r="2828" spans="1:3" ht="24" customHeight="1">
      <c r="A2828" s="4" t="str">
        <f ca="1">IFERROR(__xludf.DUMMYFUNCTION("""COMPUTED_VALUE"""),"विधुविरोधितिथेरभिधायिनीं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॥नैषधीयचरितम्४.१०८ ॥")</f>
        <v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॥नैषधीयचरितम्४.१०८ ॥</v>
      </c>
      <c r="B2828" s="4" t="s">
        <v>5</v>
      </c>
      <c r="C2828" s="4"/>
    </row>
    <row r="2829" spans="1:3" ht="24" customHeight="1">
      <c r="A2829" s="4" t="str">
        <f ca="1">IFERROR(__xludf.DUMMYFUNCTION("""COMPUTED_VALUE"""),"हृदय एव तवास्ति स वल्लभस्तदपि किं दमयन्ति विषीदसि । हृदि परं न बहिः खलु वर्तते सखि यतस्तत एव विषद्यते ॥नैषधीयचरितम्४.१०९ ॥")</f>
        <v>हृदय एव तवास्ति स वल्लभस्तदपि किं दमयन्ति विषीदसि । हृदि परं न बहिः खलु वर्तते सखि यतस्तत एव विषद्यते ॥नैषधीयचरितम्४.१०९ ॥</v>
      </c>
      <c r="B2829" s="4" t="s">
        <v>2</v>
      </c>
      <c r="C2829" s="4"/>
    </row>
    <row r="2830" spans="1:3" ht="24" customHeight="1">
      <c r="A2830" s="4" t="str">
        <f ca="1">IFERROR(__xludf.DUMMYFUNCTION("""COMPUTED_VALUE"""),"स्फुटति हारमणौ मदनोष्मणा हृदयमप्यनलंकृतमद्य ते । सखि हतास्मि तदा यदि हृद्यपि प्रियतमः स मम व्यवधापितः ॥नैषधीयचरितम्४.११ ॥")</f>
        <v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॥नैषधीयचरितम्४.११ ॥</v>
      </c>
      <c r="B2830" s="4" t="s">
        <v>2</v>
      </c>
      <c r="C2830" s="4"/>
    </row>
    <row r="2831" spans="1:3" ht="24" customHeight="1">
      <c r="A2831" s="4" t="str">
        <f ca="1">IFERROR(__xludf.DUMMYFUNCTION("""COMPUTED_VALUE"""),"इदमुदीर्य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॥नैषधीयचरितम्४.१११ ॥")</f>
        <v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॥नैषधीयचरितम्४.१११ ॥</v>
      </c>
      <c r="B2831" s="4" t="s">
        <v>2</v>
      </c>
      <c r="C2831" s="4"/>
    </row>
    <row r="2832" spans="1:3" ht="24" customHeight="1">
      <c r="A2832" s="4" t="str">
        <f ca="1">IFERROR(__xludf.DUMMYFUNCTION("""COMPUTED_VALUE"""),"अधित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॥नैषधीयचरितम्४.११२ ॥")</f>
        <v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॥नैषधीयचरितम्४.११२ ॥</v>
      </c>
      <c r="B2832" s="4" t="s">
        <v>1</v>
      </c>
      <c r="C2832" s="4"/>
    </row>
    <row r="2833" spans="1:3" ht="24" customHeight="1">
      <c r="A2833" s="4" t="str">
        <f ca="1">IFERROR(__xludf.DUMMYFUNCTION("""COMPUTED_VALUE"""),"उपचचार चिरं मृदुशीतलैर्जलजनालमृणालजलादिभिः । प्रियसखीनिवहः स तथा क्रमादियमवाप यथा लघु चेतनम् ॥नैषधीयचरितम्४.११३ ॥")</f>
        <v>उपचचार चिरं मृदुशीतलैर्जलजनालमृणालजलादिभिः । प्रियसखीनिवहः स तथा क्रमादियमवाप यथा लघु चेतनम् ॥नैषधीयचरितम्४.११३ ॥</v>
      </c>
      <c r="B2833" s="4" t="s">
        <v>1</v>
      </c>
      <c r="C2833" s="4"/>
    </row>
    <row r="2834" spans="1:3" ht="24" customHeight="1">
      <c r="A2834" s="4" t="str">
        <f ca="1">IFERROR(__xludf.DUMMYFUNCTION("""COMPUTED_VALUE"""),"अथ कले कलय श्वसिति स्फुटं चलति पक्ष्म चले परिभावय । अधरकम्पनमुन्नय मेनके किमयि जल्पति कल्पलते शृणु ॥नैषधीयचरितम्४.११४ ॥")</f>
        <v>अथ कले कलय श्वसिति स्फुटं चलति पक्ष्म चले परिभावय । अधरकम्पनमुन्नय मेनके किमयि जल्पति कल्पलते शृणु ॥नैषधीयचरितम्४.११४ ॥</v>
      </c>
      <c r="B2834" s="4" t="s">
        <v>7</v>
      </c>
      <c r="C2834" s="4"/>
    </row>
    <row r="2835" spans="1:3" ht="24" customHeight="1">
      <c r="A2835" s="4" t="str">
        <f ca="1">IFERROR(__xludf.DUMMYFUNCTION("""COMPUTED_VALUE"""),"रचय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॥नैषधीयचरितम्४.११५ ॥")</f>
        <v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॥नैषधीयचरितम्४.११५ ॥</v>
      </c>
      <c r="B2835" s="4" t="s">
        <v>0</v>
      </c>
      <c r="C2835" s="4"/>
    </row>
    <row r="2836" spans="1:3" ht="24" customHeight="1">
      <c r="A2836" s="4" t="str">
        <f ca="1">IFERROR(__xludf.DUMMYFUNCTION("""COMPUTED_VALUE"""),"कलकलः स तदालिजनाननादुदलसद्विपुलस्त्वरितेरितैः । यमधिगम्य सुतालयमीय्वान्धृतदरः स विदर्भपुरंदरः ॥नैषधीयचरितम्४.११६ ॥")</f>
        <v>कलकलः स तदालिजनाननादुदलसद्विपुलस्त्वरितेरितैः । यमधिगम्य सुतालयमीय्वान्धृतदरः स विदर्भपुरंदरः ॥नैषधीयचरितम्४.११६ ॥</v>
      </c>
      <c r="B2836" s="4" t="s">
        <v>0</v>
      </c>
      <c r="C2836" s="4"/>
    </row>
    <row r="2837" spans="1:3" ht="24" customHeight="1">
      <c r="A2837" s="4" t="str">
        <f ca="1">IFERROR(__xludf.DUMMYFUNCTION("""COMPUTED_VALUE"""),"कन्यान्तः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॥नैषधीयचरितम्४.११७ ॥")</f>
        <v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॥नैषधीयचरितम्४.११७ ॥</v>
      </c>
      <c r="B2837" s="4" t="s">
        <v>12</v>
      </c>
      <c r="C2837" s="4"/>
    </row>
    <row r="2838" spans="1:3" ht="24" customHeight="1">
      <c r="A2838" s="4" t="str">
        <f ca="1">IFERROR(__xludf.DUMMYFUNCTION("""COMPUTED_VALUE"""),"ताभ्यामभूद्युगपदप्यभिधीयमानं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॥नैषधीयचरितम्४.११८ ॥")</f>
        <v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॥नैषधीयचरितम्४.११८ ॥</v>
      </c>
      <c r="B2838" s="4" t="s">
        <v>5</v>
      </c>
      <c r="C2838" s="4"/>
    </row>
    <row r="2839" spans="1:3" ht="24" customHeight="1">
      <c r="A2839" s="4" t="str">
        <f ca="1">IFERROR(__xludf.DUMMYFUNCTION("""COMPUTED_VALUE"""),"द्रुतविगमितविप्रयोगचिह्नामपि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॥नैषधीयचरितम्४.११९ ॥")</f>
        <v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॥नैषधीयचरितम्४.११९ ॥</v>
      </c>
      <c r="B2839" s="4" t="s">
        <v>25</v>
      </c>
      <c r="C2839" s="4"/>
    </row>
    <row r="2840" spans="1:3" ht="24" customHeight="1">
      <c r="A2840" s="4" t="str">
        <f ca="1">IFERROR(__xludf.DUMMYFUNCTION("""COMPUTED_VALUE"""),"व्यतरदथ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॥नैषधीयचरितम्४.१२ ॥")</f>
        <v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॥नैषधीयचरितम्४.१२ ॥</v>
      </c>
      <c r="B2840" s="4" t="s">
        <v>6</v>
      </c>
      <c r="C2840" s="4"/>
    </row>
    <row r="2841" spans="1:3" ht="24" customHeight="1">
      <c r="A2841" s="4" t="str">
        <f ca="1">IFERROR(__xludf.DUMMYFUNCTION("""COMPUTED_VALUE"""),"तदनु स तनुजासखीरवादीत्तुहिनऋतौ गत एव हीदृशीनाम् । कुसुममपि शरायते शरीरे तदुचितमाचरतोपचारमस्याः ॥नैषधीयचरितम्४.१२१ ॥")</f>
        <v>तदनु स तनुजासखीरवादीत्तुहिनऋतौ गत एव हीदृशीनाम् । कुसुममपि शरायते शरीरे तदुचितमाचरतोपचारमस्याः ॥नैषधीयचरितम्४.१२१ ॥</v>
      </c>
      <c r="B2841" s="4" t="s">
        <v>5</v>
      </c>
      <c r="C2841" s="4"/>
    </row>
    <row r="2842" spans="1:3" ht="24" customHeight="1">
      <c r="A2842" s="4" t="str">
        <f ca="1">IFERROR(__xludf.DUMMYFUNCTION("""COMPUTED_VALUE"""),"कतिपयदिवसैर्वयस्यया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॥नैषधीयचरितम्४.१२२ ॥")</f>
        <v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॥नैषधीयचरितम्४.१२२ ॥</v>
      </c>
      <c r="B2842" s="4" t="s">
        <v>6</v>
      </c>
      <c r="C2842" s="4"/>
    </row>
    <row r="2843" spans="1:3" ht="24" customHeight="1">
      <c r="A2843" s="4" t="str">
        <f ca="1">IFERROR(__xludf.DUMMYFUNCTION("""COMPUTED_VALUE"""),"एवं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॥नैषधीयचरितम्४.१२३ ॥")</f>
        <v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॥नैषधीयचरितम्४.१२३ ॥</v>
      </c>
      <c r="B2843" s="4" t="s">
        <v>5</v>
      </c>
      <c r="C2843" s="4"/>
    </row>
    <row r="2844" spans="1:3" ht="24" customHeight="1">
      <c r="A2844" s="4" t="str">
        <f ca="1">IFERROR(__xludf.DUMMYFUNCTION("""COMPUTED_VALUE"""),"श्रीहर्षं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॥नैषधीयचरितम्४.१२४ ॥")</f>
        <v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॥नैषधीयचरितम्४.१२४ ॥</v>
      </c>
      <c r="B2844" s="4" t="s">
        <v>11</v>
      </c>
      <c r="C2844" s="4"/>
    </row>
    <row r="2845" spans="1:3" ht="24" customHeight="1">
      <c r="A2845" s="4" t="str">
        <f ca="1">IFERROR(__xludf.DUMMYFUNCTION("""COMPUTED_VALUE"""),"यावदागमयतेऽथ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॥नैषधीयचरितम्५.१ ॥")</f>
        <v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॥नैषधीयचरितम्५.१ ॥</v>
      </c>
      <c r="B2845" s="4" t="s">
        <v>12</v>
      </c>
      <c r="C2845" s="4"/>
    </row>
    <row r="2846" spans="1:3" ht="24" customHeight="1">
      <c r="A2846" s="4" t="str">
        <f ca="1">IFERROR(__xludf.DUMMYFUNCTION("""COMPUTED_VALUE"""),"नात्र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॥नैषधीयचरितम्५.२ ॥")</f>
        <v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॥नैषधीयचरितम्५.२ ॥</v>
      </c>
      <c r="B2846" s="4" t="s">
        <v>28</v>
      </c>
      <c r="C2846" s="4"/>
    </row>
    <row r="2847" spans="1:3" ht="24" customHeight="1">
      <c r="A2847" s="4" t="str">
        <f ca="1">IFERROR(__xludf.DUMMYFUNCTION("""COMPUTED_VALUE"""),"गच्छता पथि विनैव विमानं व्योम तेन मुनिना विजगाहे । साधने हि नियमोऽन्यजनानां योगिनां तु तपसाखिलसिद्धिः ॥नैषधीयचरितम्५.३ ॥")</f>
        <v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॥नैषधीयचरितम्५.३ ॥</v>
      </c>
      <c r="B2847" s="4" t="s">
        <v>20</v>
      </c>
      <c r="C2847" s="4"/>
    </row>
    <row r="2848" spans="1:3" ht="24" customHeight="1">
      <c r="A2848" s="4" t="str">
        <f ca="1">IFERROR(__xludf.DUMMYFUNCTION("""COMPUTED_VALUE"""),"खण्डितेन्द्रभवनाद्यभिमानाल्लङ्घते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॥नैषधीयचरितम्५.४ ॥")</f>
        <v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॥नैषधीयचरितम्५.४ ॥</v>
      </c>
      <c r="B2848" s="4" t="s">
        <v>0</v>
      </c>
      <c r="C2848" s="4"/>
    </row>
    <row r="2849" spans="1:3" ht="24" customHeight="1">
      <c r="A2849" s="4" t="str">
        <f ca="1">IFERROR(__xludf.DUMMYFUNCTION("""COMPUTED_VALUE"""),"तस्य तापनभिया तपनः स्वं तावदेव समकोचयदर्चिः । यावदेव दिवसेन शशीव द्रागतप्यत न तन्महसैव ॥नैषधीयचरितम्५.५ ॥")</f>
        <v>तस्य तापनभिया तपनः स्वं तावदेव समकोचयदर्चिः । यावदेव दिवसेन शशीव द्रागतप्यत न तन्महसैव ॥नैषधीयचरितम्५.५ ॥</v>
      </c>
      <c r="B2849" s="4" t="s">
        <v>4</v>
      </c>
      <c r="C2849" s="4"/>
    </row>
    <row r="2850" spans="1:3" ht="24" customHeight="1">
      <c r="A2850" s="4" t="str">
        <f ca="1">IFERROR(__xludf.DUMMYFUNCTION("""COMPUTED_VALUE"""),"पर्यभूद्दिनमणिर्द्विजराजं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॥नैषधीयचरितम्५.६ ॥")</f>
        <v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॥नैषधीयचरितम्५.६ ॥</v>
      </c>
      <c r="B2850" s="4" t="s">
        <v>2</v>
      </c>
      <c r="C2850" s="4"/>
    </row>
    <row r="2851" spans="1:3" ht="24" customHeight="1">
      <c r="A2851" s="4" t="str">
        <f ca="1">IFERROR(__xludf.DUMMYFUNCTION("""COMPUTED_VALUE"""),"विष्टरं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॥नैषधीयचरितम्५.७ ॥")</f>
        <v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॥नैषधीयचरितम्५.७ ॥</v>
      </c>
      <c r="B2851" s="4" t="s">
        <v>12</v>
      </c>
      <c r="C2851" s="4"/>
    </row>
    <row r="2852" spans="1:3" ht="24" customHeight="1">
      <c r="A2852" s="4" t="str">
        <f ca="1">IFERROR(__xludf.DUMMYFUNCTION("""COMPUTED_VALUE"""),"स व्यतीत्य वियदन्तरगाधं नाकनायकनिकेतनमाप । संप्रतीर्य भवसिन्धुमनादिं ब्रह्म शर्मभरचारु यतीव ॥नैषधीयचरितम्५.८ ॥")</f>
        <v>स व्यतीत्य वियदन्तरगाधं नाकनायकनिकेतनमाप । संप्रतीर्य भवसिन्धुमनादिं ब्रह्म शर्मभरचारु यतीव ॥नैषधीयचरितम्५.८ ॥</v>
      </c>
      <c r="B2852" s="4" t="s">
        <v>4</v>
      </c>
      <c r="C2852" s="4"/>
    </row>
    <row r="2853" spans="1:3" ht="24" customHeight="1">
      <c r="A2853" s="4" t="str">
        <f ca="1">IFERROR(__xludf.DUMMYFUNCTION("""COMPUTED_VALUE"""),"अर्चनाभिरुचितोच्चतराभिश्चारु तं सदकृतातिथिमिन्द्रः । यावदर्हकरणं किल साधोः प्रत्यवायधुतये न गुणाय ॥नैषधीयचरितम्५.९ ॥")</f>
        <v>अर्चनाभिरुचितोच्चतराभिश्चारु तं सदकृतातिथिमिन्द्रः । यावदर्हकरणं किल साधोः प्रत्यवायधुतये न गुणाय ॥नैषधीयचरितम्५.९ ॥</v>
      </c>
      <c r="B2853" s="4" t="s">
        <v>5</v>
      </c>
      <c r="C2853" s="4"/>
    </row>
    <row r="2854" spans="1:3" ht="24" customHeight="1">
      <c r="A2854" s="4" t="str">
        <f ca="1">IFERROR(__xludf.DUMMYFUNCTION("""COMPUTED_VALUE"""),"नामधेयसमतासखमद्रेरद्रिभिन्मुनिमथाद्रियत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॥नैषधीयचरितम्५.१ ॥")</f>
        <v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॥नैषधीयचरितम्५.१ ॥</v>
      </c>
      <c r="B2854" s="4" t="s">
        <v>6</v>
      </c>
      <c r="C2854" s="4"/>
    </row>
    <row r="2855" spans="1:3" ht="24" customHeight="1">
      <c r="A2855" s="4" t="str">
        <f ca="1">IFERROR(__xludf.DUMMYFUNCTION("""COMPUTED_VALUE"""),"तद्भुजादतिवितीर्णसपर्याद्द्युद्रुमानपि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॥नैषधीयचरितम्५.११ ॥")</f>
        <v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॥नैषधीयचरितम्५.११ ॥</v>
      </c>
      <c r="B2855" s="4" t="s">
        <v>5</v>
      </c>
      <c r="C2855" s="4"/>
    </row>
    <row r="2856" spans="1:3" ht="24" customHeight="1">
      <c r="A2856" s="4" t="str">
        <f ca="1">IFERROR(__xludf.DUMMYFUNCTION("""COMPUTED_VALUE"""),"मुद्रितान्यजनसंकथनः सन्नारदं बलरिपुः समवादीत् । आकरः स्वपरभूरिकथानां प्रायशो हि सुहृदोः सहवासः ॥नैषधीयचरितम्५.१२ ॥")</f>
        <v>मुद्रितान्यजनसंकथनः सन्नारदं बलरिपुः समवादीत् । आकरः स्वपरभूरिकथानां प्रायशो हि सुहृदोः सहवासः ॥नैषधीयचरितम्५.१२ ॥</v>
      </c>
      <c r="B2856" s="4" t="s">
        <v>18</v>
      </c>
      <c r="C2856" s="4"/>
    </row>
    <row r="2857" spans="1:3" ht="24" customHeight="1">
      <c r="A2857" s="4" t="str">
        <f ca="1">IFERROR(__xludf.DUMMYFUNCTION("""COMPUTED_VALUE"""),"तं कथानुकथनप्रसृतायां दूरमालपनकौतुकितायाम् । भूभृतां चिरमनागतिहेतुं ज्ञातुमिच्छुरवदच्छतमन्युः ॥नैषधीयचरितम्५.१३ ॥")</f>
        <v>तं कथानुकथनप्रसृतायां दूरमालपनकौतुकितायाम् । भूभृतां चिरमनागतिहेतुं ज्ञातुमिच्छुरवदच्छतमन्युः ॥नैषधीयचरितम्५.१३ ॥</v>
      </c>
      <c r="B2857" s="4" t="s">
        <v>5</v>
      </c>
      <c r="C2857" s="4"/>
    </row>
    <row r="2858" spans="1:3" ht="24" customHeight="1">
      <c r="A2858" s="4" t="str">
        <f ca="1">IFERROR(__xludf.DUMMYFUNCTION("""COMPUTED_VALUE"""),"प्रागिव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॥नैषधीयचरितम्५.१४ ॥")</f>
        <v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॥नैषधीयचरितम्५.१४ ॥</v>
      </c>
      <c r="B2858" s="4" t="s">
        <v>2</v>
      </c>
      <c r="C2858" s="4"/>
    </row>
    <row r="2859" spans="1:3" ht="24" customHeight="1">
      <c r="A2859" s="4" t="str">
        <f ca="1">IFERROR(__xludf.DUMMYFUNCTION("""COMPUTED_VALUE"""),"पार्थिवं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॥नैषधीयचरितम्५.१५ ॥")</f>
        <v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॥नैषधीयचरितम्५.१५ ॥</v>
      </c>
      <c r="B2859" s="4" t="s">
        <v>20</v>
      </c>
      <c r="C2859" s="4"/>
    </row>
    <row r="2860" spans="1:3" ht="24" customHeight="1">
      <c r="A2860" s="4" t="str">
        <f ca="1">IFERROR(__xludf.DUMMYFUNCTION("""COMPUTED_VALUE"""),"साभिशापमिव नातिथयस्ते मां यदद्य भगवन्नुपयन्ति । तेन न श्रियमिमां बहु मन्ये स्वोदरैकभृतिकाऋयकदर्याम् ॥नैषधीयचरितम्५.१६ ॥")</f>
        <v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॥नैषधीयचरितम्५.१६ ॥</v>
      </c>
      <c r="B2860" s="4" t="s">
        <v>5</v>
      </c>
      <c r="C2860" s="4"/>
    </row>
    <row r="2861" spans="1:3" ht="24" customHeight="1">
      <c r="A2861" s="4" t="str">
        <f ca="1">IFERROR(__xludf.DUMMYFUNCTION("""COMPUTED_VALUE"""),"पूर्वपुण्यविभवव्ययलब्धाः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॥नैषधीयचरितम्५.१७ ॥")</f>
        <v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॥नैषधीयचरितम्५.१७ ॥</v>
      </c>
      <c r="B2861" s="4" t="s">
        <v>23</v>
      </c>
      <c r="C2861" s="4"/>
    </row>
    <row r="2862" spans="1:3" ht="24" customHeight="1">
      <c r="A2862" s="4" t="str">
        <f ca="1">IFERROR(__xludf.DUMMYFUNCTION("""COMPUTED_VALUE"""),"तद्विमृज्य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॥नैषधीयचरितम्५.१८ ॥")</f>
        <v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॥नैषधीयचरितम्५.१८ ॥</v>
      </c>
      <c r="B2862" s="4" t="s">
        <v>6</v>
      </c>
      <c r="C2862" s="4"/>
    </row>
    <row r="2863" spans="1:3" ht="24" customHeight="1">
      <c r="A2863" s="4" t="str">
        <f ca="1">IFERROR(__xludf.DUMMYFUNCTION("""COMPUTED_VALUE"""),"इत्युदीर्य मघवा विनयर्धिं वर्धयन्नवहितत्वभरेण । चक्षुषां दशशतीमनिमेषां तस्थिवान्मुनिमुखे प्रणिधाय ॥नैषधीयचरितम्५.१९ ॥")</f>
        <v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॥नैषधीयचरितम्५.१९ ॥</v>
      </c>
      <c r="B2863" s="4" t="s">
        <v>5</v>
      </c>
      <c r="C2863" s="4"/>
    </row>
    <row r="2864" spans="1:3" ht="24" customHeight="1">
      <c r="A2864" s="4" t="str">
        <f ca="1">IFERROR(__xludf.DUMMYFUNCTION("""COMPUTED_VALUE"""),"वीक्ष्य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॥नैषधीयचरितम्५.२ ॥")</f>
        <v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॥नैषधीयचरितम्५.२ ॥</v>
      </c>
      <c r="B2864" s="4" t="s">
        <v>16</v>
      </c>
      <c r="C2864" s="4"/>
    </row>
    <row r="2865" spans="1:3" ht="24" customHeight="1">
      <c r="A2865" s="4" t="str">
        <f ca="1">IFERROR(__xludf.DUMMYFUNCTION("""COMPUTED_VALUE"""),"भिक्षिता शतमखी सुकृतं यत्तत्परिश्रमविदः स्वविभूतौ । तत्फले यदि परं तव हेला क्लेशलब्धमधिकादरदं तु ॥नैषधीयचरितम्५.२१ ॥")</f>
        <v>भिक्षिता शतमखी सुकृतं यत्तत्परिश्रमविदः स्वविभूतौ । तत्फले यदि परं तव हेला क्लेशलब्धमधिकादरदं तु ॥नैषधीयचरितम्५.२१ ॥</v>
      </c>
      <c r="B2865" s="4" t="s">
        <v>2</v>
      </c>
      <c r="C2865" s="4"/>
    </row>
    <row r="2866" spans="1:3" ht="24" customHeight="1">
      <c r="A2866" s="4" t="str">
        <f ca="1">IFERROR(__xludf.DUMMYFUNCTION("""COMPUTED_VALUE"""),"संपदस्तवगिरामपि दूरा यन्न नाम विनयं विनयन्ते । श्रद्दधाति क इवेह न साक्षादाह चेदनुभवः परमाप्तः ॥नैषधीयचरितम्५.२२ ॥")</f>
        <v>संपदस्तवगिरामपि दूरा यन्न नाम विनयं विनयन्ते । श्रद्दधाति क इवेह न साक्षादाह चेदनुभवः परमाप्तः ॥नैषधीयचरितम्५.२२ ॥</v>
      </c>
      <c r="B2866" s="4" t="s">
        <v>2</v>
      </c>
      <c r="C2866" s="4"/>
    </row>
    <row r="2867" spans="1:3" ht="24" customHeight="1">
      <c r="A2867" s="4" t="str">
        <f ca="1">IFERROR(__xludf.DUMMYFUNCTION("""COMPUTED_VALUE"""),"श्रीभरानतिथिसात्करवाणि स्वोपभोगपरता न हितेति । पश्यतो बहिरिवान्तरपीयं दृष्टिसृष्टिरधिका तव कापि ॥नैषधीयचरितम्५.२३ ॥")</f>
        <v>श्रीभरानतिथिसात्करवाणि स्वोपभोगपरता न हितेति । पश्यतो बहिरिवान्तरपीयं दृष्टिसृष्टिरधिका तव कापि ॥नैषधीयचरितम्५.२३ ॥</v>
      </c>
      <c r="B2867" s="4" t="s">
        <v>9</v>
      </c>
      <c r="C2867" s="4"/>
    </row>
    <row r="2868" spans="1:3" ht="24" customHeight="1">
      <c r="A2868" s="4" t="str">
        <f ca="1">IFERROR(__xludf.DUMMYFUNCTION("""COMPUTED_VALUE"""),"आः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॥नैषधीयचरितम्५.२४ ॥")</f>
        <v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॥नैषधीयचरितम्५.२४ ॥</v>
      </c>
      <c r="B2868" s="4" t="s">
        <v>3</v>
      </c>
      <c r="C2868" s="4"/>
    </row>
    <row r="2869" spans="1:3" ht="24" customHeight="1">
      <c r="A2869" s="4" t="str">
        <f ca="1">IFERROR(__xludf.DUMMYFUNCTION("""COMPUTED_VALUE"""),"संख्यविक्षततनुस्रवदस्रुक्षालिताखिलनिजाघलघूनाम्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॥नैषधीयचरितम्५.२५ ॥")</f>
        <v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॥नैषधीयचरितम्५.२५ ॥</v>
      </c>
      <c r="B2869" s="4" t="s">
        <v>2</v>
      </c>
      <c r="C2869" s="4"/>
    </row>
    <row r="2870" spans="1:3" ht="24" customHeight="1">
      <c r="A2870" s="4" t="str">
        <f ca="1">IFERROR(__xludf.DUMMYFUNCTION("""COMPUTED_VALUE"""),"सा भुवः किमपि रत्नमनर्घं भूषणं जयति तत्र कुमारी । भीमभूपतनया दमयन्ती नाम या मदनशस्त्रममोघम् ॥नैषधीयचरितम्५.२६ ॥")</f>
        <v>सा भुवः किमपि रत्नमनर्घं भूषणं जयति तत्र कुमारी । भीमभूपतनया दमयन्ती नाम या मदनशस्त्रममोघम् ॥नैषधीयचरितम्५.२६ ॥</v>
      </c>
      <c r="B2870" s="4" t="s">
        <v>28</v>
      </c>
      <c r="C2870" s="4"/>
    </row>
    <row r="2871" spans="1:3" ht="24" customHeight="1">
      <c r="A2871" s="4" t="str">
        <f ca="1">IFERROR(__xludf.DUMMYFUNCTION("""COMPUTED_VALUE"""),"संप्रति प्रतिमुहूर्तमपूर्वा कापि यौवनजवेन भवन्ती । आशिखं सुकृतसारभृते सा क्वापि यूनि भजते किल भावम् ॥नैषधीयचरितम्५.२७ ॥")</f>
        <v>संप्रति प्रतिमुहूर्तमपूर्वा कापि यौवनजवेन भवन्ती । आशिखं सुकृतसारभृते सा क्वापि यूनि भजते किल भावम् ॥नैषधीयचरितम्५.२७ ॥</v>
      </c>
      <c r="B2871" s="4" t="s">
        <v>4</v>
      </c>
      <c r="C2871" s="4"/>
    </row>
    <row r="2872" spans="1:3" ht="24" customHeight="1">
      <c r="A2872" s="4" t="str">
        <f ca="1">IFERROR(__xludf.DUMMYFUNCTION("""COMPUTED_VALUE"""),"कथ्यते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॥नैषधीयचरितम्५.२८ ॥")</f>
        <v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॥नैषधीयचरितम्५.२८ ॥</v>
      </c>
      <c r="B2872" s="4" t="s">
        <v>1</v>
      </c>
      <c r="C2872" s="4"/>
    </row>
    <row r="2873" spans="1:3" ht="24" customHeight="1">
      <c r="A2873" s="4" t="str">
        <f ca="1">IFERROR(__xludf.DUMMYFUNCTION("""COMPUTED_VALUE"""),"यत्पथावधिरणुः परमः सा योगिधीरपि न पश्यति यस्मात् । बालया निजमनःपरमाणौ ह्रीदरीशयहरीकृतमेनम् ॥नैषधीयचरितम्५.२९ ॥")</f>
        <v>यत्पथावधिरणुः परमः सा योगिधीरपि न पश्यति यस्मात् । बालया निजमनःपरमाणौ ह्रीदरीशयहरीकृतमेनम् ॥नैषधीयचरितम्५.२९ ॥</v>
      </c>
      <c r="B2873" s="4" t="s">
        <v>1</v>
      </c>
      <c r="C2873" s="4"/>
    </row>
    <row r="2874" spans="1:3" ht="24" customHeight="1">
      <c r="A2874" s="4" t="str">
        <f ca="1">IFERROR(__xludf.DUMMYFUNCTION("""COMPUTED_VALUE"""),"सा शरस्य कुसुमस्य शरव्यं सूचिता विरहवाचिभिरङ्गैः । तातचित्तमपि धातुरधत्त स्वस्वयंवरमहाय सहायम् ॥नैषधीयचरितम्५.३ ॥")</f>
        <v>सा शरस्य कुसुमस्य शरव्यं सूचिता विरहवाचिभिरङ्गैः । तातचित्तमपि धातुरधत्त स्वस्वयंवरमहाय सहायम् ॥नैषधीयचरितम्५.३ ॥</v>
      </c>
      <c r="B2874" s="4" t="s">
        <v>5</v>
      </c>
      <c r="C2874" s="4"/>
    </row>
    <row r="2875" spans="1:3" ht="24" customHeight="1">
      <c r="A2875" s="4" t="str">
        <f ca="1">IFERROR(__xludf.DUMMYFUNCTION("""COMPUTED_VALUE"""),"मन्मथाय यदथादित राज्ञां हूतिदूत्यविधये विधिराज्ञाम् । तेन तत्परवशाः पृथिवीशः संगरं गरमिवाकलयन्ति ॥नैषधीयचरितम्५.३१ ॥")</f>
        <v>मन्मथाय यदथादित राज्ञां हूतिदूत्यविधये विधिराज्ञाम् । तेन तत्परवशाः पृथिवीशः संगरं गरमिवाकलयन्ति ॥नैषधीयचरितम्५.३१ ॥</v>
      </c>
      <c r="B2875" s="4" t="s">
        <v>2</v>
      </c>
      <c r="C2875" s="4"/>
    </row>
    <row r="2876" spans="1:3" ht="24" customHeight="1">
      <c r="A2876" s="4" t="str">
        <f ca="1">IFERROR(__xludf.DUMMYFUNCTION("""COMPUTED_VALUE"""),"येषु येषु सरसा दमयन्ती भूषणेषु यदिवापि गुणेषु । तत्र तत्र कलयापि विशेषो यः स हि क्षितिभृतां पुरुषार्थः ॥नैषधीयचरितम्५.३२ ॥")</f>
        <v>येषु येषु सरसा दमयन्ती भूषणेषु यदिवापि गुणेषु । तत्र तत्र कलयापि विशेषो यः स हि क्षितिभृतां पुरुषार्थः ॥नैषधीयचरितम्५.३२ ॥</v>
      </c>
      <c r="B2876" s="4" t="s">
        <v>10</v>
      </c>
      <c r="C2876" s="4"/>
    </row>
    <row r="2877" spans="1:3" ht="24" customHeight="1">
      <c r="A2877" s="4" t="str">
        <f ca="1">IFERROR(__xludf.DUMMYFUNCTION("""COMPUTED_VALUE"""),"शैशवव्ययदिनावधि तस्या यौवनोदयिनि राजसमाजे । आदरादहरहः कुसुमेषोरुल्ललास मृगयाभिनिवेशः ॥नैषधीयचरितम्५.३३ ॥")</f>
        <v>शैशवव्ययदिनावधि तस्या यौवनोदयिनि राजसमाजे । आदरादहरहः कुसुमेषोरुल्ललास मृगयाभिनिवेशः ॥नैषधीयचरितम्५.३३ ॥</v>
      </c>
      <c r="B2877" s="4" t="s">
        <v>8</v>
      </c>
      <c r="C2877" s="4"/>
    </row>
    <row r="2878" spans="1:3" ht="24" customHeight="1">
      <c r="A2878" s="4" t="str">
        <f ca="1">IFERROR(__xludf.DUMMYFUNCTION("""COMPUTED_VALUE"""),"इत्यमी वसुमतीं कमितारः सादरस्त्वदतिथीभवितुं न । भीमभूसुरभुवोरभिलाषे दूरमन्तरमहो नृपतीनाम् ॥नैषधीयचरितम्५.३४ ॥")</f>
        <v>इत्यमी वसुमतीं कमितारः सादरस्त्वदतिथीभवितुं न । भीमभूसुरभुवोरभिलाषे दूरमन्तरमहो नृपतीनाम् ॥नैषधीयचरितम्५.३४ ॥</v>
      </c>
      <c r="B2878" s="4" t="s">
        <v>1</v>
      </c>
      <c r="C2878" s="4"/>
    </row>
    <row r="2879" spans="1:3" ht="24" customHeight="1">
      <c r="A2879" s="4" t="str">
        <f ca="1">IFERROR(__xludf.DUMMYFUNCTION("""COMPUTED_VALUE"""),"तेन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॥नैषधीयचरितम्५.३५ ॥")</f>
        <v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॥नैषधीयचरितम्५.३५ ॥</v>
      </c>
      <c r="B2879" s="4" t="s">
        <v>19</v>
      </c>
      <c r="C2879" s="4"/>
    </row>
    <row r="2880" spans="1:3" ht="24" customHeight="1">
      <c r="A2880" s="4" t="str">
        <f ca="1">IFERROR(__xludf.DUMMYFUNCTION("""COMPUTED_VALUE"""),"वेद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॥नैषधीयचरितम्५.३६ ॥")</f>
        <v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॥नैषधीयचरितम्५.३६ ॥</v>
      </c>
      <c r="B2880" s="4" t="s">
        <v>19</v>
      </c>
      <c r="C2880" s="4"/>
    </row>
    <row r="2881" spans="1:3" ht="24" customHeight="1">
      <c r="A2881" s="4" t="str">
        <f ca="1">IFERROR(__xludf.DUMMYFUNCTION("""COMPUTED_VALUE"""),"एवमुक्तवति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॥नैषधीयचरितम्५.३७ ॥")</f>
        <v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॥नैषधीयचरितम्५.३७ ॥</v>
      </c>
      <c r="B2881" s="4" t="s">
        <v>17</v>
      </c>
      <c r="C2881" s="4"/>
    </row>
    <row r="2882" spans="1:3" ht="24" customHeight="1">
      <c r="A2882" s="4" t="str">
        <f ca="1">IFERROR(__xludf.DUMMYFUNCTION("""COMPUTED_VALUE"""),"कानुजे मम निजे दनुजारौ जाङ्रति स्वशरणे रणचर्चा । यद्भुजाङ्कमुपधाय जयाङ्कं शर्मणा स्वपिमि वीतविशङ्कः ॥नैषधीयचरितम्५.३८ ॥")</f>
        <v>कानुजे मम निजे दनुजारौ जाङ्रति स्वशरणे रणचर्चा । यद्भुजाङ्कमुपधाय जयाङ्कं शर्मणा स्वपिमि वीतविशङ्कः ॥नैषधीयचरितम्५.३८ ॥</v>
      </c>
      <c r="B2882" s="4" t="s">
        <v>19</v>
      </c>
      <c r="C2882" s="4"/>
    </row>
    <row r="2883" spans="1:3" ht="24" customHeight="1">
      <c r="A2883" s="4" t="str">
        <f ca="1">IFERROR(__xludf.DUMMYFUNCTION("""COMPUTED_VALUE"""),"विश्वरूपकलनादुपपन्नं तस्य जैमिनिमुनित्वमुदीये । विग्रहं मखभुजामसहिष्णुर्व्यर्थतां मदशनिं स निनाय ॥नैषधीयचरितम्५.३९ ॥ ")</f>
        <v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॥नैषधीयचरितम्५.३९ ॥ </v>
      </c>
      <c r="B2883" s="4" t="s">
        <v>5</v>
      </c>
      <c r="C2883" s="4"/>
    </row>
    <row r="2884" spans="1:3" ht="24" customHeight="1">
      <c r="A2884" s="4" t="str">
        <f ca="1">IFERROR(__xludf.DUMMYFUNCTION("""COMPUTED_VALUE"""),"ईदृशानि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॥नैषधीयचरितम्५.४ ॥")</f>
        <v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॥नैषधीयचरितम्५.४ ॥</v>
      </c>
      <c r="B2884" s="4" t="s">
        <v>3</v>
      </c>
      <c r="C2884" s="4"/>
    </row>
    <row r="2885" spans="1:3" ht="24" customHeight="1">
      <c r="A2885" s="4" t="str">
        <f ca="1">IFERROR(__xludf.DUMMYFUNCTION("""COMPUTED_VALUE"""),"स्वारसातलभवाहवशङ्की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॥नैषधीयचरितम्५.४१ ॥")</f>
        <v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॥नैषधीयचरितम्५.४१ ॥</v>
      </c>
      <c r="B2885" s="4" t="s">
        <v>19</v>
      </c>
      <c r="C2885" s="4"/>
    </row>
    <row r="2886" spans="1:3" ht="24" customHeight="1">
      <c r="A2886" s="4" t="str">
        <f ca="1">IFERROR(__xludf.DUMMYFUNCTION("""COMPUTED_VALUE"""),"वीक्षितस्त्वमसि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॥नैषधीयचरितम्५.४२ ॥")</f>
        <v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॥नैषधीयचरितम्५.४२ ॥</v>
      </c>
      <c r="B2886" s="4" t="s">
        <v>2</v>
      </c>
      <c r="C2886" s="4"/>
    </row>
    <row r="2887" spans="1:3" ht="24" customHeight="1">
      <c r="A2887" s="4" t="str">
        <f ca="1">IFERROR(__xludf.DUMMYFUNCTION("""COMPUTED_VALUE"""),"इत्युदीर्य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॥नैषधीयचरितम्५.४३ ॥")</f>
        <v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॥नैषधीयचरितम्५.४३ ॥</v>
      </c>
      <c r="B2887" s="4" t="s">
        <v>7</v>
      </c>
      <c r="C2887" s="4"/>
    </row>
    <row r="2888" spans="1:3" ht="24" customHeight="1">
      <c r="A2888" s="4" t="str">
        <f ca="1">IFERROR(__xludf.DUMMYFUNCTION("""COMPUTED_VALUE"""),"पर्वतेन परिपीय गभीरं नारदीयमुदितं प्रतिनेदे । स्वस्य कश्चिदपि पर्वतपक्षच्छेदिनि स्वयमदर्शि न पक्षः ॥नैषधीयचरितम्५.४४ ॥")</f>
        <v>पर्वतेन परिपीय गभीरं नारदीयमुदितं प्रतिनेदे । स्वस्य कश्चिदपि पर्वतपक्षच्छेदिनि स्वयमदर्शि न पक्षः ॥नैषधीयचरितम्५.४४ ॥</v>
      </c>
      <c r="B2888" s="4" t="s">
        <v>13</v>
      </c>
      <c r="C2888" s="4"/>
    </row>
    <row r="2889" spans="1:3" ht="24" customHeight="1">
      <c r="A2889" s="4" t="str">
        <f ca="1">IFERROR(__xludf.DUMMYFUNCTION("""COMPUTED_VALUE"""),"पाणये बलरिपोरथ भैमीशीतकोमलकरग्रहमर्हम् । भेषजं चिरचिताशनिवासव्यापदामुपदिदेश रतीशः ॥नैषधीयचरितम्५.४५ ॥")</f>
        <v>पाणये बलरिपोरथ भैमीशीतकोमलकरग्रहमर्हम् । भेषजं चिरचिताशनिवासव्यापदामुपदिदेश रतीशः ॥नैषधीयचरितम्५.४५ ॥</v>
      </c>
      <c r="B2889" s="4" t="s">
        <v>8</v>
      </c>
      <c r="C2889" s="4"/>
    </row>
    <row r="2890" spans="1:3" ht="24" customHeight="1">
      <c r="A2890" s="4" t="str">
        <f ca="1">IFERROR(__xludf.DUMMYFUNCTION("""COMPUTED_VALUE"""),"नाकलोकभिषाजोः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॥नैषधीयचरितम्५.४६ ॥")</f>
        <v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॥नैषधीयचरितम्५.४६ ॥</v>
      </c>
      <c r="B2890" s="4" t="s">
        <v>5</v>
      </c>
      <c r="C2890" s="4"/>
    </row>
    <row r="2891" spans="1:3" ht="24" customHeight="1">
      <c r="A2891" s="4" t="str">
        <f ca="1">IFERROR(__xludf.DUMMYFUNCTION("""COMPUTED_VALUE"""),"मानुषीमनुसरत्यथ पत्यौ खर्वभावमवलम्ब्य मघोनी । खण्डितं निजमसूचयदुच्चैर्मानमाननसरोरुहनत्या ॥नैषधीयचरितम्५.४७ ॥")</f>
        <v>मानुषीमनुसरत्यथ पत्यौ खर्वभावमवलम्ब्य मघोनी । खण्डितं निजमसूचयदुच्चैर्मानमाननसरोरुहनत्या ॥नैषधीयचरितम्५.४७ ॥</v>
      </c>
      <c r="B2891" s="4" t="s">
        <v>5</v>
      </c>
      <c r="C2891" s="4"/>
    </row>
    <row r="2892" spans="1:3" ht="24" customHeight="1">
      <c r="A2892" s="4" t="str">
        <f ca="1">IFERROR(__xludf.DUMMYFUNCTION("""COMPUTED_VALUE"""),"यो मघोनि दिवमुच्चरमाणे रम्भया मलिनिमालमलम्भि । वर्ण एव स खलूज्ज्वलमस्याः शान्तमान्तरमभाषत भङ्ग्या ॥नैषधीयचरितम्५.४८ ॥")</f>
        <v>यो मघोनि दिवमुच्चरमाणे रम्भया मलिनिमालमलम्भि । वर्ण एव स खलूज्ज्वलमस्याः शान्तमान्तरमभाषत भङ्ग्या ॥नैषधीयचरितम्५.४८ ॥</v>
      </c>
      <c r="B2892" s="4" t="s">
        <v>5</v>
      </c>
      <c r="C2892" s="4"/>
    </row>
    <row r="2893" spans="1:3" ht="24" customHeight="1">
      <c r="A2893" s="4" t="str">
        <f ca="1">IFERROR(__xludf.DUMMYFUNCTION("""COMPUTED_VALUE"""),"जीवितेन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॥नैषधीयचरितम्५.४९ ॥")</f>
        <v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॥नैषधीयचरितम्५.४९ ॥</v>
      </c>
      <c r="B2893" s="4" t="s">
        <v>1</v>
      </c>
      <c r="C2893" s="4"/>
    </row>
    <row r="2894" spans="1:3" ht="24" customHeight="1">
      <c r="A2894" s="4" t="str">
        <f ca="1">IFERROR(__xludf.DUMMYFUNCTION("""COMPUTED_VALUE"""),"साधु नः पतनमेवमितः स्यादित्यभण्यत तिलोत्तमयापि । चामरस्य पतनेन कराग्जात्तद्विलोलनचलद्भुजनालात् ॥नैषधीयचरितम्५.५ ॥")</f>
        <v>साधु नः पतनमेवमितः स्यादित्यभण्यत तिलोत्तमयापि । चामरस्य पतनेन कराग्जात्तद्विलोलनचलद्भुजनालात् ॥नैषधीयचरितम्५.५ ॥</v>
      </c>
      <c r="B2894" s="4" t="s">
        <v>11</v>
      </c>
      <c r="C2894" s="4"/>
    </row>
    <row r="2895" spans="1:3" ht="24" customHeight="1">
      <c r="A2895" s="4" t="str">
        <f ca="1">IFERROR(__xludf.DUMMYFUNCTION("""COMPUTED_VALUE"""),"मेनका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॥नैषधीयचरितम्५.५१ ॥")</f>
        <v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॥नैषधीयचरितम्५.५१ ॥</v>
      </c>
      <c r="B2895" s="4" t="s">
        <v>10</v>
      </c>
      <c r="C2895" s="4"/>
    </row>
    <row r="2896" spans="1:3" ht="24" customHeight="1">
      <c r="A2896" s="4" t="str">
        <f ca="1">IFERROR(__xludf.DUMMYFUNCTION("""COMPUTED_VALUE"""),"उर्वशी गुणवशीकृतविश्वा तत्क्षणस्तिमितभावनिभेन । शक्रसौहृदसमापनसीमस्तम्भकार्यमपुषद्वपुषैव ॥नैषधीयचरितम्५.५२ ॥")</f>
        <v>उर्वशी गुणवशीकृतविश्वा तत्क्षणस्तिमितभावनिभेन । शक्रसौहृदसमापनसीमस्तम्भकार्यमपुषद्वपुषैव ॥नैषधीयचरितम्५.५२ ॥</v>
      </c>
      <c r="B2896" s="4" t="s">
        <v>4</v>
      </c>
      <c r="C2896" s="4"/>
    </row>
    <row r="2897" spans="1:3" ht="24" customHeight="1">
      <c r="A2897" s="4" t="str">
        <f ca="1">IFERROR(__xludf.DUMMYFUNCTION("""COMPUTED_VALUE"""),"कापि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॥नैषधीयचरितम्५.५३ ॥")</f>
        <v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॥नैषधीयचरितम्५.५३ ॥</v>
      </c>
      <c r="B2897" s="4" t="s">
        <v>5</v>
      </c>
      <c r="C2897" s="4"/>
    </row>
    <row r="2898" spans="1:3" ht="24" customHeight="1">
      <c r="A2898" s="4" t="str">
        <f ca="1">IFERROR(__xludf.DUMMYFUNCTION("""COMPUTED_VALUE"""),"आलिमात्मसुभगत्वसगर्वा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॥नैषधीयचरितम्५.५४ ॥")</f>
        <v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॥नैषधीयचरितम्५.५४ ॥</v>
      </c>
      <c r="B2898" s="4" t="s">
        <v>1</v>
      </c>
      <c r="C2898" s="4"/>
    </row>
    <row r="2899" spans="1:3" ht="24" customHeight="1">
      <c r="A2899" s="4" t="str">
        <f ca="1">IFERROR(__xludf.DUMMYFUNCTION("""COMPUTED_VALUE"""),"अन्वयुर्द्युतिपयः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॥नैषधीयचरितम्५.५५ ॥")</f>
        <v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॥नैषधीयचरितम्५.५५ ॥</v>
      </c>
      <c r="B2899" s="4" t="s">
        <v>2</v>
      </c>
      <c r="C2899" s="4"/>
    </row>
    <row r="2900" spans="1:3" ht="24" customHeight="1">
      <c r="A2900" s="4" t="str">
        <f ca="1">IFERROR(__xludf.DUMMYFUNCTION("""COMPUTED_VALUE"""),"प्रेषिताः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॥नैषधीयचरितम्५.५६ ॥")</f>
        <v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॥नैषधीयचरितम्५.५६ ॥</v>
      </c>
      <c r="B2900" s="4" t="s">
        <v>30</v>
      </c>
      <c r="C2900" s="4"/>
    </row>
    <row r="2901" spans="1:3" ht="24" customHeight="1">
      <c r="A2901" s="4" t="str">
        <f ca="1">IFERROR(__xludf.DUMMYFUNCTION("""COMPUTED_VALUE"""),"चित्रमत्र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॥नैषधीयचरितम्५.५७ ॥")</f>
        <v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॥नैषधीयचरितम्५.५७ ॥</v>
      </c>
      <c r="B2901" s="4" t="s">
        <v>2</v>
      </c>
      <c r="C2901" s="4"/>
    </row>
    <row r="2902" spans="1:3" ht="24" customHeight="1">
      <c r="A2902" s="4" t="str">
        <f ca="1">IFERROR(__xludf.DUMMYFUNCTION("""COMPUTED_VALUE"""),"शीघ्रलङ्घितपथैरथ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॥नैषधीयचरितम्५.५८ ॥")</f>
        <v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॥नैषधीयचरितम्५.५८ ॥</v>
      </c>
      <c r="B2902" s="4" t="s">
        <v>0</v>
      </c>
      <c r="C2902" s="4"/>
    </row>
    <row r="2903" spans="1:3" ht="24" customHeight="1">
      <c r="A2903" s="4" t="str">
        <f ca="1">IFERROR(__xludf.DUMMYFUNCTION("""COMPUTED_VALUE"""),"किं घनस्य जलधेरथवैवं नैव संशयितुमप्यलभन्त । स्यन्दनं परमदूरमपश्यन्निःस्वनश्रुतिसहोपनतं ते ॥नैषधीयचरितम्५.५९ ॥")</f>
        <v>किं घनस्य जलधेरथवैवं नैव संशयितुमप्यलभन्त । स्यन्दनं परमदूरमपश्यन्निःस्वनश्रुतिसहोपनतं ते ॥नैषधीयचरितम्५.५९ ॥</v>
      </c>
      <c r="B2903" s="4" t="s">
        <v>2</v>
      </c>
      <c r="C2903" s="4"/>
    </row>
    <row r="2904" spans="1:3" ht="24" customHeight="1">
      <c r="A2904" s="4" t="str">
        <f ca="1">IFERROR(__xludf.DUMMYFUNCTION("""COMPUTED_VALUE"""),"सूतविशृअमदकौतुकिभावं भावबोधचतुरं तुरगाणाम् । तत्र नेत्रजनुषः फलमेते नैषधं बुबुधिरे विबुधेन्द्राः ॥नैषधीयचरितम्५.६ ॥")</f>
        <v>सूतविशृअमदकौतुकिभावं भावबोधचतुरं तुरगाणाम् । तत्र नेत्रजनुषः फलमेते नैषधं बुबुधिरे विबुधेन्द्राः ॥नैषधीयचरितम्५.६ ॥</v>
      </c>
      <c r="B2904" s="4" t="s">
        <v>0</v>
      </c>
      <c r="C2904" s="4"/>
    </row>
    <row r="2905" spans="1:3" ht="24" customHeight="1">
      <c r="A2905" s="4" t="str">
        <f ca="1">IFERROR(__xludf.DUMMYFUNCTION("""COMPUTED_VALUE"""),"वीक्ष्य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॥नैषधीयचरितम्५.६१ ॥")</f>
        <v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॥नैषधीयचरितम्५.६१ ॥</v>
      </c>
      <c r="B2905" s="4" t="s">
        <v>5</v>
      </c>
      <c r="C2905" s="4"/>
    </row>
    <row r="2906" spans="1:3" ht="24" customHeight="1">
      <c r="A2906" s="4" t="str">
        <f ca="1">IFERROR(__xludf.DUMMYFUNCTION("""COMPUTED_VALUE"""),"रूपमस्य विनिरूप्य तथातिम्लानिमाप रविवंशवतंसः । कीर्त्यते यदधुनापि स देवः काल एव सकलेन जनेन ॥नैषधीयचरितम्५.६२ ॥")</f>
        <v>रूपमस्य विनिरूप्य तथातिम्लानिमाप रविवंशवतंसः । कीर्त्यते यदधुनापि स देवः काल एव सकलेन जनेन ॥नैषधीयचरितम्५.६२ ॥</v>
      </c>
      <c r="B2906" s="4" t="s">
        <v>1</v>
      </c>
      <c r="C2906" s="4"/>
    </row>
    <row r="2907" spans="1:3" ht="24" customHeight="1">
      <c r="A2907" s="4" t="str">
        <f ca="1">IFERROR(__xludf.DUMMYFUNCTION("""COMPUTED_VALUE"""),"यं बभार दहनः खलु तापं रूपधेयभरमस्य विमृश्य । तत्र भूदनलता जनिकर्त्री मा तदप्यनलतैव तु हेतुः ॥नैषधीयचरितम्५.६३ ॥")</f>
        <v>यं बभार दहनः खलु तापं रूपधेयभरमस्य विमृश्य । तत्र भूदनलता जनिकर्त्री मा तदप्यनलतैव तु हेतुः ॥नैषधीयचरितम्५.६३ ॥</v>
      </c>
      <c r="B2907" s="4" t="s">
        <v>2</v>
      </c>
      <c r="C2907" s="4"/>
    </row>
    <row r="2908" spans="1:3" ht="24" customHeight="1">
      <c r="A2908" s="4" t="str">
        <f ca="1">IFERROR(__xludf.DUMMYFUNCTION("""COMPUTED_VALUE"""),"कामनीयकमधः कृतकामं काममक्षिभिरवेक्ष्य तदीयम् । कौशिकः स्वमखिलं परिपश्यन्मन्यते स्म खलु कौशिकमेव ॥नैषधीयचरितम्५.६४ ॥")</f>
        <v>कामनीयकमधः कृतकामं काममक्षिभिरवेक्ष्य तदीयम् । कौशिकः स्वमखिलं परिपश्यन्मन्यते स्म खलु कौशिकमेव ॥नैषधीयचरितम्५.६४ ॥</v>
      </c>
      <c r="B2908" s="4" t="s">
        <v>4</v>
      </c>
      <c r="C2908" s="4"/>
    </row>
    <row r="2909" spans="1:3" ht="24" customHeight="1">
      <c r="A2909" s="4" t="str">
        <f ca="1">IFERROR(__xludf.DUMMYFUNCTION("""COMPUTED_VALUE"""),"रामणीयकगुणाद्वयवादं मूर्तमुत्थितममुं परिभाव्य । विस्मयाय हृदयानि वितेरुस्तेन तेषु न सुराः प्रबभूवः ॥नैषधीयचरितम्५.६५ ॥")</f>
        <v>रामणीयकगुणाद्वयवादं मूर्तमुत्थितममुं परिभाव्य । विस्मयाय हृदयानि वितेरुस्तेन तेषु न सुराः प्रबभूवः ॥नैषधीयचरितम्५.६५ ॥</v>
      </c>
      <c r="B2909" s="4" t="s">
        <v>4</v>
      </c>
      <c r="C2909" s="4"/>
    </row>
    <row r="2910" spans="1:3" ht="24" customHeight="1">
      <c r="A2910" s="4" t="str">
        <f ca="1">IFERROR(__xludf.DUMMYFUNCTION("""COMPUTED_VALUE"""),"प्रैयरूपकविशेषनिवेशैः संवदद्भिरमराः श्रुतपूर्वैः । एष एव स नलः किमितीदं मन्दमन्दमितरेतरमूचुः ॥नैषधीयचरितम्५.६६ ॥")</f>
        <v>प्रैयरूपकविशेषनिवेशैः संवदद्भिरमराः श्रुतपूर्वैः । एष एव स नलः किमितीदं मन्दमन्दमितरेतरमूचुः ॥नैषधीयचरितम्५.६६ ॥</v>
      </c>
      <c r="B2910" s="4" t="s">
        <v>16</v>
      </c>
      <c r="C2910" s="4"/>
    </row>
    <row r="2911" spans="1:3" ht="24" customHeight="1">
      <c r="A2911" s="4" t="str">
        <f ca="1">IFERROR(__xludf.DUMMYFUNCTION("""COMPUTED_VALUE"""),"तेषु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॥नैषधीयचरितम्५.६७ ॥")</f>
        <v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॥नैषधीयचरितम्५.६७ ॥</v>
      </c>
      <c r="B2911" s="4" t="s">
        <v>18</v>
      </c>
      <c r="C2911" s="4"/>
    </row>
    <row r="2912" spans="1:3" ht="24" customHeight="1">
      <c r="A2912" s="4" t="str">
        <f ca="1">IFERROR(__xludf.DUMMYFUNCTION("""COMPUTED_VALUE"""),"धर्मराजसलिलेशहुताशैः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॥नैषधीयचरितम्५.६८ ॥")</f>
        <v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॥नैषधीयचरितम्५.६८ ॥</v>
      </c>
      <c r="B2912" s="4" t="s">
        <v>2</v>
      </c>
      <c r="C2912" s="4"/>
    </row>
    <row r="2913" spans="1:3" ht="24" customHeight="1">
      <c r="A2913" s="4" t="str">
        <f ca="1">IFERROR(__xludf.DUMMYFUNCTION("""COMPUTED_VALUE"""),"नैव नः प्रियतमोभयथासौ यद्यमुं न वृणुते वृणुते वा । एकतो हि धिगमूमगुणज्ञामन्यतः कथमदःप्रतिलम्भः ॥नैषधीयचरितम्५.६९ ॥")</f>
        <v>नैव नः प्रियतमोभयथासौ यद्यमुं न वृणुते वृणुते वा । एकतो हि धिगमूमगुणज्ञामन्यतः कथमदःप्रतिलम्भः ॥नैषधीयचरितम्५.६९ ॥</v>
      </c>
      <c r="B2913" s="4" t="s">
        <v>6</v>
      </c>
      <c r="C2913" s="4"/>
    </row>
    <row r="2914" spans="1:3" ht="24" customHeight="1">
      <c r="A2914" s="4" t="str">
        <f ca="1">IFERROR(__xludf.DUMMYFUNCTION("""COMPUTED_VALUE"""),"मां वरिष्यति तदा यदि मत्तो वेद नेयमियदस्य महत्त्वम् । ईदृशी च कथमाकलयित्री मद्विशेषमपरान्नृपपुत्री ॥नैषधीयचरितम्५.७ ॥")</f>
        <v>मां वरिष्यति तदा यदि मत्तो वेद नेयमियदस्य महत्त्वम् । ईदृशी च कथमाकलयित्री मद्विशेषमपरान्नृपपुत्री ॥नैषधीयचरितम्५.७ ॥</v>
      </c>
      <c r="B2914" s="4" t="s">
        <v>0</v>
      </c>
      <c r="C2914" s="4"/>
    </row>
    <row r="2915" spans="1:3" ht="24" customHeight="1">
      <c r="A2915" s="4" t="str">
        <f ca="1">IFERROR(__xludf.DUMMYFUNCTION("""COMPUTED_VALUE"""),"नैषधे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॥नैषधीयचरितम्५.७१ ॥")</f>
        <v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॥नैषधीयचरितम्५.७१ ॥</v>
      </c>
      <c r="B2915" s="4" t="s">
        <v>24</v>
      </c>
      <c r="C2915" s="4"/>
    </row>
    <row r="2916" spans="1:3" ht="24" customHeight="1">
      <c r="A2916" s="4" t="str">
        <f ca="1">IFERROR(__xludf.DUMMYFUNCTION("""COMPUTED_VALUE"""),"इत्यवेत्य मनसात्मविधेयं किंचन त्रिविबुधी बुबुधे न । नाकनायकमपास्य तमेकं सा स्म पश्यति परस्परमास्यम् ॥नैषधीयचरितम्५.७२ ॥")</f>
        <v>इत्यवेत्य मनसात्मविधेयं किंचन त्रिविबुधी बुबुधे न । नाकनायकमपास्य तमेकं सा स्म पश्यति परस्परमास्यम् ॥नैषधीयचरितम्५.७२ ॥</v>
      </c>
      <c r="B2916" s="4" t="s">
        <v>5</v>
      </c>
      <c r="C2916" s="4"/>
    </row>
    <row r="2917" spans="1:3" ht="24" customHeight="1">
      <c r="A2917" s="4" t="str">
        <f ca="1">IFERROR(__xludf.DUMMYFUNCTION("""COMPUTED_VALUE"""),"किं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॥नैषधीयचरितम्५.७३ ॥")</f>
        <v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॥नैषधीयचरितम्५.७३ ॥</v>
      </c>
      <c r="B2917" s="4" t="s">
        <v>5</v>
      </c>
      <c r="C2917" s="4"/>
    </row>
    <row r="2918" spans="1:3" ht="24" customHeight="1">
      <c r="A2918" s="4" t="str">
        <f ca="1">IFERROR(__xludf.DUMMYFUNCTION("""COMPUTED_VALUE"""),"सर्वतः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॥नैषधीयचरितम्५.७४ ॥")</f>
        <v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॥नैषधीयचरितम्५.७४ ॥</v>
      </c>
      <c r="B2918" s="4" t="s">
        <v>12</v>
      </c>
      <c r="C2918" s="4"/>
    </row>
    <row r="2919" spans="1:3" ht="24" customHeight="1">
      <c r="A2919" s="4" t="str">
        <f ca="1">IFERROR(__xludf.DUMMYFUNCTION("""COMPUTED_VALUE"""),"क्व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॥नैषधीयचरितम्५.७५ ॥")</f>
        <v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॥नैषधीयचरितम्५.७५ ॥</v>
      </c>
      <c r="B2919" s="4" t="s">
        <v>19</v>
      </c>
      <c r="C2919" s="4"/>
    </row>
    <row r="2920" spans="1:3" ht="24" customHeight="1">
      <c r="A2920" s="4" t="str">
        <f ca="1">IFERROR(__xludf.DUMMYFUNCTION("""COMPUTED_VALUE"""),"एष नैषाध स दण्डभृदेष ज्वालजालजटिलः स हुताशः । यादसां स पतिरेष च शेषं शासितारमधिगच्छ सुराणाम् ॥नैषधीयचरितम्५.७६ ॥")</f>
        <v>एष नैषाध स दण्डभृदेष ज्वालजालजटिलः स हुताशः । यादसां स पतिरेष च शेषं शासितारमधिगच्छ सुराणाम् ॥नैषधीयचरितम्५.७६ ॥</v>
      </c>
      <c r="B2920" s="4" t="s">
        <v>7</v>
      </c>
      <c r="C2920" s="4"/>
    </row>
    <row r="2921" spans="1:3" ht="24" customHeight="1">
      <c r="A2921" s="4" t="str">
        <f ca="1">IFERROR(__xludf.DUMMYFUNCTION("""COMPUTED_VALUE"""),"अर्थिनो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॥नैषधीयचरितम्५.७७ ॥")</f>
        <v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॥नैषधीयचरितम्५.७७ ॥</v>
      </c>
      <c r="B2921" s="4" t="s">
        <v>17</v>
      </c>
      <c r="C2921" s="4"/>
    </row>
    <row r="2922" spans="1:3" ht="24" customHeight="1">
      <c r="A2922" s="4" t="str">
        <f ca="1">IFERROR(__xludf.DUMMYFUNCTION("""COMPUTED_VALUE"""),"ईदृशीं गिरमुदीर्य बिडौजा जोषमास न विशिष्य बभाषे । नात्र चित्रमभिधाकुशलत्वे शैशवावधिगुरुर्गुरुरस्य ॥नैषधीयचरितम्५.७८ ॥")</f>
        <v>ईदृशीं गिरमुदीर्य बिडौजा जोषमास न विशिष्य बभाषे । नात्र चित्रमभिधाकुशलत्वे शैशवावधिगुरुर्गुरुरस्य ॥नैषधीयचरितम्५.७८ ॥</v>
      </c>
      <c r="B2922" s="4" t="s">
        <v>5</v>
      </c>
      <c r="C2922" s="4"/>
    </row>
    <row r="2923" spans="1:3" ht="24" customHeight="1">
      <c r="A2923" s="4" t="str">
        <f ca="1">IFERROR(__xludf.DUMMYFUNCTION("""COMPUTED_VALUE"""),"अर्थिनामहृषिताखिललोमा स्वं नृपः स्फुटकदम्बकदम्बम् । अर्चनार्थमिव तच्चरणानां स प्रणामकरणादुपनिन्ये ॥नैषधीयचरितम्५.७९ ॥")</f>
        <v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॥नैषधीयचरितम्५.७९ ॥</v>
      </c>
      <c r="B2923" s="4" t="s">
        <v>5</v>
      </c>
      <c r="C2923" s="4"/>
    </row>
    <row r="2924" spans="1:3" ht="24" customHeight="1">
      <c r="A2924" s="4" t="str">
        <f ca="1">IFERROR(__xludf.DUMMYFUNCTION("""COMPUTED_VALUE"""),"दुर्लभं दिगधिपैः किममीभिस्तादृशं कथमहो मदधीनम् । ईदृशं मनसिकृत्य विरोधं नैषधेन समशायि चिराय ॥नैषधीयचरितम्५.८ ॥")</f>
        <v>दुर्लभं दिगधिपैः किममीभिस्तादृशं कथमहो मदधीनम् । ईदृशं मनसिकृत्य विरोधं नैषधेन समशायि चिराय ॥नैषधीयचरितम्५.८ ॥</v>
      </c>
      <c r="B2924" s="4" t="s">
        <v>5</v>
      </c>
      <c r="C2924" s="4"/>
    </row>
    <row r="2925" spans="1:3" ht="24" customHeight="1">
      <c r="A2925" s="4" t="str">
        <f ca="1">IFERROR(__xludf.DUMMYFUNCTION("""COMPUTED_VALUE"""),"जीवितावधि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॥नैषधीयचरितम्५.८१ ॥")</f>
        <v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॥नैषधीयचरितम्५.८१ ॥</v>
      </c>
      <c r="B2925" s="4" t="s">
        <v>2</v>
      </c>
      <c r="C2925" s="4"/>
    </row>
    <row r="2926" spans="1:3" ht="24" customHeight="1">
      <c r="A2926" s="4" t="str">
        <f ca="1">IFERROR(__xludf.DUMMYFUNCTION("""COMPUTED_VALUE"""),"भीमजा च हृदि मे परमास्ते जीवितादपि धनादपि गुर्वी । न स्वमेव मम साऋहति यस्याः षोडशीमपि कलां किल नोर्वी ॥नैषधीयचरितम्५.८२ ॥")</f>
        <v>भीमजा च हृदि मे परमास्ते जीवितादपि धनादपि गुर्वी । न स्वमेव मम साऋहति यस्याः षोडशीमपि कलां किल नोर्वी ॥नैषधीयचरितम्५.८२ ॥</v>
      </c>
      <c r="B2926" s="4" t="s">
        <v>4</v>
      </c>
      <c r="C2926" s="4"/>
    </row>
    <row r="2927" spans="1:3" ht="24" customHeight="1">
      <c r="A2927" s="4" t="str">
        <f ca="1">IFERROR(__xludf.DUMMYFUNCTION("""COMPUTED_VALUE"""),"मीयतां कथमभीप्सितमेषां दीयतां कथमयाचितमेव । तं धिगस्तु कलयन्नपि वाञ्छामर्थिवागवसरं सहते यः ॥नैषधीयचरितम्५.८३ ॥")</f>
        <v>मीयतां कथमभीप्सितमेषां दीयतां कथमयाचितमेव । तं धिगस्तु कलयन्नपि वाञ्छामर्थिवागवसरं सहते यः ॥नैषधीयचरितम्५.८३ ॥</v>
      </c>
      <c r="B2927" s="4" t="s">
        <v>5</v>
      </c>
      <c r="C2927" s="4"/>
    </row>
    <row r="2928" spans="1:3" ht="24" customHeight="1">
      <c r="A2928" s="4" t="str">
        <f ca="1">IFERROR(__xludf.DUMMYFUNCTION("""COMPUTED_VALUE"""),"प्रापितेन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॥नैषधीयचरितम्५.८४ ॥")</f>
        <v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॥नैषधीयचरितम्५.८४ ॥</v>
      </c>
      <c r="B2928" s="4" t="s">
        <v>1</v>
      </c>
      <c r="C2928" s="4"/>
    </row>
    <row r="2929" spans="1:3" ht="24" customHeight="1">
      <c r="A2929" s="4" t="str">
        <f ca="1">IFERROR(__xludf.DUMMYFUNCTION("""COMPUTED_VALUE"""),"यत्प्रदेयमुपनीय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॥नैषधीयचरितम्५.८५ ॥")</f>
        <v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॥नैषधीयचरितम्५.८५ ॥</v>
      </c>
      <c r="B2929" s="4" t="s">
        <v>18</v>
      </c>
      <c r="C2929" s="4"/>
    </row>
    <row r="2930" spans="1:3" ht="24" customHeight="1">
      <c r="A2930" s="4" t="str">
        <f ca="1">IFERROR(__xludf.DUMMYFUNCTION("""COMPUTED_VALUE"""),"अर्थिने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॥नैषधीयचरितम्५.८६ ॥")</f>
        <v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॥नैषधीयचरितम्५.८६ ॥</v>
      </c>
      <c r="B2930" s="4" t="s">
        <v>20</v>
      </c>
      <c r="C2930" s="4"/>
    </row>
    <row r="2931" spans="1:3" ht="24" customHeight="1">
      <c r="A2931" s="4" t="str">
        <f ca="1">IFERROR(__xludf.DUMMYFUNCTION("""COMPUTED_VALUE"""),"पङ्कसंकरविगर्हितमर्हं न श्रियः कमलमाश्रयणाय । अर्थिपाणिकमलं विमलं तद्वासवेश्म विदधीत सुधीस्तत् ॥नैषधीयचरितम्५.८७ ॥")</f>
        <v>पङ्कसंकरविगर्हितमर्हं न श्रियः कमलमाश्रयणाय । अर्थिपाणिकमलं विमलं तद्वासवेश्म विदधीत सुधीस्तत् ॥नैषधीयचरितम्५.८७ ॥</v>
      </c>
      <c r="B2931" s="4" t="s">
        <v>2</v>
      </c>
      <c r="C2931" s="4"/>
    </row>
    <row r="2932" spans="1:3" ht="24" customHeight="1">
      <c r="A2932" s="4" t="str">
        <f ca="1">IFERROR(__xludf.DUMMYFUNCTION("""COMPUTED_VALUE"""),"याचमानजनमानसवृत्तेः पूरणाय बत जन्म न यस्य । तेन भूमिरतिभारवतीयं न द्रुमैर्न गिरिभिर्न समुद्रैः ॥नैषधीयचरितम्५.८८ ॥")</f>
        <v>याचमानजनमानसवृत्तेः पूरणाय बत जन्म न यस्य । तेन भूमिरतिभारवतीयं न द्रुमैर्न गिरिभिर्न समुद्रैः ॥नैषधीयचरितम्५.८८ ॥</v>
      </c>
      <c r="B2932" s="4" t="s">
        <v>0</v>
      </c>
      <c r="C2932" s="4"/>
    </row>
    <row r="2933" spans="1:3" ht="24" customHeight="1">
      <c r="A2933" s="4" t="str">
        <f ca="1">IFERROR(__xludf.DUMMYFUNCTION("""COMPUTED_VALUE"""),"मा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॥नैषधीयचरितम्५.८९ ॥")</f>
        <v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॥नैषधीयचरितम्५.८९ ॥</v>
      </c>
      <c r="B2933" s="4" t="s">
        <v>9</v>
      </c>
      <c r="C2933" s="4"/>
    </row>
    <row r="2934" spans="1:3" ht="24" customHeight="1">
      <c r="A2934" s="4" t="str">
        <f ca="1">IFERROR(__xludf.DUMMYFUNCTION("""COMPUTED_VALUE"""),"माममीभिरिह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॥नैषधीयचरितम्५.९ ॥")</f>
        <v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॥नैषधीयचरितम्५.९ ॥</v>
      </c>
      <c r="B2934" s="4" t="s">
        <v>5</v>
      </c>
      <c r="C2934" s="4"/>
    </row>
    <row r="2935" spans="1:3" ht="24" customHeight="1">
      <c r="A2935" s="4" t="str">
        <f ca="1">IFERROR(__xludf.DUMMYFUNCTION("""COMPUTED_VALUE"""),"लोक एष परलोकमुपेता हा विहाय निधने धनमेकः । इत्यमुं खलु तदस्य निनीषत्यर्थिबन्धुरुदयद्दयचित्तः ॥नैषधीयचरितम्५.९१ ॥")</f>
        <v>लोक एष परलोकमुपेता हा विहाय निधने धनमेकः । इत्यमुं खलु तदस्य निनीषत्यर्थिबन्धुरुदयद्दयचित्तः ॥नैषधीयचरितम्५.९१ ॥</v>
      </c>
      <c r="B2935" s="4" t="s">
        <v>2</v>
      </c>
      <c r="C2935" s="4"/>
    </row>
    <row r="2936" spans="1:3" ht="24" customHeight="1">
      <c r="A2936" s="4" t="str">
        <f ca="1">IFERROR(__xludf.DUMMYFUNCTION("""COMPUTED_VALUE"""),"दानपात्रमधमर्णमिहैकग्राहि कोटिगुणितं दिवि दायि । साधुरेति सुकृतैर्यदि कर्तुं पारलौकिककुसीदमसीदत् ॥नैषधीयचरितम्५.९२ ॥")</f>
        <v>दानपात्रमधमर्णमिहैकग्राहि कोटिगुणितं दिवि दायि । साधुरेति सुकृतैर्यदि कर्तुं पारलौकिककुसीदमसीदत् ॥नैषधीयचरितम्५.९२ ॥</v>
      </c>
      <c r="B2936" s="4" t="s">
        <v>17</v>
      </c>
      <c r="C2936" s="4"/>
    </row>
    <row r="2937" spans="1:3" ht="24" customHeight="1">
      <c r="A2937" s="4" t="str">
        <f ca="1">IFERROR(__xludf.DUMMYFUNCTION("""COMPUTED_VALUE"""),"एवमादि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॥नैषधीयचरितम्५.९३ ॥")</f>
        <v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॥नैषधीयचरितम्५.९३ ॥</v>
      </c>
      <c r="B2937" s="4" t="s">
        <v>0</v>
      </c>
      <c r="C2937" s="4"/>
    </row>
    <row r="2938" spans="1:3" ht="24" customHeight="1">
      <c r="A2938" s="4" t="str">
        <f ca="1">IFERROR(__xludf.DUMMYFUNCTION("""COMPUTED_VALUE"""),"नास्ति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॥नैषधीयचरितम्५.९४ ॥")</f>
        <v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॥नैषधीयचरितम्५.९४ ॥</v>
      </c>
      <c r="B2938" s="4" t="s">
        <v>5</v>
      </c>
      <c r="C2938" s="4"/>
    </row>
    <row r="2939" spans="1:3" ht="24" customHeight="1">
      <c r="A2939" s="4" t="str">
        <f ca="1">IFERROR(__xludf.DUMMYFUNCTION("""COMPUTED_VALUE"""),"मत्तपः क्व न तनु क्व फलं वा यूयमीक्षणपथं व्रजथेति । ईदृशं परिणमन्ति पुनर्नः पूर्वपूरुषतपांसि जयन्ति ॥नैषधीयचरितम्५.९५ ॥")</f>
        <v>मत्तपः क्व न तनु क्व फलं वा यूयमीक्षणपथं व्रजथेति । ईदृशं परिणमन्ति पुनर्नः पूर्वपूरुषतपांसि जयन्ति ॥नैषधीयचरितम्५.९५ ॥</v>
      </c>
      <c r="B2939" s="4" t="s">
        <v>2</v>
      </c>
      <c r="C2939" s="4"/>
    </row>
    <row r="2940" spans="1:3" ht="24" customHeight="1">
      <c r="A2940" s="4" t="str">
        <f ca="1">IFERROR(__xludf.DUMMYFUNCTION("""COMPUTED_VALUE"""),"प्रत्यतिष्ठिपदिमां खलु देवीं कर्म सर्वसहनव्रतजन्म । यूयमप्यहह पूजनमस्या यन्निजैः सृजथ पादपयोजैः ॥नैषधीयचरितम्५.९६ ॥")</f>
        <v>प्रत्यतिष्ठिपदिमां खलु देवीं कर्म सर्वसहनव्रतजन्म । यूयमप्यहह पूजनमस्या यन्निजैः सृजथ पादपयोजैः ॥नैषधीयचरितम्५.९६ ॥</v>
      </c>
      <c r="B2940" s="4" t="s">
        <v>3</v>
      </c>
      <c r="C2940" s="4"/>
    </row>
    <row r="2941" spans="1:3" ht="24" customHeight="1">
      <c r="A2941" s="4" t="str">
        <f ca="1">IFERROR(__xludf.DUMMYFUNCTION("""COMPUTED_VALUE"""),"जीवितावधि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॥नैषधीयचरितम्५.९७ ॥")</f>
        <v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॥नैषधीयचरितम्५.९७ ॥</v>
      </c>
      <c r="B2941" s="4" t="s">
        <v>17</v>
      </c>
      <c r="C2941" s="4"/>
    </row>
    <row r="2942" spans="1:3" ht="24" customHeight="1">
      <c r="A2942" s="4" t="str">
        <f ca="1">IFERROR(__xludf.DUMMYFUNCTION("""COMPUTED_VALUE"""),"एवमुक्तवति वीतविशङ्के वीरसेनतनये विनयेन । वक्रभावविषमामथ शक्रः कार्यकैतवगुरुर्गिरमूचे ॥नैषधीयचरितम्५.९८ ॥")</f>
        <v>एवमुक्तवति वीतविशङ्के वीरसेनतनये विनयेन । वक्रभावविषमामथ शक्रः कार्यकैतवगुरुर्गिरमूचे ॥नैषधीयचरितम्५.९८ ॥</v>
      </c>
      <c r="B2942" s="4" t="s">
        <v>16</v>
      </c>
      <c r="C2942" s="4"/>
    </row>
    <row r="2943" spans="1:3" ht="24" customHeight="1">
      <c r="A2943" s="4" t="str">
        <f ca="1">IFERROR(__xludf.DUMMYFUNCTION("""COMPUTED_VALUE"""),"पाणिपीडनमहं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॥नैषधीयचरितम्५.९९ ॥")</f>
        <v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॥नैषधीयचरितम्५.९९ ॥</v>
      </c>
      <c r="B2943" s="4" t="s">
        <v>5</v>
      </c>
      <c r="C2943" s="4"/>
    </row>
    <row r="2944" spans="1:3" ht="24" customHeight="1">
      <c r="A2944" s="4" t="str">
        <f ca="1">IFERROR(__xludf.DUMMYFUNCTION("""COMPUTED_VALUE"""),"आसते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॥नैषधीयचरितम्५.१ ॥")</f>
        <v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॥नैषधीयचरितम्५.१ ॥</v>
      </c>
      <c r="B2944" s="4" t="s">
        <v>2</v>
      </c>
      <c r="C2944" s="4"/>
    </row>
    <row r="2945" spans="1:3" ht="24" customHeight="1">
      <c r="A2945" s="4" t="str">
        <f ca="1">IFERROR(__xludf.DUMMYFUNCTION("""COMPUTED_VALUE"""),"विश्वदृश्वनयना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॥नैषधीयचरितम्५.१०१ ॥")</f>
        <v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॥नैषधीयचरितम्५.१०१ ॥</v>
      </c>
      <c r="B2945" s="4" t="s">
        <v>4</v>
      </c>
      <c r="C2945" s="4"/>
    </row>
    <row r="2946" spans="1:3" ht="24" customHeight="1">
      <c r="A2946" s="4" t="str">
        <f ca="1">IFERROR(__xludf.DUMMYFUNCTION("""COMPUTED_VALUE"""),"शुद्धवंशजनितोऽपि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॥नैषधीयचरितम्५.१०२ ॥")</f>
        <v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॥नैषधीयचरितम्५.१०२ ॥</v>
      </c>
      <c r="B2946" s="4" t="s">
        <v>0</v>
      </c>
      <c r="C2946" s="4"/>
    </row>
    <row r="2947" spans="1:3" ht="24" customHeight="1">
      <c r="A2947" s="4" t="str">
        <f ca="1">IFERROR(__xludf.DUMMYFUNCTION("""COMPUTED_VALUE"""),"तेन तेन वचसैव मघोनः स स्म वेद कपटं पटुरुच्चैः । आचरत्तदुचितामथ वाणीमार्जवं हि कुटिलेषु न नीतिः ॥नैषधीयचरितम्५.१०३ ॥")</f>
        <v>तेन तेन वचसैव मघोनः स स्म वेद कपटं पटुरुच्चैः । आचरत्तदुचितामथ वाणीमार्जवं हि कुटिलेषु न नीतिः ॥नैषधीयचरितम्५.१०३ ॥</v>
      </c>
      <c r="B2947" s="4" t="s">
        <v>2</v>
      </c>
      <c r="C2947" s="4"/>
    </row>
    <row r="2948" spans="1:3" ht="24" customHeight="1">
      <c r="A2948" s="4" t="str">
        <f ca="1">IFERROR(__xludf.DUMMYFUNCTION("""COMPUTED_VALUE"""),"सेयमुच्चतरता दुरितानामन्यजन्मनि मयैव कृतानाम् । युष्मदीयमपि या महिमानं जेतुमिच्छति कथापथपारम् ॥नैषधीयचरितम्५.१०४ ॥")</f>
        <v>सेयमुच्चतरता दुरितानामन्यजन्मनि मयैव कृतानाम् । युष्मदीयमपि या महिमानं जेतुमिच्छति कथापथपारम् ॥नैषधीयचरितम्५.१०४ ॥</v>
      </c>
      <c r="B2948" s="4" t="s">
        <v>0</v>
      </c>
      <c r="C2948" s="4"/>
    </row>
    <row r="2949" spans="1:3" ht="24" customHeight="1">
      <c r="A2949" s="4" t="str">
        <f ca="1">IFERROR(__xludf.DUMMYFUNCTION("""COMPUTED_VALUE"""),"वित्थ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॥नैषधीयचरितम्५.१०५ ॥")</f>
        <v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॥नैषधीयचरितम्५.१०५ ॥</v>
      </c>
      <c r="B2949" s="4" t="s">
        <v>2</v>
      </c>
      <c r="C2949" s="4"/>
    </row>
    <row r="2950" spans="1:3" ht="24" customHeight="1">
      <c r="A2950" s="4" t="str">
        <f ca="1">IFERROR(__xludf.DUMMYFUNCTION("""COMPUTED_VALUE"""),"यन्मतौ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॥नैषधीयचरितम्५.१०६ ॥")</f>
        <v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॥नैषधीयचरितम्५.१०६ ॥</v>
      </c>
      <c r="B2950" s="4" t="s">
        <v>2</v>
      </c>
      <c r="C2950" s="4"/>
    </row>
    <row r="2951" spans="1:3" ht="24" customHeight="1">
      <c r="A2951" s="4" t="str">
        <f ca="1">IFERROR(__xludf.DUMMYFUNCTION("""COMPUTED_VALUE"""),"यामि यामिह वरीतुमहो तद्दूततां नु करवाणि कथं वः । ईदृशां न महतां बत जाता वञ्चने मम तृणस्य घृणापि ॥नैषधीयचरितम्५.१०७ ॥")</f>
        <v>यामि यामिह वरीतुमहो तद्दूततां नु करवाणि कथं वः । ईदृशां न महतां बत जाता वञ्चने मम तृणस्य घृणापि ॥नैषधीयचरितम्५.१०७ ॥</v>
      </c>
      <c r="B2951" s="4" t="s">
        <v>9</v>
      </c>
      <c r="C2951" s="4"/>
    </row>
    <row r="2952" spans="1:3" ht="24" customHeight="1">
      <c r="A2952" s="4" t="str">
        <f ca="1">IFERROR(__xludf.DUMMYFUNCTION("""COMPUTED_VALUE"""),"उद्भ्रमामि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॥नैषधीयचरितम्५.१०८ ॥")</f>
        <v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॥नैषधीयचरितम्५.१०८ ॥</v>
      </c>
      <c r="B2952" s="4" t="s">
        <v>10</v>
      </c>
      <c r="C2952" s="4"/>
    </row>
    <row r="2953" spans="1:3" ht="24" customHeight="1">
      <c r="A2953" s="4" t="str">
        <f ca="1">IFERROR(__xludf.DUMMYFUNCTION("""COMPUTED_VALUE"""),"यां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॥नैषधीयचरितम्५.१०९ ॥")</f>
        <v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॥नैषधीयचरितम्५.१०९ ॥</v>
      </c>
      <c r="B2953" s="4" t="s">
        <v>9</v>
      </c>
      <c r="C2953" s="4"/>
    </row>
    <row r="2954" spans="1:3" ht="24" customHeight="1">
      <c r="A2954" s="4" t="str">
        <f ca="1">IFERROR(__xludf.DUMMYFUNCTION("""COMPUTED_VALUE"""),"यामिकाननुपमृद्य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॥नैषधीयचरितम्५.११ ॥")</f>
        <v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॥नैषधीयचरितम्५.११ ॥</v>
      </c>
      <c r="B2954" s="4" t="s">
        <v>0</v>
      </c>
      <c r="C2954" s="4"/>
    </row>
    <row r="2955" spans="1:3" ht="24" customHeight="1">
      <c r="A2955" s="4" t="str">
        <f ca="1">IFERROR(__xludf.DUMMYFUNCTION("""COMPUTED_VALUE"""),"आदधीचि किल दातृकृतार्घं प्राणमात्रपणसीम यशो यत् । आददे कथमहं प्रियया तत् प्राणतः शतगुणेन पणेन ॥नैषधीयचरितम्५.१११ ॥")</f>
        <v>आदधीचि किल दातृकृतार्घं प्राणमात्रपणसीम यशो यत् । आददे कथमहं प्रियया तत् प्राणतः शतगुणेन पणेन ॥नैषधीयचरितम्५.१११ ॥</v>
      </c>
      <c r="B2955" s="4" t="s">
        <v>1</v>
      </c>
      <c r="C2955" s="4"/>
    </row>
    <row r="2956" spans="1:3" ht="24" customHeight="1">
      <c r="A2956" s="4" t="str">
        <f ca="1">IFERROR(__xludf.DUMMYFUNCTION("""COMPUTED_VALUE"""),"अर्थना मयि भवद्भिरिवास्ये कर्तुमर्हति मयापि भवत्सु । भीमजाऋथपरयाचनचाटौ यूयमेव गुरवः करणीयाः ॥नैषधीयचरितम्५.११२ ॥")</f>
        <v>अर्थना मयि भवद्भिरिवास्ये कर्तुमर्हति मयापि भवत्सु । भीमजाऋथपरयाचनचाटौ यूयमेव गुरवः करणीयाः ॥नैषधीयचरितम्५.११२ ॥</v>
      </c>
      <c r="B2956" s="4" t="s">
        <v>5</v>
      </c>
      <c r="C2956" s="4"/>
    </row>
    <row r="2957" spans="1:3" ht="24" customHeight="1">
      <c r="A2957" s="4" t="str">
        <f ca="1">IFERROR(__xludf.DUMMYFUNCTION("""COMPUTED_VALUE"""),"अर्थिताः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॥नैषधीयचरितम्५.११३ ॥")</f>
        <v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॥नैषधीयचरितम्५.११३ ॥</v>
      </c>
      <c r="B2957" s="4" t="s">
        <v>2</v>
      </c>
      <c r="C2957" s="4"/>
    </row>
    <row r="2958" spans="1:3" ht="24" customHeight="1">
      <c r="A2958" s="4" t="str">
        <f ca="1">IFERROR(__xludf.DUMMYFUNCTION("""COMPUTED_VALUE"""),"कुण्डिनेन्द्रसुतया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॥नैषधीयचरितम्५.११४ ॥")</f>
        <v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॥नैषधीयचरितम्५.११४ ॥</v>
      </c>
      <c r="B2958" s="4" t="s">
        <v>12</v>
      </c>
      <c r="C2958" s="4"/>
    </row>
    <row r="2959" spans="1:3" ht="24" customHeight="1">
      <c r="A2959" s="4" t="str">
        <f ca="1">IFERROR(__xludf.DUMMYFUNCTION("""COMPUTED_VALUE"""),"तत्प्रसीदत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॥नैषधीयचरितम्५.११५ ॥")</f>
        <v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॥नैषधीयचरितम्५.११५ ॥</v>
      </c>
      <c r="B2959" s="4" t="s">
        <v>1</v>
      </c>
      <c r="C2959" s="4"/>
    </row>
    <row r="2960" spans="1:3" ht="24" customHeight="1">
      <c r="A2960" s="4" t="str">
        <f ca="1">IFERROR(__xludf.DUMMYFUNCTION("""COMPUTED_VALUE"""),"ईदृशानि गदितानि तदानीमाकलय्य स नलस्य बलारिः । शंसति स्म किमपि स्मयमानः स्वानुगाननविलोकनलोलः ॥नैषधीयचरितम्५.११६ ॥")</f>
        <v>ईदृशानि गदितानि तदानीमाकलय्य स नलस्य बलारिः । शंसति स्म किमपि स्मयमानः स्वानुगाननविलोकनलोलः ॥नैषधीयचरितम्५.११६ ॥</v>
      </c>
      <c r="B2960" s="4" t="s">
        <v>11</v>
      </c>
      <c r="C2960" s="4"/>
    </row>
    <row r="2961" spans="1:3" ht="24" customHeight="1">
      <c r="A2961" s="4" t="str">
        <f ca="1">IFERROR(__xludf.DUMMYFUNCTION("""COMPUTED_VALUE"""),"नाभ्यधायि नृपते भवतेदं रोहिणीरमणवंशभुवैव । लज्जते न रसना तव वाम्यादर्थिषु स्वयमुरीकृतकाम्या ॥नैषधीयचरितम्५.११७ ॥")</f>
        <v>नाभ्यधायि नृपते भवतेदं रोहिणीरमणवंशभुवैव । लज्जते न रसना तव वाम्यादर्थिषु स्वयमुरीकृतकाम्या ॥नैषधीयचरितम्५.११७ ॥</v>
      </c>
      <c r="B2961" s="4" t="s">
        <v>5</v>
      </c>
      <c r="C2961" s="4"/>
    </row>
    <row r="2962" spans="1:3" ht="24" customHeight="1">
      <c r="A2962" s="4" t="str">
        <f ca="1">IFERROR(__xludf.DUMMYFUNCTION("""COMPUTED_VALUE"""),"भङ्गुरं न वितथं न कथं वा जीवलोकमवलोकयसीमम् । येन धर्मयशसी परिहातुं धीरहो चलति धीर तवापि ॥नैषधीयचरितम्५.११८ ॥")</f>
        <v>भङ्गुरं न वितथं न कथं वा जीवलोकमवलोकयसीमम् । येन धर्मयशसी परिहातुं धीरहो चलति धीर तवापि ॥नैषधीयचरितम्५.११८ ॥</v>
      </c>
      <c r="B2962" s="4" t="s">
        <v>9</v>
      </c>
      <c r="C2962" s="4"/>
    </row>
    <row r="2963" spans="1:3" ht="24" customHeight="1">
      <c r="A2963" s="4" t="str">
        <f ca="1">IFERROR(__xludf.DUMMYFUNCTION("""COMPUTED_VALUE"""),"कः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॥नैषधीयचरितम्५.११९ ॥")</f>
        <v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॥नैषधीयचरितम्५.११९ ॥</v>
      </c>
      <c r="B2963" s="4" t="s">
        <v>6</v>
      </c>
      <c r="C2963" s="4"/>
    </row>
    <row r="2964" spans="1:3" ht="24" customHeight="1">
      <c r="A2964" s="4" t="str">
        <f ca="1">IFERROR(__xludf.DUMMYFUNCTION("""COMPUTED_VALUE"""),"यापदृष्टिरपि या मुखमुद्रा याचमानमनु या च न तुष्टिः । त्वादृशस्य सकलः स कलङ्कः शीतभासि शशकः परमङ्कः ॥नैषधीयचरितम्५.१२ ॥")</f>
        <v>यापदृष्टिरपि या मुखमुद्रा याचमानमनु या च न तुष्टिः । त्वादृशस्य सकलः स कलङ्कः शीतभासि शशकः परमङ्कः ॥नैषधीयचरितम्५.१२ ॥</v>
      </c>
      <c r="B2964" s="4" t="s">
        <v>19</v>
      </c>
      <c r="C2964" s="4"/>
    </row>
    <row r="2965" spans="1:3" ht="24" customHeight="1">
      <c r="A2965" s="4" t="str">
        <f ca="1">IFERROR(__xludf.DUMMYFUNCTION("""COMPUTED_VALUE"""),"नाक्षराणि पठता किमपाठि प्रस्मृतः किमथवा पठितोऽपि । इत्थमर्थिचयसंशयदोलाखेलनं खलु चकार नकारः ॥नैषधीयचरितम्५.१२१ ॥")</f>
        <v>नाक्षराणि पठता किमपाठि प्रस्मृतः किमथवा पठितोऽपि । इत्थमर्थिचयसंशयदोलाखेलनं खलु चकार नकारः ॥नैषधीयचरितम्५.१२१ ॥</v>
      </c>
      <c r="B2965" s="4" t="s">
        <v>0</v>
      </c>
      <c r="C2965" s="4"/>
    </row>
    <row r="2966" spans="1:3" ht="24" customHeight="1">
      <c r="A2966" s="4" t="str">
        <f ca="1">IFERROR(__xludf.DUMMYFUNCTION("""COMPUTED_VALUE"""),"अब्रवीत्तमनलः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॥नैषधीयचरितम्५.१२२ ॥")</f>
        <v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॥नैषधीयचरितम्५.१२२ ॥</v>
      </c>
      <c r="B2966" s="4" t="s">
        <v>5</v>
      </c>
      <c r="C2966" s="4"/>
    </row>
    <row r="2967" spans="1:3" ht="24" customHeight="1">
      <c r="A2967" s="4" t="str">
        <f ca="1">IFERROR(__xludf.DUMMYFUNCTION("""COMPUTED_VALUE"""),"न व्यहन्यत कदापि मुदं यः स्वःसदामुपनयन्नभिलाषः । तत्पदे त्वदभिषेककृतां नः स त्यजत्वसमतामदमद्य ॥नैषधीयचरितम्५.१२३ ॥")</f>
        <v>न व्यहन्यत कदापि मुदं यः स्वःसदामुपनयन्नभिलाषः । तत्पदे त्वदभिषेककृतां नः स त्यजत्वसमतामदमद्य ॥नैषधीयचरितम्५.१२३ ॥</v>
      </c>
      <c r="B2967" s="4" t="s">
        <v>5</v>
      </c>
      <c r="C2967" s="4"/>
    </row>
    <row r="2968" spans="1:3" ht="24" customHeight="1">
      <c r="A2968" s="4" t="str">
        <f ca="1">IFERROR(__xludf.DUMMYFUNCTION("""COMPUTED_VALUE"""),"अब्रवीदथ यमस्तमहृष्टं वीरसेनकुलदीप तमस्त्वाम् । यत्किमप्यभिबुभूषति तत्किं चन्द्रवंशवसतेः सदृशं ते ॥नैषधीयचरितम्५.१२४ ॥")</f>
        <v>अब्रवीदथ यमस्तमहृष्टं वीरसेनकुलदीप तमस्त्वाम् । यत्किमप्यभिबुभूषति तत्किं चन्द्रवंशवसतेः सदृशं ते ॥नैषधीयचरितम्५.१२४ ॥</v>
      </c>
      <c r="B2968" s="4" t="s">
        <v>2</v>
      </c>
      <c r="C2968" s="4"/>
    </row>
    <row r="2969" spans="1:3" ht="24" customHeight="1">
      <c r="A2969" s="4" t="str">
        <f ca="1">IFERROR(__xludf.DUMMYFUNCTION("""COMPUTED_VALUE"""),"रोहणः किमपि यः कठिनानां कामधेनुरपि या पशुरेव । नैनयोरपि वृथाभवदर्थी हा विधित्सुरसि वत्स किमेतत् ॥नैषधीयचरितम्५.१२५ ॥")</f>
        <v>रोहणः किमपि यः कठिनानां कामधेनुरपि या पशुरेव । नैनयोरपि वृथाभवदर्थी हा विधित्सुरसि वत्स किमेतत् ॥नैषधीयचरितम्५.१२५ ॥</v>
      </c>
      <c r="B2969" s="4" t="s">
        <v>2</v>
      </c>
      <c r="C2969" s="4"/>
    </row>
    <row r="2970" spans="1:3" ht="24" customHeight="1">
      <c r="A2970" s="4" t="str">
        <f ca="1">IFERROR(__xludf.DUMMYFUNCTION("""COMPUTED_VALUE"""),"याचितश्चिरयति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॥नैषधीयचरितम्५.१२६ ॥")</f>
        <v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॥नैषधीयचरितम्५.१२६ ॥</v>
      </c>
      <c r="B2970" s="4" t="s">
        <v>7</v>
      </c>
      <c r="C2970" s="4"/>
    </row>
    <row r="2971" spans="1:3" ht="24" customHeight="1">
      <c r="A2971" s="4" t="str">
        <f ca="1">IFERROR(__xludf.DUMMYFUNCTION("""COMPUTED_VALUE"""),"अभ्रपुष्पमपि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॥नैषधीयचरितम्५.१२७ ॥")</f>
        <v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॥नैषधीयचरितम्५.१२७ ॥</v>
      </c>
      <c r="B2971" s="4" t="s">
        <v>28</v>
      </c>
      <c r="C2971" s="4"/>
    </row>
    <row r="2972" spans="1:3" ht="24" customHeight="1">
      <c r="A2972" s="4" t="str">
        <f ca="1">IFERROR(__xludf.DUMMYFUNCTION("""COMPUTED_VALUE"""),"ऊचिवानुचितमक्षरमेनं पाशपाणिरपि पाणिमुदस्य । कीर्तिरेव भवतां प्रियदारा दाननीरझरमौक्तिकहारा ॥नैषधीयचरितम्५.१२८ ॥")</f>
        <v>ऊचिवानुचितमक्षरमेनं पाशपाणिरपि पाणिमुदस्य । कीर्तिरेव भवतां प्रियदारा दाननीरझरमौक्तिकहारा ॥नैषधीयचरितम्५.१२८ ॥</v>
      </c>
      <c r="B2972" s="4" t="s">
        <v>0</v>
      </c>
      <c r="C2972" s="4"/>
    </row>
    <row r="2973" spans="1:3" ht="24" customHeight="1">
      <c r="A2973" s="4" t="str">
        <f ca="1">IFERROR(__xludf.DUMMYFUNCTION("""COMPUTED_VALUE"""),"चर्म वर्म किल यस्य न भेद्यं यस्य वज्रमयमस्थि च तौ चेत् । स्थायिनाविह न कर्णदधीची तन्न धर्ममवधीरय धीर ॥नैषधीयचरितम्५.१२९ ॥")</f>
        <v>चर्म वर्म किल यस्य न भेद्यं यस्य वज्रमयमस्थि च तौ चेत् । स्थायिनाविह न कर्णदधीची तन्न धर्ममवधीरय धीर ॥नैषधीयचरितम्५.१२९ ॥</v>
      </c>
      <c r="B2973" s="4" t="s">
        <v>0</v>
      </c>
      <c r="C2973" s="4"/>
    </row>
    <row r="2974" spans="1:3" ht="24" customHeight="1">
      <c r="A2974" s="4" t="str">
        <f ca="1">IFERROR(__xludf.DUMMYFUNCTION("""COMPUTED_VALUE"""),"अद्ययावदपि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॥नैषधीयचरितम्५.१३ ॥")</f>
        <v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॥नैषधीयचरितम्५.१३ ॥</v>
      </c>
      <c r="B2974" s="4" t="s">
        <v>18</v>
      </c>
      <c r="C2974" s="4"/>
    </row>
    <row r="2975" spans="1:3" ht="24" customHeight="1">
      <c r="A2975" s="4" t="str">
        <f ca="1">IFERROR(__xludf.DUMMYFUNCTION("""COMPUTED_VALUE"""),"प्रेयसी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॥नैषधीयचरितम्५.१३१ ॥")</f>
        <v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॥नैषधीयचरितम्५.१३१ ॥</v>
      </c>
      <c r="B2975" s="4" t="s">
        <v>2</v>
      </c>
      <c r="C2975" s="4"/>
    </row>
    <row r="2976" spans="1:3" ht="24" customHeight="1">
      <c r="A2976" s="4" t="str">
        <f ca="1">IFERROR(__xludf.DUMMYFUNCTION("""COMPUTED_VALUE"""),"यान्वरं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॥नैषधीयचरितम्५.१३२ ॥")</f>
        <v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॥नैषधीयचरितम्५.१३२ ॥</v>
      </c>
      <c r="B2976" s="4" t="s">
        <v>6</v>
      </c>
      <c r="C2976" s="4"/>
    </row>
    <row r="2977" spans="1:3" ht="24" customHeight="1">
      <c r="A2977" s="4" t="str">
        <f ca="1">IFERROR(__xludf.DUMMYFUNCTION("""COMPUTED_VALUE"""),"अर्थिनां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॥नैषधीयचरितम्५.१३३ ॥")</f>
        <v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॥नैषधीयचरितम्५.१३३ ॥</v>
      </c>
      <c r="B2977" s="4" t="s">
        <v>2</v>
      </c>
      <c r="C2977" s="4"/>
    </row>
    <row r="2978" spans="1:3" ht="24" customHeight="1">
      <c r="A2978" s="4" t="str">
        <f ca="1">IFERROR(__xludf.DUMMYFUNCTION("""COMPUTED_VALUE"""),"प्रवसते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॥नैषधीयचरितम्५.१३४ ॥")</f>
        <v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॥नैषधीयचरितम्५.१३४ ॥</v>
      </c>
      <c r="B2978" s="4" t="s">
        <v>11</v>
      </c>
      <c r="C2978" s="4"/>
    </row>
    <row r="2979" spans="1:3" ht="24" customHeight="1">
      <c r="A2979" s="4" t="str">
        <f ca="1">IFERROR(__xludf.DUMMYFUNCTION("""COMPUTED_VALUE"""),"इष्टं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॥नैषधीयचरितम्५.१३५ ॥")</f>
        <v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॥नैषधीयचरितम्५.१३५ ॥</v>
      </c>
      <c r="B2979" s="4" t="s">
        <v>2</v>
      </c>
      <c r="C2979" s="4"/>
    </row>
    <row r="2980" spans="1:3" ht="24" customHeight="1">
      <c r="A2980" s="4" t="str">
        <f ca="1">IFERROR(__xludf.DUMMYFUNCTION("""COMPUTED_VALUE"""),"यं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॥नैषधीयचरितम्५.१३६ ॥")</f>
        <v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॥नैषधीयचरितम्५.१३६ ॥</v>
      </c>
      <c r="B2980" s="4" t="s">
        <v>12</v>
      </c>
      <c r="C2980" s="4"/>
    </row>
    <row r="2981" spans="1:3" ht="24" customHeight="1">
      <c r="A2981" s="4" t="str">
        <f ca="1">IFERROR(__xludf.DUMMYFUNCTION("""COMPUTED_VALUE"""),"इत्याकर्ण्य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॥नैषधीयचरितम्५.१३७ ॥")</f>
        <v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॥नैषधीयचरितम्५.१३७ ॥</v>
      </c>
      <c r="B2981" s="4" t="s">
        <v>0</v>
      </c>
      <c r="C2981" s="4"/>
    </row>
    <row r="2982" spans="1:3" ht="24" customHeight="1">
      <c r="A2982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॥नैषधीयचरितम्५.१३८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॥नैषधीयचरितम्५.१३८ ॥</v>
      </c>
      <c r="B2982" s="4" t="s">
        <v>12</v>
      </c>
      <c r="C2982" s="4"/>
    </row>
    <row r="2983" spans="1:3" ht="24" customHeight="1">
      <c r="A2983" s="4" t="str">
        <f ca="1">IFERROR(__xludf.DUMMYFUNCTION("""COMPUTED_VALUE"""),"दूत्याय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॥नैषधीयचरितम्६.१ ॥")</f>
        <v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॥नैषधीयचरितम्६.१ ॥</v>
      </c>
      <c r="B2983" s="4" t="s">
        <v>5</v>
      </c>
      <c r="C2983" s="4"/>
    </row>
    <row r="2984" spans="1:3" ht="24" customHeight="1">
      <c r="A2984" s="4" t="str">
        <f ca="1">IFERROR(__xludf.DUMMYFUNCTION("""COMPUTED_VALUE"""),"भैम्या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॥नैषधीयचरितम्६.२ ॥")</f>
        <v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॥नैषधीयचरितम्६.२ ॥</v>
      </c>
      <c r="B2984" s="4" t="s">
        <v>5</v>
      </c>
      <c r="C2984" s="4"/>
    </row>
    <row r="2985" spans="1:3" ht="24" customHeight="1">
      <c r="A2985" s="4" t="str">
        <f ca="1">IFERROR(__xludf.DUMMYFUNCTION("""COMPUTED_VALUE"""),"नलप्रणालीमिलदम्बुजाक्षीसंवादपीयूषपिपासवस्ते । तदध्ववीक्षार्थमिवानिमेषा देशस्य तस्याभरणीबभूवुः ॥नैषधीयचरितम्६.३ ॥")</f>
        <v>नलप्रणालीमिलदम्बुजाक्षीसंवादपीयूषपिपासवस्ते । तदध्ववीक्षार्थमिवानिमेषा देशस्य तस्याभरणीबभूवुः ॥नैषधीयचरितम्६.३ ॥</v>
      </c>
      <c r="B2985" s="4" t="s">
        <v>4</v>
      </c>
      <c r="C2985" s="4"/>
    </row>
    <row r="2986" spans="1:3" ht="24" customHeight="1">
      <c r="A2986" s="4" t="str">
        <f ca="1">IFERROR(__xludf.DUMMYFUNCTION("""COMPUTED_VALUE"""),"तां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॥नैषधीयचरितम्६.४ ॥")</f>
        <v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॥नैषधीयचरितम्६.४ ॥</v>
      </c>
      <c r="B2986" s="4" t="s">
        <v>17</v>
      </c>
      <c r="C2986" s="4"/>
    </row>
    <row r="2987" spans="1:3" ht="24" customHeight="1">
      <c r="A2987" s="4" t="str">
        <f ca="1">IFERROR(__xludf.DUMMYFUNCTION("""COMPUTED_VALUE"""),"भैमीपदस्पर्शकृतार्थरथ्या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॥नैषधीयचरितम्६.५ ॥")</f>
        <v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॥नैषधीयचरितम्६.५ ॥</v>
      </c>
      <c r="B2987" s="4" t="s">
        <v>8</v>
      </c>
      <c r="C2987" s="4"/>
    </row>
    <row r="2988" spans="1:3" ht="24" customHeight="1">
      <c r="A2988" s="4" t="str">
        <f ca="1">IFERROR(__xludf.DUMMYFUNCTION("""COMPUTED_VALUE"""),"स्विद्यत्प्रमोदाश्रुलवेन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॥नैषधीयचरितम्६.६ ॥")</f>
        <v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॥नैषधीयचरितम्६.६ ॥</v>
      </c>
      <c r="B2988" s="4" t="s">
        <v>15</v>
      </c>
      <c r="C2988" s="4"/>
    </row>
    <row r="2989" spans="1:3" ht="24" customHeight="1">
      <c r="A2989" s="4" t="str">
        <f ca="1">IFERROR(__xludf.DUMMYFUNCTION("""COMPUTED_VALUE"""),"रथादसौ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॥नैषधीयचरितम्६.७ ॥")</f>
        <v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॥नैषधीयचरितम्६.७ ॥</v>
      </c>
      <c r="B2989" s="4" t="s">
        <v>28</v>
      </c>
      <c r="C2989" s="4"/>
    </row>
    <row r="2990" spans="1:3" ht="24" customHeight="1">
      <c r="A2990" s="4" t="str">
        <f ca="1">IFERROR(__xludf.DUMMYFUNCTION("""COMPUTED_VALUE"""),"चित्रं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॥नैषधीयचरितम्६.८ ॥")</f>
        <v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॥नैषधीयचरितम्६.८ ॥</v>
      </c>
      <c r="B2990" s="4" t="s">
        <v>2</v>
      </c>
      <c r="C2990" s="4"/>
    </row>
    <row r="2991" spans="1:3" ht="24" customHeight="1">
      <c r="A2991" s="4" t="str">
        <f ca="1">IFERROR(__xludf.DUMMYFUNCTION("""COMPUTED_VALUE"""),"जनैर्विदग्धैर्भवनैश्च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॥नैषधीयचरितम्६.९ ॥")</f>
        <v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॥नैषधीयचरितम्६.९ ॥</v>
      </c>
      <c r="B2991" s="4" t="s">
        <v>4</v>
      </c>
      <c r="C2991" s="4"/>
    </row>
    <row r="2992" spans="1:3" ht="24" customHeight="1">
      <c r="A2992" s="4" t="str">
        <f ca="1">IFERROR(__xludf.DUMMYFUNCTION("""COMPUTED_VALUE"""),"हेलां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॥नैषधीयचरितम्६.१ ॥")</f>
        <v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॥नैषधीयचरितम्६.१ ॥</v>
      </c>
      <c r="B2992" s="4" t="s">
        <v>16</v>
      </c>
      <c r="C2992" s="4"/>
    </row>
    <row r="2993" spans="1:3" ht="24" customHeight="1">
      <c r="A2993" s="4" t="str">
        <f ca="1">IFERROR(__xludf.DUMMYFUNCTION("""COMPUTED_VALUE"""),"अथोपकार्याममरेन्द्रकार्यात्कक्षासु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॥नैषधीयचरितम्६.११ ॥")</f>
        <v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॥नैषधीयचरितम्६.११ ॥</v>
      </c>
      <c r="B2993" s="4" t="s">
        <v>19</v>
      </c>
      <c r="C2993" s="4"/>
    </row>
    <row r="2994" spans="1:3" ht="24" customHeight="1">
      <c r="A2994" s="4" t="str">
        <f ca="1">IFERROR(__xludf.DUMMYFUNCTION("""COMPUTED_VALUE"""),"अयं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॥नैषधीयचरितम्६.१२ ॥")</f>
        <v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॥नैषधीयचरितम्६.१२ ॥</v>
      </c>
      <c r="B2994" s="4" t="s">
        <v>24</v>
      </c>
      <c r="C2994" s="4"/>
    </row>
    <row r="2995" spans="1:3" ht="24" customHeight="1">
      <c r="A2995" s="4" t="str">
        <f ca="1">IFERROR(__xludf.DUMMYFUNCTION("""COMPUTED_VALUE"""),"अन्तःपुरान्तः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॥नैषधीयचरितम्६.१३ ॥")</f>
        <v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॥नैषधीयचरितम्६.१३ ॥</v>
      </c>
      <c r="B2995" s="4" t="s">
        <v>0</v>
      </c>
      <c r="C2995" s="4"/>
    </row>
    <row r="2996" spans="1:3" ht="24" customHeight="1">
      <c r="A2996" s="4" t="str">
        <f ca="1">IFERROR(__xludf.DUMMYFUNCTION("""COMPUTED_VALUE"""),"अनादिसर्गस्रजि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॥नैषधीयचरितम्६.१४ ॥")</f>
        <v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॥नैषधीयचरितम्६.१४ ॥</v>
      </c>
      <c r="B2996" s="4" t="s">
        <v>13</v>
      </c>
      <c r="C2996" s="4"/>
    </row>
    <row r="2997" spans="1:3" ht="24" customHeight="1">
      <c r="A2997" s="4" t="str">
        <f ca="1">IFERROR(__xludf.DUMMYFUNCTION("""COMPUTED_VALUE"""),"अलीकभैमीसहदर्शनान्न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॥नैषधीयचरितम्६.१५ ॥")</f>
        <v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॥नैषधीयचरितम्६.१५ ॥</v>
      </c>
      <c r="B2997" s="4" t="s">
        <v>6</v>
      </c>
      <c r="C2997" s="4"/>
    </row>
    <row r="2998" spans="1:3" ht="24" customHeight="1">
      <c r="A2998" s="4" t="str">
        <f ca="1">IFERROR(__xludf.DUMMYFUNCTION("""COMPUTED_VALUE"""),"भैमीनिराशे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॥नैषधीयचरितम्६.१६ ॥")</f>
        <v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॥नैषधीयचरितम्६.१६ ॥</v>
      </c>
      <c r="B2998" s="4" t="s">
        <v>20</v>
      </c>
      <c r="C2998" s="4"/>
    </row>
    <row r="2999" spans="1:3" ht="24" customHeight="1">
      <c r="A2999" s="4" t="str">
        <f ca="1">IFERROR(__xludf.DUMMYFUNCTION("""COMPUTED_VALUE"""),"प्रियां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॥नैषधीयचरितम्६.१७ ॥")</f>
        <v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॥नैषधीयचरितम्६.१७ ॥</v>
      </c>
      <c r="B2999" s="4" t="s">
        <v>2</v>
      </c>
      <c r="C2999" s="4"/>
    </row>
    <row r="3000" spans="1:3" ht="24" customHeight="1">
      <c r="A3000" s="4" t="str">
        <f ca="1">IFERROR(__xludf.DUMMYFUNCTION("""COMPUTED_VALUE"""),"पश्यन्स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॥नैषधीयचरितम्६.१८ ॥")</f>
        <v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॥नैषधीयचरितम्६.१८ ॥</v>
      </c>
      <c r="B3000" s="4" t="s">
        <v>13</v>
      </c>
      <c r="C3000" s="4"/>
    </row>
    <row r="3001" spans="1:3" ht="24" customHeight="1">
      <c r="A3001" s="4" t="str">
        <f ca="1">IFERROR(__xludf.DUMMYFUNCTION("""COMPUTED_VALUE"""),"अन्तःपुरे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॥नैषधीयचरितम्६.१९ ॥")</f>
        <v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॥नैषधीयचरितम्६.१९ ॥</v>
      </c>
      <c r="B3001" s="4" t="s">
        <v>6</v>
      </c>
      <c r="C3001" s="4"/>
    </row>
    <row r="3002" spans="1:3" ht="24" customHeight="1">
      <c r="A3002" s="4" t="str">
        <f ca="1">IFERROR(__xludf.DUMMYFUNCTION("""COMPUTED_VALUE"""),"दोर्मूलमालोक्य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॥नैषधीयचरितम्६.२ ॥")</f>
        <v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॥नैषधीयचरितम्६.२ ॥</v>
      </c>
      <c r="B3002" s="4" t="s">
        <v>13</v>
      </c>
      <c r="C3002" s="4"/>
    </row>
    <row r="3003" spans="1:3" ht="24" customHeight="1">
      <c r="A3003" s="4" t="str">
        <f ca="1">IFERROR(__xludf.DUMMYFUNCTION("""COMPUTED_VALUE"""),"मीलन्न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॥नैषधीयचरितम्६.२१ ॥")</f>
        <v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॥नैषधीयचरितम्६.२१ ॥</v>
      </c>
      <c r="B3003" s="4" t="s">
        <v>2</v>
      </c>
      <c r="C3003" s="4"/>
    </row>
    <row r="3004" spans="1:3" ht="24" customHeight="1">
      <c r="A3004" s="4" t="str">
        <f ca="1">IFERROR(__xludf.DUMMYFUNCTION("""COMPUTED_VALUE"""),"निमीलनस्पष्टविलोकनाभ्यां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॥नैषधीयचरितम्६.२२ ॥")</f>
        <v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॥नैषधीयचरितम्६.२२ ॥</v>
      </c>
      <c r="B3004" s="4" t="s">
        <v>4</v>
      </c>
      <c r="C3004" s="4"/>
    </row>
    <row r="3005" spans="1:3" ht="24" customHeight="1">
      <c r="A3005" s="4" t="str">
        <f ca="1">IFERROR(__xludf.DUMMYFUNCTION("""COMPUTED_VALUE"""),"रोमाञ्चिताङ्गीमनु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॥नैषधीयचरितम्६.२३ ॥")</f>
        <v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॥नैषधीयचरितम्६.२३ ॥</v>
      </c>
      <c r="B3005" s="4" t="s">
        <v>5</v>
      </c>
      <c r="C3005" s="4"/>
    </row>
    <row r="3006" spans="1:3" ht="24" customHeight="1">
      <c r="A3006" s="4" t="str">
        <f ca="1">IFERROR(__xludf.DUMMYFUNCTION("""COMPUTED_VALUE"""),"हित्वैव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॥नैषधीयचरितम्६.२४ ॥")</f>
        <v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॥नैषधीयचरितम्६.२४ ॥</v>
      </c>
      <c r="B3006" s="4" t="s">
        <v>9</v>
      </c>
      <c r="C3006" s="4"/>
    </row>
    <row r="3007" spans="1:3" ht="24" customHeight="1">
      <c r="A3007" s="4" t="str">
        <f ca="1">IFERROR(__xludf.DUMMYFUNCTION("""COMPUTED_VALUE"""),"उद्वर्तयन्त्या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॥नैषधीयचरितम्६.२५ ॥")</f>
        <v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॥नैषधीयचरितम्६.२५ ॥</v>
      </c>
      <c r="B3007" s="4" t="s">
        <v>4</v>
      </c>
      <c r="C3007" s="4"/>
    </row>
    <row r="3008" spans="1:3" ht="24" customHeight="1">
      <c r="A3008" s="4" t="str">
        <f ca="1">IFERROR(__xludf.DUMMYFUNCTION("""COMPUTED_VALUE"""),"तन्वीमुखं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॥नैषधीयचरितम्६.२६ ॥")</f>
        <v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॥नैषधीयचरितम्६.२६ ॥</v>
      </c>
      <c r="B3008" s="4" t="s">
        <v>16</v>
      </c>
      <c r="C3008" s="4"/>
    </row>
    <row r="3009" spans="1:3" ht="24" customHeight="1">
      <c r="A3009" s="4" t="str">
        <f ca="1">IFERROR(__xludf.DUMMYFUNCTION("""COMPUTED_VALUE"""),"चतुष्पथे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॥नैषधीयचरितम्६.२७ ॥")</f>
        <v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॥नैषधीयचरितम्६.२७ ॥</v>
      </c>
      <c r="B3009" s="4" t="s">
        <v>5</v>
      </c>
      <c r="C3009" s="4"/>
    </row>
    <row r="3010" spans="1:3" ht="24" customHeight="1">
      <c r="A3010" s="4" t="str">
        <f ca="1">IFERROR(__xludf.DUMMYFUNCTION("""COMPUTED_VALUE"""),"संघट्टयन्त्यास्तरसात्मभूषाहीराङ्कुरप्रोतदुकूलहारी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॥नैषधीयचरितम्६.२८ ॥")</f>
        <v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॥नैषधीयचरितम्६.२८ ॥</v>
      </c>
      <c r="B3010" s="4" t="s">
        <v>9</v>
      </c>
      <c r="C3010" s="4"/>
    </row>
    <row r="3011" spans="1:3" ht="24" customHeight="1">
      <c r="A3011" s="4" t="str">
        <f ca="1">IFERROR(__xludf.DUMMYFUNCTION("""COMPUTED_VALUE"""),"हतः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॥नैषधीयचरितम्६.२९ ॥")</f>
        <v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॥नैषधीयचरितम्६.२९ ॥</v>
      </c>
      <c r="B3011" s="4" t="s">
        <v>6</v>
      </c>
      <c r="C3011" s="4"/>
    </row>
    <row r="3012" spans="1:3" ht="24" customHeight="1">
      <c r="A3012" s="4" t="str">
        <f ca="1">IFERROR(__xludf.DUMMYFUNCTION("""COMPUTED_VALUE"""),"छायामयः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॥नैषधीयचरितम्६.३ ॥")</f>
        <v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॥नैषधीयचरितम्६.३ ॥</v>
      </c>
      <c r="B3012" s="4" t="s">
        <v>23</v>
      </c>
      <c r="C3012" s="4"/>
    </row>
    <row r="3013" spans="1:3" ht="24" customHeight="1">
      <c r="A3013" s="4" t="str">
        <f ca="1">IFERROR(__xludf.DUMMYFUNCTION("""COMPUTED_VALUE"""),"तच्छायसौन्दर्यनिपीतधैर्याः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॥नैषधीयचरितम्६.३१ ॥")</f>
        <v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॥नैषधीयचरितम्६.३१ ॥</v>
      </c>
      <c r="B3013" s="4" t="s">
        <v>16</v>
      </c>
      <c r="C3013" s="4"/>
    </row>
    <row r="3014" spans="1:3" ht="24" customHeight="1">
      <c r="A3014" s="4" t="str">
        <f ca="1">IFERROR(__xludf.DUMMYFUNCTION("""COMPUTED_VALUE"""),"तस्माददृश्यादपि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॥नैषधीयचरितम्६.३२ ॥")</f>
        <v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॥नैषधीयचरितम्६.३२ ॥</v>
      </c>
      <c r="B3014" s="4" t="s">
        <v>1</v>
      </c>
      <c r="C3014" s="4"/>
    </row>
    <row r="3015" spans="1:3" ht="24" customHeight="1">
      <c r="A3015" s="4" t="str">
        <f ca="1">IFERROR(__xludf.DUMMYFUNCTION("""COMPUTED_VALUE"""),"जागर्ति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॥नैषधीयचरितम्६.३३ ॥")</f>
        <v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॥नैषधीयचरितम्६.३३ ॥</v>
      </c>
      <c r="B3015" s="4" t="s">
        <v>18</v>
      </c>
      <c r="C3015" s="4"/>
    </row>
    <row r="3016" spans="1:3" ht="24" customHeight="1">
      <c r="A3016" s="4" t="str">
        <f ca="1">IFERROR(__xludf.DUMMYFUNCTION("""COMPUTED_VALUE"""),"उल्लास्यतां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॥नैषधीयचरितम्६.३४ ॥")</f>
        <v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॥नैषधीयचरितम्६.३४ ॥</v>
      </c>
      <c r="B3016" s="4" t="s">
        <v>12</v>
      </c>
      <c r="C3016" s="4"/>
    </row>
    <row r="3017" spans="1:3" ht="24" customHeight="1">
      <c r="A3017" s="4" t="str">
        <f ca="1">IFERROR(__xludf.DUMMYFUNCTION("""COMPUTED_VALUE"""),"यस्मिन्नलस्पृष्टकमेत्य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॥नैषधीयचरितम्६.३५ ॥")</f>
        <v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॥नैषधीयचरितम्६.३५ ॥</v>
      </c>
      <c r="B3017" s="4" t="s">
        <v>17</v>
      </c>
      <c r="C3017" s="4"/>
    </row>
    <row r="3018" spans="1:3" ht="24" customHeight="1">
      <c r="A3018" s="4" t="str">
        <f ca="1">IFERROR(__xludf.DUMMYFUNCTION("""COMPUTED_VALUE"""),"भ्रमन्नमुष्यामुपकारिकायामायस्य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॥नैषधीयचरितम्६.३६ ॥")</f>
        <v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॥नैषधीयचरितम्६.३६ ॥</v>
      </c>
      <c r="B3018" s="4" t="s">
        <v>18</v>
      </c>
      <c r="C3018" s="4"/>
    </row>
    <row r="3019" spans="1:3" ht="24" customHeight="1">
      <c r="A3019" s="4" t="str">
        <f ca="1">IFERROR(__xludf.DUMMYFUNCTION("""COMPUTED_VALUE"""),"उल्लिख्य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॥नैषधीयचरितम्६.३७ ॥")</f>
        <v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॥नैषधीयचरितम्६.३७ ॥</v>
      </c>
      <c r="B3019" s="4" t="s">
        <v>5</v>
      </c>
      <c r="C3019" s="4"/>
    </row>
    <row r="3020" spans="1:3" ht="24" customHeight="1">
      <c r="A3020" s="4" t="str">
        <f ca="1">IFERROR(__xludf.DUMMYFUNCTION("""COMPUTED_VALUE"""),"कौमारगन्धीनि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॥नैषधीयचरितम्६.३८ ॥ ")</f>
        <v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॥नैषधीयचरितम्६.३८ ॥ </v>
      </c>
      <c r="B3020" s="4" t="s">
        <v>12</v>
      </c>
      <c r="C3020" s="4"/>
    </row>
    <row r="3021" spans="1:3" ht="24" customHeight="1">
      <c r="A3021" s="4" t="str">
        <f ca="1">IFERROR(__xludf.DUMMYFUNCTION("""COMPUTED_VALUE"""),"पश्याः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॥नैषधीयचरितम्६.३९ ॥")</f>
        <v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॥नैषधीयचरितम्६.३९ ॥</v>
      </c>
      <c r="B3021" s="4" t="s">
        <v>0</v>
      </c>
      <c r="C3021" s="4"/>
    </row>
    <row r="3022" spans="1:3" ht="24" customHeight="1">
      <c r="A3022" s="4" t="str">
        <f ca="1">IFERROR(__xludf.DUMMYFUNCTION("""COMPUTED_VALUE"""),"तारुण्यपुण्यामवलोकयन्त्योरन्योन्यमेणेक्षणयोरभिख्याम्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॥नैषधीयचरितम्६.४ ॥")</f>
        <v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॥नैषधीयचरितम्६.४ ॥</v>
      </c>
      <c r="B3022" s="4" t="s">
        <v>5</v>
      </c>
      <c r="C3022" s="4"/>
    </row>
    <row r="3023" spans="1:3" ht="24" customHeight="1">
      <c r="A3023" s="4" t="str">
        <f ca="1">IFERROR(__xludf.DUMMYFUNCTION("""COMPUTED_VALUE"""),"पुरःस्थितस्य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॥नैषधीयचरितम्६.४१ ॥ ")</f>
        <v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॥नैषधीयचरितम्६.४१ ॥ </v>
      </c>
      <c r="B3023" s="4" t="s">
        <v>4</v>
      </c>
      <c r="C3023" s="4"/>
    </row>
    <row r="3024" spans="1:3" ht="24" customHeight="1">
      <c r="A3024" s="4" t="str">
        <f ca="1">IFERROR(__xludf.DUMMYFUNCTION("""COMPUTED_VALUE"""),"तस्मिन्विषज्याऋधपथात्तपातं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॥नैषधीयचरितम्६.४२ ॥")</f>
        <v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॥नैषधीयचरितम्६.४२ ॥</v>
      </c>
      <c r="B3024" s="4" t="s">
        <v>5</v>
      </c>
      <c r="C3024" s="4"/>
    </row>
    <row r="3025" spans="1:3" ht="24" customHeight="1">
      <c r="A3025" s="4" t="str">
        <f ca="1">IFERROR(__xludf.DUMMYFUNCTION("""COMPUTED_VALUE"""),"पुंसि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॥नैषधीयचरितम्६.४३ ॥")</f>
        <v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॥नैषधीयचरितम्६.४३ ॥</v>
      </c>
      <c r="B3025" s="4" t="s">
        <v>5</v>
      </c>
      <c r="C3025" s="4"/>
    </row>
    <row r="3026" spans="1:3" ht="24" customHeight="1">
      <c r="A3026" s="4" t="str">
        <f ca="1">IFERROR(__xludf.DUMMYFUNCTION("""COMPUTED_VALUE"""),"विलोक्य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॥नैषधीयचरितम्६.४४ ॥ ")</f>
        <v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॥नैषधीयचरितम्६.४४ ॥ </v>
      </c>
      <c r="B3026" s="4" t="s">
        <v>11</v>
      </c>
      <c r="C3026" s="4"/>
    </row>
    <row r="3027" spans="1:3" ht="24" customHeight="1">
      <c r="A3027" s="4" t="str">
        <f ca="1">IFERROR(__xludf.DUMMYFUNCTION("""COMPUTED_VALUE"""),"रूपं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॥नैषधीयचरितम्६.४५ ॥")</f>
        <v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॥नैषधीयचरितम्६.४५ ॥</v>
      </c>
      <c r="B3027" s="4" t="s">
        <v>15</v>
      </c>
      <c r="C3027" s="4"/>
    </row>
    <row r="3028" spans="1:3" ht="24" customHeight="1">
      <c r="A3028" s="4" t="str">
        <f ca="1">IFERROR(__xludf.DUMMYFUNCTION("""COMPUTED_VALUE"""),"भवन्नदृश्यः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॥नैषधीयचरितम्६.४६ ॥")</f>
        <v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॥नैषधीयचरितम्६.४६ ॥</v>
      </c>
      <c r="B3028" s="4" t="s">
        <v>2</v>
      </c>
      <c r="C3028" s="4"/>
    </row>
    <row r="3029" spans="1:3" ht="24" customHeight="1">
      <c r="A3029" s="4" t="str">
        <f ca="1">IFERROR(__xludf.DUMMYFUNCTION("""COMPUTED_VALUE"""),"पुमानिवास्पर्शि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॥नैषधीयचरितम्६.४७ ॥")</f>
        <v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॥नैषधीयचरितम्६.४७ ॥</v>
      </c>
      <c r="B3029" s="4" t="s">
        <v>2</v>
      </c>
      <c r="C3029" s="4"/>
    </row>
    <row r="3030" spans="1:3" ht="24" customHeight="1">
      <c r="A3030" s="4" t="str">
        <f ca="1">IFERROR(__xludf.DUMMYFUNCTION("""COMPUTED_VALUE"""),"अम्बां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॥नैषधीयचरितम्६.४८ ॥")</f>
        <v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॥नैषधीयचरितम्६.४८ ॥</v>
      </c>
      <c r="B3030" s="4" t="s">
        <v>8</v>
      </c>
      <c r="C3030" s="4"/>
    </row>
    <row r="3031" spans="1:3" ht="24" customHeight="1">
      <c r="A3031" s="4" t="str">
        <f ca="1">IFERROR(__xludf.DUMMYFUNCTION("""COMPUTED_VALUE"""),"प्रसूप्रसादाधिगता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॥नैषधीयचरितम्६.४९ ॥")</f>
        <v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॥नैषधीयचरितम्६.४९ ॥</v>
      </c>
      <c r="B3031" s="4" t="s">
        <v>4</v>
      </c>
      <c r="C3031" s="4"/>
    </row>
    <row r="3032" spans="1:3" ht="24" customHeight="1">
      <c r="A3032" s="4" t="str">
        <f ca="1">IFERROR(__xludf.DUMMYFUNCTION("""COMPUTED_VALUE"""),"स्रग्वासनादृष्टजनप्रसादः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॥नैषधीयचरितम्६.५ ॥")</f>
        <v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॥नैषधीयचरितम्६.५ ॥</v>
      </c>
      <c r="B3032" s="4" t="s">
        <v>11</v>
      </c>
      <c r="C3032" s="4"/>
    </row>
    <row r="3033" spans="1:3" ht="24" customHeight="1">
      <c r="A3033" s="4" t="str">
        <f ca="1">IFERROR(__xludf.DUMMYFUNCTION("""COMPUTED_VALUE"""),"अन्योन्यमन्यत्रवदीक्षमाणो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॥नैषधीयचरितम्६.५१ ॥")</f>
        <v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॥नैषधीयचरितम्६.५१ ॥</v>
      </c>
      <c r="B3033" s="4" t="s">
        <v>2</v>
      </c>
      <c r="C3033" s="4"/>
    </row>
    <row r="3034" spans="1:3" ht="24" customHeight="1">
      <c r="A3034" s="4" t="str">
        <f ca="1">IFERROR(__xludf.DUMMYFUNCTION("""COMPUTED_VALUE"""),"स्पर्शं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॥नैषधीयचरितम्६.५२ ॥")</f>
        <v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॥नैषधीयचरितम्६.५२ ॥</v>
      </c>
      <c r="B3034" s="4" t="s">
        <v>19</v>
      </c>
      <c r="C3034" s="4"/>
    </row>
    <row r="3035" spans="1:3" ht="24" customHeight="1">
      <c r="A3035" s="4" t="str">
        <f ca="1">IFERROR(__xludf.DUMMYFUNCTION("""COMPUTED_VALUE"""),"स्पर्शाटिहर्षादृतसत्यमत्या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॥नैषधीयचरितम्६.५३ ॥")</f>
        <v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॥नैषधीयचरितम्६.५३ ॥</v>
      </c>
      <c r="B3035" s="4" t="s">
        <v>20</v>
      </c>
      <c r="C3035" s="4"/>
    </row>
    <row r="3036" spans="1:3" ht="24" customHeight="1">
      <c r="A3036" s="4" t="str">
        <f ca="1">IFERROR(__xludf.DUMMYFUNCTION("""COMPUTED_VALUE"""),"सर्वत्र संवाद्यमबाधमानौ रूपश्रियातिथ्यकरं परं तौ । न शेकतुः केलिरसाद्विरन्तुमलीकमालोक्य परस्परं तु ॥नैषधीयचरितम्६.५४ ॥")</f>
        <v>सर्वत्र संवाद्यमबाधमानौ रूपश्रियातिथ्यकरं परं तौ । न शेकतुः केलिरसाद्विरन्तुमलीकमालोक्य परस्परं तु ॥नैषधीयचरितम्६.५४ ॥</v>
      </c>
      <c r="B3036" s="4" t="s">
        <v>2</v>
      </c>
      <c r="C3036" s="4"/>
    </row>
    <row r="3037" spans="1:3" ht="24" customHeight="1">
      <c r="A3037" s="4" t="str">
        <f ca="1">IFERROR(__xludf.DUMMYFUNCTION("""COMPUTED_VALUE"""),"परस्परस्पर्शरसोर्मिसेकात्तयोः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॥नैषधीयचरितम्६.५५ ॥")</f>
        <v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॥नैषधीयचरितम्६.५५ ॥</v>
      </c>
      <c r="B3037" s="4" t="s">
        <v>9</v>
      </c>
      <c r="C3037" s="4"/>
    </row>
    <row r="3038" spans="1:3" ht="24" customHeight="1">
      <c r="A3038" s="4" t="str">
        <f ca="1">IFERROR(__xludf.DUMMYFUNCTION("""COMPUTED_VALUE"""),"वेश्माप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॥नैषधीयचरितम्६.५६ ॥")</f>
        <v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॥नैषधीयचरितम्६.५६ ॥</v>
      </c>
      <c r="B3038" s="4" t="s">
        <v>7</v>
      </c>
      <c r="C3038" s="4"/>
    </row>
    <row r="3039" spans="1:3" ht="24" customHeight="1">
      <c r="A3039" s="4" t="str">
        <f ca="1">IFERROR(__xludf.DUMMYFUNCTION("""COMPUTED_VALUE"""),"पद्म्यां नृपः संचरमाण एष चिरं परिभ्रम्य कथंकथंचित् । विदर्भराजप्रभवाभिरामं प्रासादमभ्रंकषमाससाद ॥नैषधीयचरितम्६.५७ ॥")</f>
        <v>पद्म्यां नृपः संचरमाण एष चिरं परिभ्रम्य कथंकथंचित् । विदर्भराजप्रभवाभिरामं प्रासादमभ्रंकषमाससाद ॥नैषधीयचरितम्६.५७ ॥</v>
      </c>
      <c r="B3039" s="4" t="s">
        <v>17</v>
      </c>
      <c r="C3039" s="4"/>
    </row>
    <row r="3040" spans="1:3" ht="24" customHeight="1">
      <c r="A3040" s="4" t="str">
        <f ca="1">IFERROR(__xludf.DUMMYFUNCTION("""COMPUTED_VALUE"""),"सखीशतानां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॥नैषधीयचरितम्६.५८ ॥")</f>
        <v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॥नैषधीयचरितम्६.५८ ॥</v>
      </c>
      <c r="B3040" s="4" t="s">
        <v>5</v>
      </c>
      <c r="C3040" s="4"/>
    </row>
    <row r="3041" spans="1:3" ht="24" customHeight="1">
      <c r="A3041" s="4" t="str">
        <f ca="1">IFERROR(__xludf.DUMMYFUNCTION("""COMPUTED_VALUE"""),"कण्ठः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॥नैषधीयचरितम्६.५९ ॥")</f>
        <v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॥नैषधीयचरितम्६.५९ ॥</v>
      </c>
      <c r="B3041" s="4" t="s">
        <v>2</v>
      </c>
      <c r="C3041" s="4"/>
    </row>
    <row r="3042" spans="1:3" ht="24" customHeight="1">
      <c r="A3042" s="4" t="str">
        <f ca="1">IFERROR(__xludf.DUMMYFUNCTION("""COMPUTED_VALUE"""),"एतं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॥नैषधीयचरितम्६.६ ॥")</f>
        <v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॥नैषधीयचरितम्६.६ ॥</v>
      </c>
      <c r="B3042" s="4" t="s">
        <v>23</v>
      </c>
      <c r="C3042" s="4"/>
    </row>
    <row r="3043" spans="1:3" ht="24" customHeight="1">
      <c r="A3043" s="4" t="str">
        <f ca="1">IFERROR(__xludf.DUMMYFUNCTION("""COMPUTED_VALUE"""),"यत्रैकयालीकनलीकृतालीकण्ठे मृषाभीमभवीभवन्त्या । तद्दृक्पथे दौहदिकोपनीता शालीनमाधायि मधूकमाला ॥नैषधीयचरितम्६.६१ ॥")</f>
        <v>यत्रैकयालीकनलीकृतालीकण्ठे मृषाभीमभवीभवन्त्या । तद्दृक्पथे दौहदिकोपनीता शालीनमाधायि मधूकमाला ॥नैषधीयचरितम्६.६१ ॥</v>
      </c>
      <c r="B3043" s="4" t="s">
        <v>11</v>
      </c>
      <c r="C3043" s="4"/>
    </row>
    <row r="3044" spans="1:3" ht="24" customHeight="1">
      <c r="A3044" s="4" t="str">
        <f ca="1">IFERROR(__xludf.DUMMYFUNCTION("""COMPUTED_VALUE"""),"चन्द्राभमाभ्रं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॥नैषधीयचरितम्६.६२ ॥ ")</f>
        <v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॥नैषधीयचरितम्६.६२ ॥ </v>
      </c>
      <c r="B3044" s="4" t="s">
        <v>0</v>
      </c>
      <c r="C3044" s="4"/>
    </row>
    <row r="3045" spans="1:3" ht="24" customHeight="1">
      <c r="A3045" s="4" t="str">
        <f ca="1">IFERROR(__xludf.DUMMYFUNCTION("""COMPUTED_VALUE"""),"दलोदरे काञ्चनकेतकस्य क्षणान्मसीभावुकवर्णलेखम् । तस्यैव यत्र स्वमनङ्गलेखं लिलेख भैमी नखलेखिनीभिः ॥नैषधीयचरितम्६.६३ ॥")</f>
        <v>दलोदरे काञ्चनकेतकस्य क्षणान्मसीभावुकवर्णलेखम् । तस्यैव यत्र स्वमनङ्गलेखं लिलेख भैमी नखलेखिनीभिः ॥नैषधीयचरितम्६.६३ ॥</v>
      </c>
      <c r="B3045" s="4" t="s">
        <v>6</v>
      </c>
      <c r="C3045" s="4"/>
    </row>
    <row r="3046" spans="1:3" ht="24" customHeight="1">
      <c r="A3046" s="4" t="str">
        <f ca="1">IFERROR(__xludf.DUMMYFUNCTION("""COMPUTED_VALUE"""),"विलेखितुं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॥नैषधीयचरितम्६.६४ ॥")</f>
        <v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॥नैषधीयचरितम्६.६४ ॥</v>
      </c>
      <c r="B3046" s="4" t="s">
        <v>4</v>
      </c>
      <c r="C3046" s="4"/>
    </row>
    <row r="3047" spans="1:3" ht="24" customHeight="1">
      <c r="A3047" s="4" t="str">
        <f ca="1">IFERROR(__xludf.DUMMYFUNCTION("""COMPUTED_VALUE"""),"भैमीमुपावीणयदेत्य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॥नैषधीयचरितम्६.६५ ॥")</f>
        <v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॥नैषधीयचरितम्६.६५ ॥</v>
      </c>
      <c r="B3047" s="4" t="s">
        <v>7</v>
      </c>
      <c r="C3047" s="4"/>
    </row>
    <row r="3048" spans="1:3" ht="24" customHeight="1">
      <c r="A3048" s="4" t="str">
        <f ca="1">IFERROR(__xludf.DUMMYFUNCTION("""COMPUTED_VALUE"""),"नावा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॥नैषधीयचरितम्६.६६ ॥")</f>
        <v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॥नैषधीयचरितम्६.६६ ॥</v>
      </c>
      <c r="B3048" s="4" t="s">
        <v>16</v>
      </c>
      <c r="C3048" s="4"/>
    </row>
    <row r="3049" spans="1:3" ht="24" customHeight="1">
      <c r="A3049" s="4" t="str">
        <f ca="1">IFERROR(__xludf.DUMMYFUNCTION("""COMPUTED_VALUE"""),"स्मराशुगीभूय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॥नैषधीयचरितम्६.६७ ॥")</f>
        <v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॥नैषधीयचरितम्६.६७ ॥</v>
      </c>
      <c r="B3049" s="4" t="s">
        <v>5</v>
      </c>
      <c r="C3049" s="4"/>
    </row>
    <row r="3050" spans="1:3" ht="24" customHeight="1">
      <c r="A3050" s="4" t="str">
        <f ca="1">IFERROR(__xludf.DUMMYFUNCTION("""COMPUTED_VALUE"""),"यत्रावदत्तामतिभीय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॥नैषधीयचरितम्६.६८ ॥")</f>
        <v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॥नैषधीयचरितम्६.६८ ॥</v>
      </c>
      <c r="B3050" s="4" t="s">
        <v>3</v>
      </c>
      <c r="C3050" s="4"/>
    </row>
    <row r="3051" spans="1:3" ht="24" customHeight="1">
      <c r="A3051" s="4" t="str">
        <f ca="1">IFERROR(__xludf.DUMMYFUNCTION("""COMPUTED_VALUE"""),"आलिख्य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॥नैषधीयचरितम्६.६९ ॥")</f>
        <v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॥नैषधीयचरितम्६.६९ ॥</v>
      </c>
      <c r="B3051" s="4" t="s">
        <v>5</v>
      </c>
      <c r="C3051" s="4"/>
    </row>
    <row r="3052" spans="1:3" ht="24" customHeight="1">
      <c r="A3052" s="4" t="str">
        <f ca="1">IFERROR(__xludf.DUMMYFUNCTION("""COMPUTED_VALUE"""),"तामेव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॥नैषधीयचरितम्६.७ ॥")</f>
        <v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॥नैषधीयचरितम्६.७ ॥</v>
      </c>
      <c r="B3052" s="4" t="s">
        <v>2</v>
      </c>
      <c r="C3052" s="4"/>
    </row>
    <row r="3053" spans="1:3" ht="24" customHeight="1">
      <c r="A3053" s="4" t="str">
        <f ca="1">IFERROR(__xludf.DUMMYFUNCTION("""COMPUTED_VALUE"""),"शारीं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॥नैषधीयचरितम्६.७१ ॥")</f>
        <v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॥नैषधीयचरितम्६.७१ ॥</v>
      </c>
      <c r="B3053" s="4" t="s">
        <v>25</v>
      </c>
      <c r="C3053" s="4"/>
    </row>
    <row r="3054" spans="1:3" ht="24" customHeight="1">
      <c r="A3054" s="4" t="str">
        <f ca="1">IFERROR(__xludf.DUMMYFUNCTION("""COMPUTED_VALUE"""),"भैमीसमीपे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॥नैषधीयचरितम्६.७२ ॥")</f>
        <v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॥नैषधीयचरितम्६.७२ ॥</v>
      </c>
      <c r="B3054" s="4" t="s">
        <v>24</v>
      </c>
      <c r="C3054" s="4"/>
    </row>
    <row r="3055" spans="1:3" ht="24" customHeight="1">
      <c r="A3055" s="4" t="str">
        <f ca="1">IFERROR(__xludf.DUMMYFUNCTION("""COMPUTED_VALUE"""),"तस्मिन्नियं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॥नैषधीयचरितम्६.७३ ॥")</f>
        <v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॥नैषधीयचरितम्६.७३ ॥</v>
      </c>
      <c r="B3055" s="4" t="s">
        <v>2</v>
      </c>
      <c r="C3055" s="4"/>
    </row>
    <row r="3056" spans="1:3" ht="24" customHeight="1">
      <c r="A3056" s="4" t="str">
        <f ca="1">IFERROR(__xludf.DUMMYFUNCTION("""COMPUTED_VALUE"""),"भैमीविनोदाय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॥नैषधीयचरितम्६.७४ ॥")</f>
        <v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॥नैषधीयचरितम्६.७४ ॥</v>
      </c>
      <c r="B3056" s="4" t="s">
        <v>5</v>
      </c>
      <c r="C3056" s="4"/>
    </row>
    <row r="3057" spans="1:3" ht="24" customHeight="1">
      <c r="A3057" s="4" t="str">
        <f ca="1">IFERROR(__xludf.DUMMYFUNCTION("""COMPUTED_VALUE"""),"हुताशकीनाशजलेशदूतीर्निराकरिष्णोः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॥नैषधीयचरितम्६.७५ ॥")</f>
        <v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॥नैषधीयचरितम्६.७५ ॥</v>
      </c>
      <c r="B3057" s="4" t="s">
        <v>2</v>
      </c>
      <c r="C3057" s="4"/>
    </row>
    <row r="3058" spans="1:3" ht="24" customHeight="1">
      <c r="A3058" s="4" t="str">
        <f ca="1">IFERROR(__xludf.DUMMYFUNCTION("""COMPUTED_VALUE"""),"विज्ञप्तिमन्तःसभयः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॥नैषधीयचरितम्६.७६ ॥")</f>
        <v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॥नैषधीयचरितम्६.७६ ॥</v>
      </c>
      <c r="B3058" s="4" t="s">
        <v>1</v>
      </c>
      <c r="C3058" s="4"/>
    </row>
    <row r="3059" spans="1:3" ht="24" customHeight="1">
      <c r="A3059" s="4" t="str">
        <f ca="1">IFERROR(__xludf.DUMMYFUNCTION("""COMPUTED_VALUE"""),"लिपिर्न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॥नैषधीयचरितम्६.७७ ॥")</f>
        <v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॥नैषधीयचरितम्६.७७ ॥</v>
      </c>
      <c r="B3059" s="4" t="s">
        <v>1</v>
      </c>
      <c r="C3059" s="4"/>
    </row>
    <row r="3060" spans="1:3" ht="24" customHeight="1">
      <c r="A3060" s="4" t="str">
        <f ca="1">IFERROR(__xludf.DUMMYFUNCTION("""COMPUTED_VALUE"""),"सलीलमालिङ्गनयोपपीडमनामयं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॥नैषधीयचरितम्६.७८ ॥")</f>
        <v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॥नैषधीयचरितम्६.७८ ॥</v>
      </c>
      <c r="B3060" s="4" t="s">
        <v>5</v>
      </c>
      <c r="C3060" s="4"/>
    </row>
    <row r="3061" spans="1:3" ht="24" customHeight="1">
      <c r="A3061" s="4" t="str">
        <f ca="1">IFERROR(__xludf.DUMMYFUNCTION("""COMPUTED_VALUE"""),"यः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॥नैषधीयचरितम्६.७९ ॥")</f>
        <v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॥नैषधीयचरितम्६.७९ ॥</v>
      </c>
      <c r="B3061" s="4" t="s">
        <v>8</v>
      </c>
      <c r="C3061" s="4"/>
    </row>
    <row r="3062" spans="1:3" ht="24" customHeight="1">
      <c r="A3062" s="4" t="str">
        <f ca="1">IFERROR(__xludf.DUMMYFUNCTION("""COMPUTED_VALUE"""),"नैनं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॥नैषधीयचरितम्६.८ ॥")</f>
        <v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॥नैषधीयचरितम्६.८ ॥</v>
      </c>
      <c r="B3062" s="4" t="s">
        <v>2</v>
      </c>
      <c r="C3062" s="4"/>
    </row>
    <row r="3063" spans="1:3" ht="24" customHeight="1">
      <c r="A3063" s="4" t="str">
        <f ca="1">IFERROR(__xludf.DUMMYFUNCTION("""COMPUTED_VALUE"""),"लोकस्रजि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॥नैषधीयचरितम्६.८१ ॥")</f>
        <v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॥नैषधीयचरितम्६.८१ ॥</v>
      </c>
      <c r="B3063" s="4" t="s">
        <v>9</v>
      </c>
      <c r="C3063" s="4"/>
    </row>
    <row r="3064" spans="1:3" ht="24" customHeight="1">
      <c r="A3064" s="4" t="str">
        <f ca="1">IFERROR(__xludf.DUMMYFUNCTION("""COMPUTED_VALUE"""),"पदं शतेनाप मखैर्यदिन्द्रस्तस्मै स ते याचनचाटुकारः ।कुरु प्रसादं तदलंकुरुष्व स्वीकारकृद्भ्रूनटनशृअमेण ॥नैषधीयचरितम्६.८२ ॥")</f>
        <v>पदं शतेनाप मखैर्यदिन्द्रस्तस्मै स ते याचनचाटुकारः ।कुरु प्रसादं तदलंकुरुष्व स्वीकारकृद्भ्रूनटनशृअमेण ॥नैषधीयचरितम्६.८२ ॥</v>
      </c>
      <c r="B3064" s="4" t="s">
        <v>7</v>
      </c>
      <c r="C3064" s="4"/>
    </row>
    <row r="3065" spans="1:3" ht="24" customHeight="1">
      <c r="A3065" s="4" t="str">
        <f ca="1">IFERROR(__xludf.DUMMYFUNCTION("""COMPUTED_VALUE"""),"मन्दाकिनीनन्दनयोर्विहारे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॥नैषधीयचरितम्६.८३ ॥ ")</f>
        <v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॥नैषधीयचरितम्६.८३ ॥ </v>
      </c>
      <c r="B3065" s="4" t="s">
        <v>4</v>
      </c>
      <c r="C3065" s="4"/>
    </row>
    <row r="3066" spans="1:3" ht="24" customHeight="1">
      <c r="A3066" s="4" t="str">
        <f ca="1">IFERROR(__xludf.DUMMYFUNCTION("""COMPUTED_VALUE"""),"रज्यस्व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॥नैषधीयचरितम्६.८४ ॥")</f>
        <v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॥नैषधीयचरितम्६.८४ ॥</v>
      </c>
      <c r="B3066" s="4" t="s">
        <v>2</v>
      </c>
      <c r="C3066" s="4"/>
    </row>
    <row r="3067" spans="1:3" ht="24" customHeight="1">
      <c r="A3067" s="4" t="str">
        <f ca="1">IFERROR(__xludf.DUMMYFUNCTION("""COMPUTED_VALUE"""),"यानेव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॥नैषधीयचरितम्६.८५ ॥")</f>
        <v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॥नैषधीयचरितम्६.८५ ॥</v>
      </c>
      <c r="B3067" s="4" t="s">
        <v>5</v>
      </c>
      <c r="C3067" s="4"/>
    </row>
    <row r="3068" spans="1:3" ht="24" customHeight="1">
      <c r="A3068" s="4" t="str">
        <f ca="1">IFERROR(__xludf.DUMMYFUNCTION("""COMPUTED_VALUE"""),"इत्युक्तवत्या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॥नैषधीयचरितम्६.८६ ॥")</f>
        <v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॥नैषधीयचरितम्६.८६ ॥</v>
      </c>
      <c r="B3068" s="4" t="s">
        <v>8</v>
      </c>
      <c r="C3068" s="4"/>
    </row>
    <row r="3069" spans="1:3" ht="24" customHeight="1">
      <c r="A3069" s="4" t="str">
        <f ca="1">IFERROR(__xludf.DUMMYFUNCTION("""COMPUTED_VALUE"""),"आर्ये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॥नैषधीयचरितम्६.८७ ॥")</f>
        <v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॥नैषधीयचरितम्६.८७ ॥</v>
      </c>
      <c r="B3069" s="4" t="s">
        <v>16</v>
      </c>
      <c r="C3069" s="4"/>
    </row>
    <row r="3070" spans="1:3" ht="24" customHeight="1">
      <c r="A3070" s="4" t="str">
        <f ca="1">IFERROR(__xludf.DUMMYFUNCTION("""COMPUTED_VALUE"""),"अनाश्रवा वः किमहं कदापि वक्तुं विशेषः परमस्ति शेषः । ईतीरिते भीमजया न दूतीमालिङ्गदालीश्च मुदामियत्ता ॥नैषधीयचरितम्६.८८ ॥")</f>
        <v>अनाश्रवा वः किमहं कदापि वक्तुं विशेषः परमस्ति शेषः । ईतीरिते भीमजया न दूतीमालिङ्गदालीश्च मुदामियत्ता ॥नैषधीयचरितम्६.८८ ॥</v>
      </c>
      <c r="B3070" s="4" t="s">
        <v>2</v>
      </c>
      <c r="C3070" s="4"/>
    </row>
    <row r="3071" spans="1:3" ht="24" customHeight="1">
      <c r="A3071" s="4" t="str">
        <f ca="1">IFERROR(__xludf.DUMMYFUNCTION("""COMPUTED_VALUE"""),"भैमीं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॥नैषधीयचरितम्६.८९ ॥")</f>
        <v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॥नैषधीयचरितम्६.८९ ॥</v>
      </c>
      <c r="B3071" s="4" t="s">
        <v>17</v>
      </c>
      <c r="C3071" s="4"/>
    </row>
    <row r="3072" spans="1:3" ht="24" customHeight="1">
      <c r="A3072" s="4" t="str">
        <f ca="1">IFERROR(__xludf.DUMMYFUNCTION("""COMPUTED_VALUE"""),"ईषत्स्मितक्षालितसृक्वभागा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॥नैषधीयचरितम्६.९ ॥")</f>
        <v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॥नैषधीयचरितम्६.९ ॥</v>
      </c>
      <c r="B3072" s="4" t="s">
        <v>0</v>
      </c>
      <c r="C3072" s="4"/>
    </row>
    <row r="3073" spans="1:3" ht="24" customHeight="1">
      <c r="A3073" s="4" t="str">
        <f ca="1">IFERROR(__xludf.DUMMYFUNCTION("""COMPUTED_VALUE"""),"स्तुतौ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॥नैषधीयचरितम्६.९१ ॥")</f>
        <v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॥नैषधीयचरितम्६.९१ ॥</v>
      </c>
      <c r="B3073" s="4" t="s">
        <v>12</v>
      </c>
      <c r="C3073" s="4"/>
    </row>
    <row r="3074" spans="1:3" ht="24" customHeight="1">
      <c r="A3074" s="4" t="str">
        <f ca="1">IFERROR(__xludf.DUMMYFUNCTION("""COMPUTED_VALUE"""),"आज्ञां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॥नैषधीयचरितम्६.९२ ॥")</f>
        <v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॥नैषधीयचरितम्६.९२ ॥</v>
      </c>
      <c r="B3074" s="4" t="s">
        <v>6</v>
      </c>
      <c r="C3074" s="4"/>
    </row>
    <row r="3075" spans="1:3" ht="24" customHeight="1">
      <c r="A3075" s="4" t="str">
        <f ca="1">IFERROR(__xludf.DUMMYFUNCTION("""COMPUTED_VALUE"""),"तपःफलत्वेन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॥नैषधीयचरितम्६.९३ ॥")</f>
        <v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॥नैषधीयचरितम्६.९३ ॥</v>
      </c>
      <c r="B3075" s="4" t="s">
        <v>3</v>
      </c>
      <c r="C3075" s="4"/>
    </row>
    <row r="3076" spans="1:3" ht="24" customHeight="1">
      <c r="A3076" s="4" t="str">
        <f ca="1">IFERROR(__xludf.DUMMYFUNCTION("""COMPUTED_VALUE"""),"शुश्रूषिताहे तदहं तमेव पतिं मुदेऽपि व्रतसंपदेऽपि । विशेषलेशोयऽमदेवदेहमंशागतं तु क्षितिभृत्तयेह ॥नैषधीयचरितम्६.९४ ॥")</f>
        <v>शुश्रूषिताहे तदहं तमेव पतिं मुदेऽपि व्रतसंपदेऽपि । विशेषलेशोयऽमदेवदेहमंशागतं तु क्षितिभृत्तयेह ॥नैषधीयचरितम्६.९४ ॥</v>
      </c>
      <c r="B3076" s="4" t="s">
        <v>24</v>
      </c>
      <c r="C3076" s="4"/>
    </row>
    <row r="3077" spans="1:3" ht="24" customHeight="1">
      <c r="A3077" s="4" t="str">
        <f ca="1">IFERROR(__xludf.DUMMYFUNCTION("""COMPUTED_VALUE"""),"अश्रौषमिन्द्रादरिणीर्गिरस्ते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॥नैषधीयचरितम्६.९५ ॥")</f>
        <v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॥नैषधीयचरितम्६.९५ ॥</v>
      </c>
      <c r="B3077" s="4" t="s">
        <v>5</v>
      </c>
      <c r="C3077" s="4"/>
    </row>
    <row r="3078" spans="1:3" ht="24" customHeight="1">
      <c r="A3078" s="4" t="str">
        <f ca="1">IFERROR(__xludf.DUMMYFUNCTION("""COMPUTED_VALUE"""),"तस्मिन्विमृश्यैव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॥नैषधीयचरितम्६.९६ ॥")</f>
        <v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॥नैषधीयचरितम्६.९६ ॥</v>
      </c>
      <c r="B3078" s="4" t="s">
        <v>4</v>
      </c>
      <c r="C3078" s="4"/>
    </row>
    <row r="3079" spans="1:3" ht="24" customHeight="1">
      <c r="A3079" s="4" t="str">
        <f ca="1">IFERROR(__xludf.DUMMYFUNCTION("""COMPUTED_VALUE"""),"वर्षेषु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॥नैषधीयचरितम्६.९७ ॥")</f>
        <v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॥नैषधीयचरितम्६.९७ ॥</v>
      </c>
      <c r="B3079" s="4" t="s">
        <v>18</v>
      </c>
      <c r="C3079" s="4"/>
    </row>
    <row r="3080" spans="1:3" ht="24" customHeight="1">
      <c r="A3080" s="4" t="str">
        <f ca="1">IFERROR(__xludf.DUMMYFUNCTION("""COMPUTED_VALUE"""),"स्वर्गे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॥नैषधीयचरितम्६.९८ ॥")</f>
        <v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॥नैषधीयचरितम्६.९८ ॥</v>
      </c>
      <c r="B3080" s="4" t="s">
        <v>24</v>
      </c>
      <c r="C3080" s="4"/>
    </row>
    <row r="3081" spans="1:3" ht="24" customHeight="1">
      <c r="A3081" s="4" t="str">
        <f ca="1">IFERROR(__xludf.DUMMYFUNCTION("""COMPUTED_VALUE"""),"साधोरपि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॥नैषधीयचरितम्६.९९ ॥")</f>
        <v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॥नैषधीयचरितम्६.९९ ॥</v>
      </c>
      <c r="B3081" s="4" t="s">
        <v>1</v>
      </c>
      <c r="C3081" s="4"/>
    </row>
    <row r="3082" spans="1:3" ht="24" customHeight="1">
      <c r="A3082" s="4" t="str">
        <f ca="1">IFERROR(__xludf.DUMMYFUNCTION("""COMPUTED_VALUE"""),"प्रक्षीण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॥नैषधीयचरितम्६.१ ॥")</f>
        <v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॥नैषधीयचरितम्६.१ ॥</v>
      </c>
      <c r="B3082" s="4" t="s">
        <v>19</v>
      </c>
      <c r="C3082" s="4"/>
    </row>
    <row r="3083" spans="1:3" ht="24" customHeight="1">
      <c r="A3083" s="4" t="str">
        <f ca="1">IFERROR(__xludf.DUMMYFUNCTION("""COMPUTED_VALUE"""),"इतीन्द्रदूत्याः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॥नैषधीयचरितम्६.१०१ ॥")</f>
        <v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॥नैषधीयचरितम्६.१०१ ॥</v>
      </c>
      <c r="B3083" s="4" t="s">
        <v>5</v>
      </c>
      <c r="C3083" s="4"/>
    </row>
    <row r="3084" spans="1:3" ht="24" customHeight="1">
      <c r="A3084" s="4" t="str">
        <f ca="1">IFERROR(__xludf.DUMMYFUNCTION("""COMPUTED_VALUE"""),"अनादिधाविस्वपरम्पराया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॥नैषधीयचरितम्६.१०२ ॥")</f>
        <v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॥नैषधीयचरितम्६.१०२ ॥</v>
      </c>
      <c r="B3084" s="4" t="s">
        <v>5</v>
      </c>
      <c r="C3084" s="4"/>
    </row>
    <row r="3085" spans="1:3" ht="24" customHeight="1">
      <c r="A3085" s="4" t="str">
        <f ca="1">IFERROR(__xludf.DUMMYFUNCTION("""COMPUTED_VALUE"""),"नित्यं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॥नैषधीयचरितम्६.१०३ ॥")</f>
        <v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॥नैषधीयचरितम्६.१०३ ॥</v>
      </c>
      <c r="B3085" s="4" t="s">
        <v>2</v>
      </c>
      <c r="C3085" s="4"/>
    </row>
    <row r="3086" spans="1:3" ht="24" customHeight="1">
      <c r="A3086" s="4" t="str">
        <f ca="1">IFERROR(__xludf.DUMMYFUNCTION("""COMPUTED_VALUE"""),"क्रमेलकं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॥नैषधीयचरितम्६.१०४ ॥")</f>
        <v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॥नैषधीयचरितम्६.१०४ ॥</v>
      </c>
      <c r="B3086" s="4" t="s">
        <v>18</v>
      </c>
      <c r="C3086" s="4"/>
    </row>
    <row r="3087" spans="1:3" ht="24" customHeight="1">
      <c r="A3087" s="4" t="str">
        <f ca="1">IFERROR(__xludf.DUMMYFUNCTION("""COMPUTED_VALUE"""),"गुणा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॥नैषधीयचरितम्६.१०५ ॥")</f>
        <v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॥नैषधीयचरितम्६.१०५ ॥</v>
      </c>
      <c r="B3087" s="4" t="s">
        <v>1</v>
      </c>
      <c r="C3087" s="4"/>
    </row>
    <row r="3088" spans="1:3" ht="24" customHeight="1">
      <c r="A3088" s="4" t="str">
        <f ca="1">IFERROR(__xludf.DUMMYFUNCTION("""COMPUTED_VALUE"""),"आकीटमाकैटभवैरि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॥नैषधीयचरितम्६.१०६ ॥ ")</f>
        <v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॥नैषधीयचरितम्६.१०६ ॥ </v>
      </c>
      <c r="B3088" s="4" t="s">
        <v>10</v>
      </c>
      <c r="C3088" s="4"/>
    </row>
    <row r="3089" spans="1:3" ht="24" customHeight="1">
      <c r="A3089" s="4" t="str">
        <f ca="1">IFERROR(__xludf.DUMMYFUNCTION("""COMPUTED_VALUE"""),"अध्वाग्रजाग्रन्निभृतापदन्धुर्बन्धुर्यदि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॥नैषधीयचरितम्६.१०७ ॥ ")</f>
        <v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॥नैषधीयचरितम्६.१०७ ॥ </v>
      </c>
      <c r="B3089" s="4" t="s">
        <v>2</v>
      </c>
      <c r="C3089" s="4"/>
    </row>
    <row r="3090" spans="1:3" ht="24" customHeight="1">
      <c r="A3090" s="4" t="str">
        <f ca="1">IFERROR(__xludf.DUMMYFUNCTION("""COMPUTED_VALUE"""),"इत्थं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॥नैषधीयचरितम्६.१०८ ॥")</f>
        <v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॥नैषधीयचरितम्६.१०८ ॥</v>
      </c>
      <c r="B3090" s="4" t="s">
        <v>11</v>
      </c>
      <c r="C3090" s="4"/>
    </row>
    <row r="3091" spans="1:3" ht="24" customHeight="1">
      <c r="A3091" s="4" t="str">
        <f ca="1">IFERROR(__xludf.DUMMYFUNCTION("""COMPUTED_VALUE"""),"परेतभर्तुर्मनसेव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॥नैषधीयचरितम्६.१०९ ॥ ")</f>
        <v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॥नैषधीयचरितम्६.१०९ ॥ </v>
      </c>
      <c r="B3091" s="4" t="s">
        <v>10</v>
      </c>
      <c r="C3091" s="4"/>
    </row>
    <row r="3092" spans="1:3" ht="24" customHeight="1">
      <c r="A3092" s="4" t="str">
        <f ca="1">IFERROR(__xludf.DUMMYFUNCTION("""COMPUTED_VALUE"""),"भूयोऽर्थमेनं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॥नैषधीयचरितम्६.११ ॥")</f>
        <v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॥नैषधीयचरितम्६.११ ॥</v>
      </c>
      <c r="B3092" s="4" t="s">
        <v>12</v>
      </c>
      <c r="C3092" s="4"/>
    </row>
    <row r="3093" spans="1:3" ht="24" customHeight="1">
      <c r="A3093" s="4" t="str">
        <f ca="1">IFERROR(__xludf.DUMMYFUNCTION("""COMPUTED_VALUE"""),"इत्थं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॥नैषधीयचरितम्६.१११ ॥")</f>
        <v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॥नैषधीयचरितम्६.१११ ॥</v>
      </c>
      <c r="B3093" s="4" t="s">
        <v>20</v>
      </c>
      <c r="C3093" s="4"/>
    </row>
    <row r="3094" spans="1:3" ht="24" customHeight="1">
      <c r="A3094" s="4" t="str">
        <f ca="1">IFERROR(__xludf.DUMMYFUNCTION("""COMPUTED_VALUE"""),"श्रवणपुटयुगेन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॥नैषधीयचरितम्६.११२ ॥")</f>
        <v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॥नैषधीयचरितम्६.११२ ॥</v>
      </c>
      <c r="B3094" s="4" t="s">
        <v>0</v>
      </c>
      <c r="C3094" s="4"/>
    </row>
    <row r="3095" spans="1:3" ht="24" customHeight="1">
      <c r="A3095" s="4" t="str">
        <f ca="1">IFERROR(__xludf.DUMMYFUNCTION("""COMPUTED_VALUE"""),"श्रीहर्षं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॥नैषधीयचरितम्६.११३ ॥")</f>
        <v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॥नैषधीयचरितम्६.११३ ॥</v>
      </c>
      <c r="B3095" s="4" t="s">
        <v>11</v>
      </c>
      <c r="C3095" s="4"/>
    </row>
    <row r="3096" spans="1:3" ht="24" customHeight="1">
      <c r="A3096" s="4" t="str">
        <f ca="1">IFERROR(__xludf.DUMMYFUNCTION("""COMPUTED_VALUE"""),"अथ प्रियासादनशीलनादौ मनोरथः पल्लवितः पुरा यः । विलोकनेनैव स राजपुत्र्याः पत्या भुवः पुर्णवदभ्यमानि ॥नैषधीयचरितम्७.१ ॥")</f>
        <v>अथ प्रियासादनशीलनादौ मनोरथः पल्लवितः पुरा यः । विलोकनेनैव स राजपुत्र्याः पत्या भुवः पुर्णवदभ्यमानि ॥नैषधीयचरितम्७.१ ॥</v>
      </c>
      <c r="B3096" s="4" t="s">
        <v>1</v>
      </c>
      <c r="C3096" s="4"/>
    </row>
    <row r="3097" spans="1:3" ht="24" customHeight="1">
      <c r="A3097" s="4" t="str">
        <f ca="1">IFERROR(__xludf.DUMMYFUNCTION("""COMPUTED_VALUE"""),"प्रतिप्रतीकं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॥नैषधीयचरितम्७.२ ॥")</f>
        <v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॥नैषधीयचरितम्७.२ ॥</v>
      </c>
      <c r="B3097" s="4" t="s">
        <v>5</v>
      </c>
      <c r="C3097" s="4"/>
    </row>
    <row r="3098" spans="1:3" ht="24" customHeight="1">
      <c r="A3098" s="4" t="str">
        <f ca="1">IFERROR(__xludf.DUMMYFUNCTION("""COMPUTED_VALUE"""),"ब्रह्माद्वयस्यान्वभवत्प्रमोदं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॥नैषधीयचरितम्७.३ ॥")</f>
        <v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॥नैषधीयचरितम्७.३ ॥</v>
      </c>
      <c r="B3098" s="4" t="s">
        <v>18</v>
      </c>
      <c r="C3098" s="4"/>
    </row>
    <row r="3099" spans="1:3" ht="24" customHeight="1">
      <c r="A3099" s="4" t="str">
        <f ca="1">IFERROR(__xludf.DUMMYFUNCTION("""COMPUTED_VALUE"""),"वेलामतिक्रम्य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॥नैषधीयचरितम्७.४ ॥")</f>
        <v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॥नैषधीयचरितम्७.४ ॥</v>
      </c>
      <c r="B3099" s="4" t="s">
        <v>23</v>
      </c>
      <c r="C3099" s="4"/>
    </row>
    <row r="3100" spans="1:3" ht="24" customHeight="1">
      <c r="A3100" s="4" t="str">
        <f ca="1">IFERROR(__xludf.DUMMYFUNCTION("""COMPUTED_VALUE"""),"मग्ना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॥नैषधीयचरितम्७.५ ॥ ")</f>
        <v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॥नैषधीयचरितम्७.५ ॥ </v>
      </c>
      <c r="B3100" s="4" t="s">
        <v>1</v>
      </c>
      <c r="C3100" s="4"/>
    </row>
    <row r="3101" spans="1:3" ht="24" customHeight="1">
      <c r="A3101" s="4" t="str">
        <f ca="1">IFERROR(__xludf.DUMMYFUNCTION("""COMPUTED_VALUE"""),"प्रियाङ्गपान्था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॥नैषधीयचरितम्७.६ ॥")</f>
        <v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॥नैषधीयचरितम्७.६ ॥</v>
      </c>
      <c r="B3101" s="4" t="s">
        <v>4</v>
      </c>
      <c r="C3101" s="4"/>
    </row>
    <row r="3102" spans="1:3" ht="24" customHeight="1">
      <c r="A3102" s="4" t="str">
        <f ca="1">IFERROR(__xludf.DUMMYFUNCTION("""COMPUTED_VALUE"""),"विभ्रम्य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॥नैषधीयचरितम्७.७ ॥")</f>
        <v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॥नैषधीयचरितम्७.७ ॥</v>
      </c>
      <c r="B3102" s="4" t="s">
        <v>30</v>
      </c>
      <c r="C3102" s="4"/>
    </row>
    <row r="3103" spans="1:3" ht="24" customHeight="1">
      <c r="A3103" s="4" t="str">
        <f ca="1">IFERROR(__xludf.DUMMYFUNCTION("""COMPUTED_VALUE"""),"वासः परं नेत्रमहं न नेत्रं किमु त्वमालिङ्गय तन्मयापि । उरोनितम्बोरु कुरु प्रसादमितीव सा तत्पदयोः पपात ॥नैषधीयचरितम्७.८ ॥")</f>
        <v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॥नैषधीयचरितम्७.८ ॥</v>
      </c>
      <c r="B3103" s="4" t="s">
        <v>2</v>
      </c>
      <c r="C3103" s="4"/>
    </row>
    <row r="3104" spans="1:3" ht="24" customHeight="1">
      <c r="A3104" s="4" t="str">
        <f ca="1">IFERROR(__xludf.DUMMYFUNCTION("""COMPUTED_VALUE"""),"दृशोर्यथाकाममथोपहृत्य स प्रेयसीमालिकुलं च तस्याः । इदं प्रमोदाद्भुतसंभृतेन महीमहेन्द्रो मनसा जगाद ॥नैषधीयचरितम्७.९ ॥")</f>
        <v>दृशोर्यथाकाममथोपहृत्य स प्रेयसीमालिकुलं च तस्याः । इदं प्रमोदाद्भुतसंभृतेन महीमहेन्द्रो मनसा जगाद ॥नैषधीयचरितम्७.९ ॥</v>
      </c>
      <c r="B3104" s="4" t="s">
        <v>17</v>
      </c>
      <c r="C3104" s="4"/>
    </row>
    <row r="3105" spans="1:3" ht="24" customHeight="1">
      <c r="A3105" s="4" t="str">
        <f ca="1">IFERROR(__xludf.DUMMYFUNCTION("""COMPUTED_VALUE"""),"पदे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॥नैषधीयचरितम्७.१ ॥")</f>
        <v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॥नैषधीयचरितम्७.१ ॥</v>
      </c>
      <c r="B3105" s="4" t="s">
        <v>9</v>
      </c>
      <c r="C3105" s="4"/>
    </row>
    <row r="3106" spans="1:3" ht="24" customHeight="1">
      <c r="A3106" s="4" t="str">
        <f ca="1">IFERROR(__xludf.DUMMYFUNCTION("""COMPUTED_VALUE"""),"तरङ्गिणी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॥नैषधीयचरितम्७.११ ॥")</f>
        <v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॥नैषधीयचरितम्७.११ ॥</v>
      </c>
      <c r="B3106" s="4" t="s">
        <v>1</v>
      </c>
      <c r="C3106" s="4"/>
    </row>
    <row r="3107" spans="1:3" ht="24" customHeight="1">
      <c r="A3107" s="4" t="str">
        <f ca="1">IFERROR(__xludf.DUMMYFUNCTION("""COMPUTED_VALUE"""),"अस्यां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॥नैषधीयचरितम्७.१२ ॥ ")</f>
        <v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॥नैषधीयचरितम्७.१२ ॥ </v>
      </c>
      <c r="B3107" s="4" t="s">
        <v>2</v>
      </c>
      <c r="C3107" s="4"/>
    </row>
    <row r="3108" spans="1:3" ht="24" customHeight="1">
      <c r="A3108" s="4" t="str">
        <f ca="1">IFERROR(__xludf.DUMMYFUNCTION("""COMPUTED_VALUE"""),"जम्बालजालात्किमकर्षि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॥नैषधीयचरितम्७.१३ ॥")</f>
        <v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॥नैषधीयचरितम्७.१३ ॥</v>
      </c>
      <c r="B3108" s="4" t="s">
        <v>0</v>
      </c>
      <c r="C3108" s="4"/>
    </row>
    <row r="3109" spans="1:3" ht="24" customHeight="1">
      <c r="A3109" s="4" t="str">
        <f ca="1">IFERROR(__xludf.DUMMYFUNCTION("""COMPUTED_VALUE"""),"सत्येव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॥")</f>
        <v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v>
      </c>
      <c r="B3109" s="4" t="s">
        <v>1</v>
      </c>
      <c r="C3109" s="4"/>
    </row>
    <row r="3110" spans="1:3" ht="24" customHeight="1">
      <c r="A3110" s="4" t="str">
        <f ca="1">IFERROR(__xludf.DUMMYFUNCTION("""COMPUTED_VALUE"""),"पुराकृतिः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॥नैषधीयचरितम्७.१५ ॥")</f>
        <v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॥नैषधीयचरितम्७.१५ ॥</v>
      </c>
      <c r="B3110" s="4" t="s">
        <v>2</v>
      </c>
      <c r="C3110" s="4"/>
    </row>
    <row r="3111" spans="1:3" ht="24" customHeight="1">
      <c r="A3111" s="4" t="str">
        <f ca="1">IFERROR(__xludf.DUMMYFUNCTION("""COMPUTED_VALUE"""),"भव्यानि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॥नैषधीयचरितम्७.१६ ॥")</f>
        <v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॥नैषधीयचरितम्७.१६ ॥</v>
      </c>
      <c r="B3111" s="4" t="s">
        <v>4</v>
      </c>
      <c r="C3111" s="4"/>
    </row>
    <row r="3112" spans="1:3" ht="24" customHeight="1">
      <c r="A3112" s="4" t="str">
        <f ca="1">IFERROR(__xludf.DUMMYFUNCTION("""COMPUTED_VALUE"""),"नास्पर्शि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॥नैषधीयचरितम्७.१७ ॥")</f>
        <v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॥नैषधीयचरितम्७.१७ ॥</v>
      </c>
      <c r="B3112" s="4" t="s">
        <v>28</v>
      </c>
      <c r="C3112" s="4"/>
    </row>
    <row r="3113" spans="1:3" ht="24" customHeight="1">
      <c r="A3113" s="4" t="str">
        <f ca="1">IFERROR(__xludf.DUMMYFUNCTION("""COMPUTED_VALUE"""),"औज्झि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॥नैषधीयचरितम्७.१८ ॥")</f>
        <v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॥नैषधीयचरितम्७.१८ ॥</v>
      </c>
      <c r="B3113" s="4" t="s">
        <v>5</v>
      </c>
      <c r="C3113" s="4"/>
    </row>
    <row r="3114" spans="1:3" ht="24" customHeight="1">
      <c r="A3114" s="4" t="str">
        <f ca="1">IFERROR(__xludf.DUMMYFUNCTION("""COMPUTED_VALUE"""),"प्रत्यङ्गमस्यामभिकेन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॥नैषधीयचरितम्७.१९ ॥")</f>
        <v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॥नैषधीयचरितम्७.१९ ॥</v>
      </c>
      <c r="B3114" s="4" t="s">
        <v>16</v>
      </c>
      <c r="C3114" s="4"/>
    </row>
    <row r="3115" spans="1:3" ht="24" customHeight="1">
      <c r="A3115" s="4" t="str">
        <f ca="1">IFERROR(__xludf.DUMMYFUNCTION("""COMPUTED_VALUE"""),"अस्याः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॥नैषधीयचरितम्७.२ ॥")</f>
        <v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॥नैषधीयचरितम्७.२ ॥</v>
      </c>
      <c r="B3115" s="4" t="s">
        <v>9</v>
      </c>
      <c r="C3115" s="4"/>
    </row>
    <row r="3116" spans="1:3" ht="24" customHeight="1">
      <c r="A3116" s="4" t="str">
        <f ca="1">IFERROR(__xludf.DUMMYFUNCTION("""COMPUTED_VALUE"""),"अस्या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॥नैषधीयचरितम्७.२१ ॥")</f>
        <v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॥नैषधीयचरितम्७.२१ ॥</v>
      </c>
      <c r="B3116" s="4" t="s">
        <v>20</v>
      </c>
      <c r="C3116" s="4"/>
    </row>
    <row r="3117" spans="1:3" ht="24" customHeight="1">
      <c r="A3117" s="4" t="str">
        <f ca="1">IFERROR(__xludf.DUMMYFUNCTION("""COMPUTED_VALUE"""),"अस्याः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॥नैषधीयचरितम्७.२२ ॥")</f>
        <v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॥नैषधीयचरितम्७.२२ ॥</v>
      </c>
      <c r="B3117" s="4" t="s">
        <v>0</v>
      </c>
      <c r="C3117" s="4"/>
    </row>
    <row r="3118" spans="1:3" ht="24" customHeight="1">
      <c r="A3118" s="4" t="str">
        <f ca="1">IFERROR(__xludf.DUMMYFUNCTION("""COMPUTED_VALUE"""),"केशान्धकारादथ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॥नैषधीयचरितम्७.२३ ॥")</f>
        <v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॥नैषधीयचरितम्७.२३ ॥</v>
      </c>
      <c r="B3118" s="4" t="s">
        <v>20</v>
      </c>
      <c r="C3118" s="4"/>
    </row>
    <row r="3119" spans="1:3" ht="24" customHeight="1">
      <c r="A3119" s="4" t="str">
        <f ca="1">IFERROR(__xludf.DUMMYFUNCTION("""COMPUTED_VALUE"""),"पौष्पं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॥नैषधीयचरितम्७.२४ ॥")</f>
        <v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॥नैषधीयचरितम्७.२४ ॥</v>
      </c>
      <c r="B3119" s="4" t="s">
        <v>2</v>
      </c>
      <c r="C3119" s="4"/>
    </row>
    <row r="3120" spans="1:3" ht="24" customHeight="1">
      <c r="A3120" s="4" t="str">
        <f ca="1">IFERROR(__xludf.DUMMYFUNCTION("""COMPUTED_VALUE"""),"भ्रूभ्यां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॥नैषधीयचरितम्७.२५ ॥")</f>
        <v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॥नैषधीयचरितम्७.२५ ॥</v>
      </c>
      <c r="B3120" s="4" t="s">
        <v>3</v>
      </c>
      <c r="C3120" s="4"/>
    </row>
    <row r="3121" spans="1:3" ht="24" customHeight="1">
      <c r="A3121" s="4" t="str">
        <f ca="1">IFERROR(__xludf.DUMMYFUNCTION("""COMPUTED_VALUE"""),"स्मारं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॥नैषधीयचरितम्७.२६ ॥")</f>
        <v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॥नैषधीयचरितम्७.२६ ॥</v>
      </c>
      <c r="B3121" s="4" t="s">
        <v>4</v>
      </c>
      <c r="C3121" s="4"/>
    </row>
    <row r="3122" spans="1:3" ht="24" customHeight="1">
      <c r="A3122" s="4" t="str">
        <f ca="1">IFERROR(__xludf.DUMMYFUNCTION("""COMPUTED_VALUE"""),"एषुत्रयेणैव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॥नैषधीयचरितम्७.२७ ॥")</f>
        <v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॥नैषधीयचरितम्७.२७ ॥</v>
      </c>
      <c r="B3122" s="4" t="s">
        <v>5</v>
      </c>
      <c r="C3122" s="4"/>
    </row>
    <row r="3123" spans="1:3" ht="24" customHeight="1">
      <c r="A3123" s="4" t="str">
        <f ca="1">IFERROR(__xludf.DUMMYFUNCTION("""COMPUTED_VALUE"""),"सेयं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॥नैषधीयचरितम्७.२८ ॥ ")</f>
        <v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॥नैषधीयचरितम्७.२८ ॥ </v>
      </c>
      <c r="B3123" s="4" t="s">
        <v>23</v>
      </c>
      <c r="C3123" s="4"/>
    </row>
    <row r="3124" spans="1:3" ht="24" customHeight="1">
      <c r="A3124" s="4" t="str">
        <f ca="1">IFERROR(__xludf.DUMMYFUNCTION("""COMPUTED_VALUE"""),"आघूर्णितं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॥नैषधीयचरितम्७.२९ ॥")</f>
        <v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॥नैषधीयचरितम्७.२९ ॥</v>
      </c>
      <c r="B3124" s="4" t="s">
        <v>0</v>
      </c>
      <c r="C3124" s="4"/>
    </row>
    <row r="3125" spans="1:3" ht="24" customHeight="1">
      <c r="A3125" s="4" t="str">
        <f ca="1">IFERROR(__xludf.DUMMYFUNCTION("""COMPUTED_VALUE"""),"कर्णोत्पलेनापि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॥नैषधीयचरितम्७.३ ॥")</f>
        <v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॥नैषधीयचरितम्७.३ ॥</v>
      </c>
      <c r="B3125" s="4" t="s">
        <v>15</v>
      </c>
      <c r="C3125" s="4"/>
    </row>
    <row r="3126" spans="1:3" ht="24" customHeight="1">
      <c r="A3126" s="4" t="str">
        <f ca="1">IFERROR(__xludf.DUMMYFUNCTION("""COMPUTED_VALUE"""),"त्वचः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॥नैषधीयचरितम्७.३१ ॥")</f>
        <v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॥नैषधीयचरितम्७.३१ ॥</v>
      </c>
      <c r="B3126" s="4" t="s">
        <v>9</v>
      </c>
      <c r="C3126" s="4"/>
    </row>
    <row r="3127" spans="1:3" ht="24" customHeight="1">
      <c r="A3127" s="4" t="str">
        <f ca="1">IFERROR(__xludf.DUMMYFUNCTION("""COMPUTED_VALUE"""),"चकोरनेत्रैणदृगुत्पलानां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॥नैषधीयचरितम्७.३२ ॥")</f>
        <v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॥नैषधीयचरितम्७.३२ ॥</v>
      </c>
      <c r="B3127" s="4" t="s">
        <v>2</v>
      </c>
      <c r="C3127" s="4"/>
    </row>
    <row r="3128" spans="1:3" ht="24" customHeight="1">
      <c r="A3128" s="4" t="str">
        <f ca="1">IFERROR(__xludf.DUMMYFUNCTION("""COMPUTED_VALUE"""),"ऋणीकृता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॥नैषधीयचरितम्७.३३ ॥")</f>
        <v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॥नैषधीयचरितम्७.३३ ॥</v>
      </c>
      <c r="B3128" s="4" t="s">
        <v>5</v>
      </c>
      <c r="C3128" s="4"/>
    </row>
    <row r="3129" spans="1:3" ht="24" customHeight="1">
      <c r="A3129" s="4" t="str">
        <f ca="1">IFERROR(__xludf.DUMMYFUNCTION("""COMPUTED_VALUE"""),"दृशौ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॥नैषधीयचरितम्७.३४ ॥")</f>
        <v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॥नैषधीयचरितम्७.३४ ॥</v>
      </c>
      <c r="B3129" s="4" t="s">
        <v>5</v>
      </c>
      <c r="C3129" s="4"/>
    </row>
    <row r="3130" spans="1:3" ht="24" customHeight="1">
      <c r="A3130" s="4" t="str">
        <f ca="1">IFERROR(__xludf.DUMMYFUNCTION("""COMPUTED_VALUE"""),"केदारभाजा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॥नैषधीयचरितम्७.३५ ॥")</f>
        <v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॥नैषधीयचरितम्७.३५ ॥</v>
      </c>
      <c r="B3130" s="4" t="s">
        <v>0</v>
      </c>
      <c r="C3130" s="4"/>
    </row>
    <row r="3131" spans="1:3" ht="24" customHeight="1">
      <c r="A3131" s="4" t="str">
        <f ca="1">IFERROR(__xludf.DUMMYFUNCTION("""COMPUTED_VALUE"""),"नासादसीया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॥नैषधीयचरितम्७.३६ ॥")</f>
        <v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॥नैषधीयचरितम्७.३६ ॥</v>
      </c>
      <c r="B3131" s="4" t="s">
        <v>5</v>
      </c>
      <c r="C3131" s="4"/>
    </row>
    <row r="3132" spans="1:3" ht="24" customHeight="1">
      <c r="A3132" s="4" t="str">
        <f ca="1">IFERROR(__xludf.DUMMYFUNCTION("""COMPUTED_VALUE"""),"बन्धूकबन्धूभवदेतदस्या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॥नैषधीयचरितम्७.३७ ॥")</f>
        <v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॥नैषधीयचरितम्७.३७ ॥</v>
      </c>
      <c r="B3132" s="4" t="s">
        <v>14</v>
      </c>
      <c r="C3132" s="4"/>
    </row>
    <row r="3133" spans="1:3" ht="24" customHeight="1">
      <c r="A3133" s="4" t="str">
        <f ca="1">IFERROR(__xludf.DUMMYFUNCTION("""COMPUTED_VALUE"""),"अस्या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॥नैषधीयचरितम्७.३८ ॥")</f>
        <v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॥नैषधीयचरितम्७.३८ ॥</v>
      </c>
      <c r="B3133" s="4" t="s">
        <v>18</v>
      </c>
      <c r="C3133" s="4"/>
    </row>
    <row r="3134" spans="1:3" ht="24" customHeight="1">
      <c r="A3134" s="4" t="str">
        <f ca="1">IFERROR(__xludf.DUMMYFUNCTION("""COMPUTED_VALUE"""),"जानेऽतिरागादिदमेव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॥नैषधीयचरितम्७.३९ ॥")</f>
        <v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॥नैषधीयचरितम्७.३९ ॥</v>
      </c>
      <c r="B3134" s="4" t="s">
        <v>1</v>
      </c>
      <c r="C3134" s="4"/>
    </row>
    <row r="3135" spans="1:3" ht="24" customHeight="1">
      <c r="A3135" s="4" t="str">
        <f ca="1">IFERROR(__xludf.DUMMYFUNCTION("""COMPUTED_VALUE"""),"मध्योपकण्ठावधरोष्ठभागौ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॥नैषधीयचरितम्७.४ ॥")</f>
        <v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॥नैषधीयचरितम्७.४ ॥</v>
      </c>
      <c r="B3135" s="4" t="s">
        <v>20</v>
      </c>
      <c r="C3135" s="4"/>
    </row>
    <row r="3136" spans="1:3" ht="24" customHeight="1">
      <c r="A3136" s="4" t="str">
        <f ca="1">IFERROR(__xludf.DUMMYFUNCTION("""COMPUTED_VALUE"""),"विद्या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॥नैषधीयचरितम्७.४१ ॥")</f>
        <v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॥नैषधीयचरितम्७.४१ ॥</v>
      </c>
      <c r="B3136" s="4" t="s">
        <v>2</v>
      </c>
      <c r="C3136" s="4"/>
    </row>
    <row r="3137" spans="1:3" ht="24" customHeight="1">
      <c r="A3137" s="4" t="str">
        <f ca="1">IFERROR(__xludf.DUMMYFUNCTION("""COMPUTED_VALUE"""),"संभुज्यमानाद्य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॥नैषधीयचरितम्७.४२ ॥")</f>
        <v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॥नैषधीयचरितम्७.४२ ॥</v>
      </c>
      <c r="B3137" s="4" t="s">
        <v>4</v>
      </c>
      <c r="C3137" s="4"/>
    </row>
    <row r="3138" spans="1:3" ht="24" customHeight="1">
      <c r="A3138" s="4" t="str">
        <f ca="1">IFERROR(__xludf.DUMMYFUNCTION("""COMPUTED_VALUE"""),"यदि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॥नैषधीयचरितम्७.४३ ॥")</f>
        <v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॥नैषधीयचरितम्७.४३ ॥</v>
      </c>
      <c r="B3138" s="4" t="s">
        <v>12</v>
      </c>
      <c r="C3138" s="4"/>
    </row>
    <row r="3139" spans="1:3" ht="24" customHeight="1">
      <c r="A3139" s="4" t="str">
        <f ca="1">IFERROR(__xludf.DUMMYFUNCTION("""COMPUTED_VALUE"""),"चन्द्राधिकैतन्मुखचन्द्रिकाणां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॥नैषधीयचरितम्७.४४ ॥")</f>
        <v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॥नैषधीयचरितम्७.४४ ॥</v>
      </c>
      <c r="B3139" s="4" t="s">
        <v>17</v>
      </c>
      <c r="C3139" s="4"/>
    </row>
    <row r="3140" spans="1:3" ht="24" customHeight="1">
      <c r="A3140" s="4" t="str">
        <f ca="1">IFERROR(__xludf.DUMMYFUNCTION("""COMPUTED_VALUE"""),"सेयं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॥नैषधीयचरितम्७.४५ ॥ ")</f>
        <v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॥नैषधीयचरितम्७.४५ ॥ </v>
      </c>
      <c r="B3140" s="4" t="s">
        <v>1</v>
      </c>
      <c r="C3140" s="4"/>
    </row>
    <row r="3141" spans="1:3" ht="24" customHeight="1">
      <c r="A3141" s="4" t="str">
        <f ca="1">IFERROR(__xludf.DUMMYFUNCTION("""COMPUTED_VALUE"""),"राजौ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॥नैषधीयचरितम्७.४६ ॥")</f>
        <v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॥नैषधीयचरितम्७.४६ ॥</v>
      </c>
      <c r="B3141" s="4" t="s">
        <v>2</v>
      </c>
      <c r="C3141" s="4"/>
    </row>
    <row r="3142" spans="1:3" ht="24" customHeight="1">
      <c r="A3142" s="4" t="str">
        <f ca="1">IFERROR(__xludf.DUMMYFUNCTION("""COMPUTED_VALUE"""),"शिरीषकोषादपि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॥नैषधीयचरितम्७.४७ ॥")</f>
        <v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॥नैषधीयचरितम्७.४७ ॥</v>
      </c>
      <c r="B3142" s="4" t="s">
        <v>0</v>
      </c>
      <c r="C3142" s="4"/>
    </row>
    <row r="3143" spans="1:3" ht="24" customHeight="1">
      <c r="A3143" s="4" t="str">
        <f ca="1">IFERROR(__xludf.DUMMYFUNCTION("""COMPUTED_VALUE"""),"प्रसूनबाणाद्वयवादिनी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॥नैषधीयचरितम्७.४८ ॥")</f>
        <v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॥नैषधीयचरितम्७.४८ ॥</v>
      </c>
      <c r="B3143" s="4" t="s">
        <v>5</v>
      </c>
      <c r="C3143" s="4"/>
    </row>
    <row r="3144" spans="1:3" ht="24" customHeight="1">
      <c r="A3144" s="4" t="str">
        <f ca="1">IFERROR(__xludf.DUMMYFUNCTION("""COMPUTED_VALUE"""),"पद्माङ्कसद्मानमवेक्ष्य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॥नैषधीयचरितम्७.४९ ॥")</f>
        <v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॥नैषधीयचरितम्७.४९ ॥</v>
      </c>
      <c r="B3144" s="4" t="s">
        <v>5</v>
      </c>
      <c r="C3144" s="4"/>
    </row>
    <row r="3145" spans="1:3" ht="24" customHeight="1">
      <c r="A3145" s="4" t="str">
        <f ca="1">IFERROR(__xludf.DUMMYFUNCTION("""COMPUTED_VALUE"""),"कण्ठे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॥नैषधीयचरितम्७.५ ॥")</f>
        <v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॥नैषधीयचरितम्७.५ ॥</v>
      </c>
      <c r="B3145" s="4" t="s">
        <v>4</v>
      </c>
      <c r="C3145" s="4"/>
    </row>
    <row r="3146" spans="1:3" ht="24" customHeight="1">
      <c r="A3146" s="4" t="str">
        <f ca="1">IFERROR(__xludf.DUMMYFUNCTION("""COMPUTED_VALUE"""),"विलोकितास्या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॥नैषधीयचरितम्७.५१ ॥ ")</f>
        <v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॥नैषधीयचरितम्७.५१ ॥ </v>
      </c>
      <c r="B3146" s="4" t="s">
        <v>4</v>
      </c>
      <c r="C3146" s="4"/>
    </row>
    <row r="3147" spans="1:3" ht="24" customHeight="1">
      <c r="A3147" s="4" t="str">
        <f ca="1">IFERROR(__xludf.DUMMYFUNCTION("""COMPUTED_VALUE"""),"प्रियामुखीभूय सुखी सुधांशुर्जयत्ययं राहुभयव्ययेन । इमां दधाराधरबिम्बलीलां तस्यैव वालं करचक्रवालम् ॥नैषधीयचरितम्७.५२ ॥")</f>
        <v>प्रियामुखीभूय सुखी सुधांशुर्जयत्ययं राहुभयव्ययेन । इमां दधाराधरबिम्बलीलां तस्यैव वालं करचक्रवालम् ॥नैषधीयचरितम्७.५२ ॥</v>
      </c>
      <c r="B3147" s="4" t="s">
        <v>11</v>
      </c>
      <c r="C3147" s="4"/>
    </row>
    <row r="3148" spans="1:3" ht="24" customHeight="1">
      <c r="A3148" s="4" t="str">
        <f ca="1">IFERROR(__xludf.DUMMYFUNCTION("""COMPUTED_VALUE"""),"अस्या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॥नैषधीयचरितम्७.५३ ॥")</f>
        <v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॥नैषधीयचरितम्७.५३ ॥</v>
      </c>
      <c r="B3148" s="4" t="s">
        <v>15</v>
      </c>
      <c r="C3148" s="4"/>
    </row>
    <row r="3149" spans="1:3" ht="24" customHeight="1">
      <c r="A3149" s="4" t="str">
        <f ca="1">IFERROR(__xludf.DUMMYFUNCTION("""COMPUTED_VALUE"""),"व्यधत्त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॥नैषधीयचरितम्७.५४ ॥")</f>
        <v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॥नैषधीयचरितम्७.५४ ॥</v>
      </c>
      <c r="B3149" s="4" t="s">
        <v>4</v>
      </c>
      <c r="C3149" s="4"/>
    </row>
    <row r="3150" spans="1:3" ht="24" customHeight="1">
      <c r="A3150" s="4" t="str">
        <f ca="1">IFERROR(__xludf.DUMMYFUNCTION("""COMPUTED_VALUE"""),"दिवारजन्यो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॥नैषधीयचरितम्७.५५ ॥ ")</f>
        <v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॥नैषधीयचरितम्७.५५ ॥ </v>
      </c>
      <c r="B3150" s="4" t="s">
        <v>2</v>
      </c>
      <c r="C3150" s="4"/>
    </row>
    <row r="3151" spans="1:3" ht="24" customHeight="1">
      <c r="A3151" s="4" t="str">
        <f ca="1">IFERROR(__xludf.DUMMYFUNCTION("""COMPUTED_VALUE"""),"अस्या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॥नैषधीयचरितम्७.५६ ॥")</f>
        <v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॥नैषधीयचरितम्७.५६ ॥</v>
      </c>
      <c r="B3151" s="4" t="s">
        <v>16</v>
      </c>
      <c r="C3151" s="4"/>
    </row>
    <row r="3152" spans="1:3" ht="24" customHeight="1">
      <c r="A3152" s="4" t="str">
        <f ca="1">IFERROR(__xludf.DUMMYFUNCTION("""COMPUTED_VALUE"""),"अर्काय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॥नैषधीयचरितम्७.५७ ॥")</f>
        <v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॥नैषधीयचरितम्७.५७ ॥</v>
      </c>
      <c r="B3152" s="4" t="s">
        <v>2</v>
      </c>
      <c r="C3152" s="4"/>
    </row>
    <row r="3153" spans="1:3" ht="24" customHeight="1">
      <c r="A3153" s="4" t="str">
        <f ca="1">IFERROR(__xludf.DUMMYFUNCTION("""COMPUTED_VALUE"""),"अस्या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॥नैषधीयचरितम्७.५८ ॥")</f>
        <v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॥नैषधीयचरितम्७.५८ ॥</v>
      </c>
      <c r="B3153" s="4" t="s">
        <v>8</v>
      </c>
      <c r="C3153" s="4"/>
    </row>
    <row r="3154" spans="1:3" ht="24" customHeight="1">
      <c r="A3154" s="4" t="str">
        <f ca="1">IFERROR(__xludf.DUMMYFUNCTION("""COMPUTED_VALUE"""),"विधोर्विधिर्बिम्बशतानि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॥नैषधीयचरितम्७.५९ ॥ ")</f>
        <v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॥नैषधीयचरितम्७.५९ ॥ </v>
      </c>
      <c r="B3154" s="4" t="s">
        <v>13</v>
      </c>
      <c r="C3154" s="4"/>
    </row>
    <row r="3155" spans="1:3" ht="24" customHeight="1">
      <c r="A3155" s="4" t="str">
        <f ca="1">IFERROR(__xludf.DUMMYFUNCTION("""COMPUTED_VALUE"""),"कपोलपत्त्रान्मकरात्सकेतुभूभ्यां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॥नैषधीयचरितम्७.६ ॥")</f>
        <v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॥नैषधीयचरितम्७.६ ॥</v>
      </c>
      <c r="B3155" s="4" t="s">
        <v>7</v>
      </c>
      <c r="C3155" s="4"/>
    </row>
    <row r="3156" spans="1:3" ht="24" customHeight="1">
      <c r="A3156" s="4" t="str">
        <f ca="1">IFERROR(__xludf.DUMMYFUNCTION("""COMPUTED_VALUE"""),"वियोगबाष्पाञ्चितनेत्रपद्मच्छद्मार्पितोत्सर्गपयःप्रसूनौ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॥नैषधीयचरितम्७.६१ ॥")</f>
        <v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॥नैषधीयचरितम्७.६१ ॥</v>
      </c>
      <c r="B3156" s="4" t="s">
        <v>17</v>
      </c>
      <c r="C3156" s="4"/>
    </row>
    <row r="3157" spans="1:3" ht="24" customHeight="1">
      <c r="A3157" s="4" t="str">
        <f ca="1">IFERROR(__xludf.DUMMYFUNCTION("""COMPUTED_VALUE"""),"इहाविशेद्येन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॥नैषधीयचरितम्७.६२ ॥")</f>
        <v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॥नैषधीयचरितम्७.६२ ॥</v>
      </c>
      <c r="B3157" s="4" t="s">
        <v>9</v>
      </c>
      <c r="C3157" s="4"/>
    </row>
    <row r="3158" spans="1:3" ht="24" customHeight="1">
      <c r="A3158" s="4" t="str">
        <f ca="1">IFERROR(__xludf.DUMMYFUNCTION("""COMPUTED_VALUE"""),"अस्या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॥नैषधीयचरितम्७.६३ ॥")</f>
        <v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॥नैषधीयचरितम्७.६३ ॥</v>
      </c>
      <c r="B3158" s="4" t="s">
        <v>19</v>
      </c>
      <c r="C3158" s="4"/>
    </row>
    <row r="3159" spans="1:3" ht="24" customHeight="1">
      <c r="A3159" s="4" t="str">
        <f ca="1">IFERROR(__xludf.DUMMYFUNCTION("""COMPUTED_VALUE"""),"मन्येऽमुना कर्णलतामयेन पाशद्वयेन च्छिदुरेतरेण । एकाकिपाशं वरुणं विजिग्येऽनङ्गीकृतायासतती रतीशः ॥नैषधीयचरितम्७.६४ ॥")</f>
        <v>मन्येऽमुना कर्णलतामयेन पाशद्वयेन च्छिदुरेतरेण । एकाकिपाशं वरुणं विजिग्येऽनङ्गीकृतायासतती रतीशः ॥नैषधीयचरितम्७.६४ ॥</v>
      </c>
      <c r="B3159" s="4" t="s">
        <v>8</v>
      </c>
      <c r="C3159" s="4"/>
    </row>
    <row r="3160" spans="1:3" ht="24" customHeight="1">
      <c r="A3160" s="4" t="str">
        <f ca="1">IFERROR(__xludf.DUMMYFUNCTION("""COMPUTED_VALUE"""),"आत्मैव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॥नैषधीयचरितम्७.६५ ॥")</f>
        <v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॥नैषधीयचरितम्७.६५ ॥</v>
      </c>
      <c r="B3160" s="4" t="s">
        <v>5</v>
      </c>
      <c r="C3160" s="4"/>
    </row>
    <row r="3161" spans="1:3" ht="24" customHeight="1">
      <c r="A3161" s="4" t="str">
        <f ca="1">IFERROR(__xludf.DUMMYFUNCTION("""COMPUTED_VALUE"""),"ग्रीवाद्भुतैवावटुशोभितापि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॥नैषधीयचरितम्७.६६ ॥")</f>
        <v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॥नैषधीयचरितम्७.६६ ॥</v>
      </c>
      <c r="B3161" s="4" t="s">
        <v>5</v>
      </c>
      <c r="C3161" s="4"/>
    </row>
    <row r="3162" spans="1:3" ht="24" customHeight="1">
      <c r="A3162" s="4" t="str">
        <f ca="1">IFERROR(__xludf.DUMMYFUNCTION("""COMPUTED_VALUE"""),"कवित्वगानप्रियवादसत्यान्यस्या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॥नैषधीयचरितम्७.६७ ॥")</f>
        <v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॥नैषधीयचरितम्७.६७ ॥</v>
      </c>
      <c r="B3162" s="4" t="s">
        <v>12</v>
      </c>
      <c r="C3162" s="4"/>
    </row>
    <row r="3163" spans="1:3" ht="24" customHeight="1">
      <c r="A3163" s="4" t="str">
        <f ca="1">IFERROR(__xludf.DUMMYFUNCTION("""COMPUTED_VALUE"""),"बाहू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॥नैषधीयचरितम्७.६८ ॥")</f>
        <v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॥नैषधीयचरितम्७.६८ ॥</v>
      </c>
      <c r="B3163" s="4" t="s">
        <v>2</v>
      </c>
      <c r="C3163" s="4"/>
    </row>
    <row r="3164" spans="1:3" ht="24" customHeight="1">
      <c r="A3164" s="4" t="str">
        <f ca="1">IFERROR(__xludf.DUMMYFUNCTION("""COMPUTED_VALUE"""),"अजीयतावर्तशुभंयुनाभ्यां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॥नैषधीयचरितम्७.६९ ॥")</f>
        <v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॥नैषधीयचरितम्७.६९ ॥</v>
      </c>
      <c r="B3164" s="4" t="s">
        <v>1</v>
      </c>
      <c r="C3164" s="4"/>
    </row>
    <row r="3165" spans="1:3" ht="24" customHeight="1">
      <c r="A3165" s="4" t="str">
        <f ca="1">IFERROR(__xludf.DUMMYFUNCTION("""COMPUTED_VALUE"""),"रज्यन्नखस्याङ्गुलिपञ्चकस्य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॥नैषधीयचरितम्७.७ ॥")</f>
        <v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॥नैषधीयचरितम्७.७ ॥</v>
      </c>
      <c r="B3165" s="4" t="s">
        <v>5</v>
      </c>
      <c r="C3165" s="4"/>
    </row>
    <row r="3166" spans="1:3" ht="24" customHeight="1">
      <c r="A3166" s="4" t="str">
        <f ca="1">IFERROR(__xludf.DUMMYFUNCTION("""COMPUTED_VALUE"""),"अस्याः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॥नैषधीयचरितम्७.७१ ॥")</f>
        <v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॥नैषधीयचरितम्७.७१ ॥</v>
      </c>
      <c r="B3166" s="4" t="s">
        <v>11</v>
      </c>
      <c r="C3166" s="4"/>
    </row>
    <row r="3167" spans="1:3" ht="24" customHeight="1">
      <c r="A3167" s="4" t="str">
        <f ca="1">IFERROR(__xludf.DUMMYFUNCTION("""COMPUTED_VALUE"""),"अस्यैव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॥नैषधीयचरितम्७.७२ ॥")</f>
        <v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॥नैषधीयचरितम्७.७२ ॥</v>
      </c>
      <c r="B3167" s="4" t="s">
        <v>5</v>
      </c>
      <c r="C3167" s="4"/>
    </row>
    <row r="3168" spans="1:3" ht="24" customHeight="1">
      <c r="A3168" s="4" t="str">
        <f ca="1">IFERROR(__xludf.DUMMYFUNCTION("""COMPUTED_VALUE"""),"किं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॥नैषधीयचरितम्७.७३ ॥")</f>
        <v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॥नैषधीयचरितम्७.७३ ॥</v>
      </c>
      <c r="B3168" s="4" t="s">
        <v>0</v>
      </c>
      <c r="C3168" s="4"/>
    </row>
    <row r="3169" spans="1:3" ht="24" customHeight="1">
      <c r="A3169" s="4" t="str">
        <f ca="1">IFERROR(__xludf.DUMMYFUNCTION("""COMPUTED_VALUE"""),"तालं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॥नैषधीयचरितम्७.७४ ॥ ")</f>
        <v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॥नैषधीयचरितम्७.७४ ॥ </v>
      </c>
      <c r="B3169" s="4" t="s">
        <v>15</v>
      </c>
      <c r="C3169" s="4"/>
    </row>
    <row r="3170" spans="1:3" ht="24" customHeight="1">
      <c r="A3170" s="4" t="str">
        <f ca="1">IFERROR(__xludf.DUMMYFUNCTION("""COMPUTED_VALUE"""),"एतत्कुचस्पर्धितया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॥नैषधीयचरितम्७.७५ ॥")</f>
        <v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॥नैषधीयचरितम्७.७५ ॥</v>
      </c>
      <c r="B3170" s="4" t="s">
        <v>0</v>
      </c>
      <c r="C3170" s="4"/>
    </row>
    <row r="3171" spans="1:3" ht="24" customHeight="1">
      <c r="A3171" s="4" t="str">
        <f ca="1">IFERROR(__xludf.DUMMYFUNCTION("""COMPUTED_VALUE"""),"गुच्छालयस्वच्छतमोदबिन्दुवृन्दाभमुक्ताफलफेनिलाङ्के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॥नैषधीयचरितम्७.७६ ॥")</f>
        <v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॥नैषधीयचरितम्७.७६ ॥</v>
      </c>
      <c r="B3171" s="4" t="s">
        <v>0</v>
      </c>
      <c r="C3171" s="4"/>
    </row>
    <row r="3172" spans="1:3" ht="24" customHeight="1">
      <c r="A3172" s="4" t="str">
        <f ca="1">IFERROR(__xludf.DUMMYFUNCTION("""COMPUTED_VALUE"""),"निःशङ्कसंकोचितपङ्कजोऽयमस्यामुदीतो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॥नैषधीयचरितम्७.७७ ॥")</f>
        <v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॥नैषधीयचरितम्७.७७ ॥</v>
      </c>
      <c r="B3172" s="4" t="s">
        <v>15</v>
      </c>
      <c r="C3172" s="4"/>
    </row>
    <row r="3173" spans="1:3" ht="24" customHeight="1">
      <c r="A3173" s="4" t="str">
        <f ca="1">IFERROR(__xludf.DUMMYFUNCTION("""COMPUTED_VALUE"""),"आभ्यां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॥नैषधीयचरितम्७.७८ ॥")</f>
        <v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॥नैषधीयचरितम्७.७८ ॥</v>
      </c>
      <c r="B3173" s="4" t="s">
        <v>5</v>
      </c>
      <c r="C3173" s="4"/>
    </row>
    <row r="3174" spans="1:3" ht="24" customHeight="1">
      <c r="A3174" s="4" t="str">
        <f ca="1">IFERROR(__xludf.DUMMYFUNCTION("""COMPUTED_VALUE"""),"कराग्रजाग्रच्छतकोटिरर्थी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॥नैषधीयचरितम्७.७९ ॥")</f>
        <v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॥नैषधीयचरितम्७.७९ ॥</v>
      </c>
      <c r="B3174" s="4" t="s">
        <v>20</v>
      </c>
      <c r="C3174" s="4"/>
    </row>
    <row r="3175" spans="1:3" ht="24" customHeight="1">
      <c r="A3175" s="4" t="str">
        <f ca="1">IFERROR(__xludf.DUMMYFUNCTION("""COMPUTED_VALUE"""),"स्तनावटे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॥नैषधीयचरितम्७.८ ॥")</f>
        <v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॥नैषधीयचरितम्७.८ ॥</v>
      </c>
      <c r="B3175" s="4" t="s">
        <v>14</v>
      </c>
      <c r="C3175" s="4"/>
    </row>
    <row r="3176" spans="1:3" ht="24" customHeight="1">
      <c r="A3176" s="4" t="str">
        <f ca="1">IFERROR(__xludf.DUMMYFUNCTION("""COMPUTED_VALUE"""),"क्षीणेन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॥नैषधीयचरितम्७.८१ ॥")</f>
        <v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॥नैषधीयचरितम्७.८१ ॥</v>
      </c>
      <c r="B3176" s="4" t="s">
        <v>0</v>
      </c>
      <c r="C3176" s="4"/>
    </row>
    <row r="3177" spans="1:3" ht="24" customHeight="1">
      <c r="A3177" s="4" t="str">
        <f ca="1">IFERROR(__xludf.DUMMYFUNCTION("""COMPUTED_VALUE"""),"मध्यं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॥नैषधीयचरितम्७.८२ ॥")</f>
        <v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॥नैषधीयचरितम्७.८२ ॥</v>
      </c>
      <c r="B3177" s="4" t="s">
        <v>23</v>
      </c>
      <c r="C3177" s="4"/>
    </row>
    <row r="3178" spans="1:3" ht="24" customHeight="1">
      <c r="A3178" s="4" t="str">
        <f ca="1">IFERROR(__xludf.DUMMYFUNCTION("""COMPUTED_VALUE"""),"गौरीव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॥नैषधीयचरितम्७.८३ ॥")</f>
        <v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॥नैषधीयचरितम्७.८३ ॥</v>
      </c>
      <c r="B3178" s="4" t="s">
        <v>5</v>
      </c>
      <c r="C3178" s="4"/>
    </row>
    <row r="3179" spans="1:3" ht="24" customHeight="1">
      <c r="A3179" s="4" t="str">
        <f ca="1">IFERROR(__xludf.DUMMYFUNCTION("""COMPUTED_VALUE"""),"रोमावलीरज्जुमुरोजकुम्भौ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॥नैषधीयचरितम्७.८४ ॥")</f>
        <v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॥नैषधीयचरितम्७.८४ ॥</v>
      </c>
      <c r="B3179" s="4" t="s">
        <v>2</v>
      </c>
      <c r="C3179" s="4"/>
    </row>
    <row r="3180" spans="1:3" ht="24" customHeight="1">
      <c r="A3180" s="4" t="str">
        <f ca="1">IFERROR(__xludf.DUMMYFUNCTION("""COMPUTED_VALUE"""),"उन्मूलितालानबिलाभनाभिश्छिन्नस्खलच्छृङ्खलरोमराजिः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॥नैषधीयचरितम्७.८५ ॥")</f>
        <v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॥नैषधीयचरितम्७.८५ ॥</v>
      </c>
      <c r="B3180" s="4" t="s">
        <v>2</v>
      </c>
      <c r="C3180" s="4"/>
    </row>
    <row r="3181" spans="1:3" ht="24" customHeight="1">
      <c r="A3181" s="4" t="str">
        <f ca="1">IFERROR(__xludf.DUMMYFUNCTION("""COMPUTED_VALUE"""),"रोमावलिभ्रूकुसुमैः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॥नैषधीयचरितम्७.८६ ॥")</f>
        <v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॥नैषधीयचरितम्७.८६ ॥</v>
      </c>
      <c r="B3181" s="4" t="s">
        <v>0</v>
      </c>
      <c r="C3181" s="4"/>
    </row>
    <row r="3182" spans="1:3" ht="24" customHeight="1">
      <c r="A3182" s="4" t="str">
        <f ca="1">IFERROR(__xludf.DUMMYFUNCTION("""COMPUTED_VALUE"""),"पुष्पाणि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॥नैषधीयचरितम्७.८७ ॥")</f>
        <v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॥नैषधीयचरितम्७.८७ ॥</v>
      </c>
      <c r="B3182" s="4" t="s">
        <v>2</v>
      </c>
      <c r="C3182" s="4"/>
    </row>
    <row r="3183" spans="1:3" ht="24" customHeight="1">
      <c r="A3183" s="4" t="str">
        <f ca="1">IFERROR(__xludf.DUMMYFUNCTION("""COMPUTED_VALUE"""),"अस्याः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॥नैषधीयचरितम्७.८८ ॥")</f>
        <v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॥नैषधीयचरितम्७.८८ ॥</v>
      </c>
      <c r="B3183" s="4" t="s">
        <v>5</v>
      </c>
      <c r="C3183" s="4"/>
    </row>
    <row r="3184" spans="1:3" ht="24" customHeight="1">
      <c r="A3184" s="4" t="str">
        <f ca="1">IFERROR(__xludf.DUMMYFUNCTION("""COMPUTED_VALUE"""),"चक्रेण विश्Vअं युधि मत्स्यकेतुः पितुर्जितं वीक्ष्य सुदर्शनेन । जगज्जिगीषत्यमुना नितम्बमयेन किं दुर्लभदर्शनेन ॥नैषधीयचरितम्७.८९ ॥")</f>
        <v>चक्रेण विश्Vअं युधि मत्स्यकेतुः पितुर्जितं वीक्ष्य सुदर्शनेन । जगज्जिगीषत्यमुना नितम्बमयेन किं दुर्लभदर्शनेन ॥नैषधीयचरितम्७.८९ ॥</v>
      </c>
      <c r="B3184" s="4" t="s">
        <v>1</v>
      </c>
      <c r="C3184" s="4"/>
    </row>
    <row r="3185" spans="1:3" ht="24" customHeight="1">
      <c r="A3185" s="4" t="str">
        <f ca="1">IFERROR(__xludf.DUMMYFUNCTION("""COMPUTED_VALUE"""),"रोमावलीदण्डनितम्बचकेर्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॥नैषधीयचरितम्७.९ ॥")</f>
        <v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॥नैषधीयचरितम्७.९ ॥</v>
      </c>
      <c r="B3185" s="4" t="s">
        <v>0</v>
      </c>
      <c r="C3185" s="4"/>
    </row>
    <row r="3186" spans="1:3" ht="24" customHeight="1">
      <c r="A3186" s="4" t="str">
        <f ca="1">IFERROR(__xludf.DUMMYFUNCTION("""COMPUTED_VALUE"""),"अङ्गेन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॥नैषधीयचरितम्७.९१ ॥")</f>
        <v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॥नैषधीयचरितम्७.९१ ॥</v>
      </c>
      <c r="B3186" s="4" t="s">
        <v>1</v>
      </c>
      <c r="C3186" s="4"/>
    </row>
    <row r="3187" spans="1:3" ht="24" customHeight="1">
      <c r="A3187" s="4" t="str">
        <f ca="1">IFERROR(__xludf.DUMMYFUNCTION("""COMPUTED_VALUE"""),"भ्रूश्चित्रलेखा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॥नैषधीयचरितम्७.९२ ॥")</f>
        <v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॥नैषधीयचरितम्७.९२ ॥</v>
      </c>
      <c r="B3187" s="4" t="s">
        <v>1</v>
      </c>
      <c r="C3187" s="4"/>
    </row>
    <row r="3188" spans="1:3" ht="24" customHeight="1">
      <c r="A3188" s="4" t="str">
        <f ca="1">IFERROR(__xludf.DUMMYFUNCTION("""COMPUTED_VALUE"""),"रम्भापि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॥नैषधीयचरितम्७.९३ ॥")</f>
        <v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॥नैषधीयचरितम्७.९३ ॥</v>
      </c>
      <c r="B3188" s="4" t="s">
        <v>7</v>
      </c>
      <c r="C3188" s="4"/>
    </row>
    <row r="3189" spans="1:3" ht="24" customHeight="1">
      <c r="A3189" s="4" t="str">
        <f ca="1">IFERROR(__xludf.DUMMYFUNCTION("""COMPUTED_VALUE"""),"विधाय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॥नैषधीयचरितम्७.९४ ॥")</f>
        <v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॥नैषधीयचरितम्७.९४ ॥</v>
      </c>
      <c r="B3189" s="4" t="s">
        <v>0</v>
      </c>
      <c r="C3189" s="4"/>
    </row>
    <row r="3190" spans="1:3" ht="24" customHeight="1">
      <c r="A3190" s="4" t="str">
        <f ca="1">IFERROR(__xludf.DUMMYFUNCTION("""COMPUTED_VALUE"""),"ऊरुप्रकाण्डद्वितयेन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॥नैषधीयचरितम्७.९५ ॥")</f>
        <v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॥नैषधीयचरितम्७.९५ ॥</v>
      </c>
      <c r="B3190" s="4" t="s">
        <v>18</v>
      </c>
      <c r="C3190" s="4"/>
    </row>
    <row r="3191" spans="1:3" ht="24" customHeight="1">
      <c r="A3191" s="4" t="str">
        <f ca="1">IFERROR(__xludf.DUMMYFUNCTION("""COMPUTED_VALUE"""),"अस्यां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॥नैषधीयचरितम्७.९६ ॥")</f>
        <v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॥नैषधीयचरितम्७.९६ ॥</v>
      </c>
      <c r="B3191" s="4" t="s">
        <v>5</v>
      </c>
      <c r="C3191" s="4"/>
    </row>
    <row r="3192" spans="1:3" ht="24" customHeight="1">
      <c r="A3192" s="4" t="str">
        <f ca="1">IFERROR(__xludf.DUMMYFUNCTION("""COMPUTED_VALUE"""),"क्रमोद्गता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॥नैषधीयचरितम्७.९७ ॥")</f>
        <v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॥नैषधीयचरितम्७.९७ ॥</v>
      </c>
      <c r="B3192" s="4" t="s">
        <v>7</v>
      </c>
      <c r="C3192" s="4"/>
    </row>
    <row r="3193" spans="1:3" ht="24" customHeight="1">
      <c r="A3193" s="4" t="str">
        <f ca="1">IFERROR(__xludf.DUMMYFUNCTION("""COMPUTED_VALUE"""),"अरुन्धतीकामपुरंध्रिलक्ष्मीजम्भद्विषद्दारनवाम्बिकानाम्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॥नैषधीयचरितम्७.९८ ॥")</f>
        <v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॥नैषधीयचरितम्७.९८ ॥</v>
      </c>
      <c r="B3193" s="4" t="s">
        <v>20</v>
      </c>
      <c r="C3193" s="4"/>
    </row>
    <row r="3194" spans="1:3" ht="24" customHeight="1">
      <c r="A3194" s="4" t="str">
        <f ca="1">IFERROR(__xludf.DUMMYFUNCTION("""COMPUTED_VALUE"""),"अस्याः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॥नैषधीयचरितम्७.९९ ॥")</f>
        <v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॥नैषधीयचरितम्७.९९ ॥</v>
      </c>
      <c r="B3194" s="4" t="s">
        <v>20</v>
      </c>
      <c r="C3194" s="4"/>
    </row>
    <row r="3195" spans="1:3" ht="24" customHeight="1">
      <c r="A3195" s="4" t="str">
        <f ca="1">IFERROR(__xludf.DUMMYFUNCTION("""COMPUTED_VALUE"""),"जगद्वधूमूर्धसु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॥नैषधीयचरितम्७.१ ॥")</f>
        <v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॥नैषधीयचरितम्७.१ ॥</v>
      </c>
      <c r="B3195" s="4" t="s">
        <v>2</v>
      </c>
      <c r="C3195" s="4"/>
    </row>
    <row r="3196" spans="1:3" ht="24" customHeight="1">
      <c r="A3196" s="4" t="str">
        <f ca="1">IFERROR(__xludf.DUMMYFUNCTION("""COMPUTED_VALUE"""),"रुषारुणा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॥नैषधीयचरितम्७.१०१ ॥")</f>
        <v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॥नैषधीयचरितम्७.१०१ ॥</v>
      </c>
      <c r="B3196" s="4" t="s">
        <v>2</v>
      </c>
      <c r="C3196" s="4"/>
    </row>
    <row r="3197" spans="1:3" ht="24" customHeight="1">
      <c r="A3197" s="4" t="str">
        <f ca="1">IFERROR(__xludf.DUMMYFUNCTION("""COMPUTED_VALUE"""),"यानेन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॥नैषधीयचरितम्७.१०२ ॥")</f>
        <v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॥नैषधीयचरितम्७.१०२ ॥</v>
      </c>
      <c r="B3197" s="4" t="s">
        <v>25</v>
      </c>
      <c r="C3197" s="4"/>
    </row>
    <row r="3198" spans="1:3" ht="24" customHeight="1">
      <c r="A3198" s="4" t="str">
        <f ca="1">IFERROR(__xludf.DUMMYFUNCTION("""COMPUTED_VALUE"""),"कर्णाक्षिदन्तच्छदबाहुपाणिपादादिनः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॥नैषधीयचरितम्७.१०३ ॥")</f>
        <v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॥नैषधीयचरितम्७.१०३ ॥</v>
      </c>
      <c r="B3198" s="4" t="s">
        <v>5</v>
      </c>
      <c r="C3198" s="4"/>
    </row>
    <row r="3199" spans="1:3" ht="24" customHeight="1">
      <c r="A3199" s="4" t="str">
        <f ca="1">IFERROR(__xludf.DUMMYFUNCTION("""COMPUTED_VALUE"""),"तुषारनिःशेषितमब्जसर्गं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॥नैषधीयचरितम्७.१०४ ॥")</f>
        <v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॥नैषधीयचरितम्७.१०४ ॥</v>
      </c>
      <c r="B3199" s="4" t="s">
        <v>13</v>
      </c>
      <c r="C3199" s="4"/>
    </row>
    <row r="3200" spans="1:3" ht="24" customHeight="1">
      <c r="A3200" s="4" t="str">
        <f ca="1">IFERROR(__xludf.DUMMYFUNCTION("""COMPUTED_VALUE"""),"एष्यन्ति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॥नैषधीयचरितम्७.१०५ ॥")</f>
        <v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॥नैषधीयचरितम्७.१०५ ॥</v>
      </c>
      <c r="B3200" s="4" t="s">
        <v>14</v>
      </c>
      <c r="C3200" s="4"/>
    </row>
    <row r="3201" spans="1:3" ht="24" customHeight="1">
      <c r="A3201" s="4" t="str">
        <f ca="1">IFERROR(__xludf.DUMMYFUNCTION("""COMPUTED_VALUE"""),"प्रियानखीभूतवतो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॥नैषधीयचरितम्७.१०६ ॥")</f>
        <v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॥नैषधीयचरितम्७.१०६ ॥</v>
      </c>
      <c r="B3201" s="4" t="s">
        <v>5</v>
      </c>
      <c r="C3201" s="4"/>
    </row>
    <row r="3202" spans="1:3" ht="24" customHeight="1">
      <c r="A3202" s="4" t="str">
        <f ca="1">IFERROR(__xludf.DUMMYFUNCTION("""COMPUTED_VALUE"""),"यशः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॥नैषधीयचरितम्७.१०७ ॥")</f>
        <v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॥नैषधीयचरितम्७.१०७ ॥</v>
      </c>
      <c r="B3202" s="4" t="s">
        <v>5</v>
      </c>
      <c r="C3202" s="4"/>
    </row>
    <row r="3203" spans="1:3" ht="24" customHeight="1">
      <c r="A3203" s="4" t="str">
        <f ca="1">IFERROR(__xludf.DUMMYFUNCTION("""COMPUTED_VALUE"""),"सृष्टातिविश्वा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॥नैषधीयचरितम्७.१०८ ॥")</f>
        <v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॥नैषधीयचरितम्७.१०८ ॥</v>
      </c>
      <c r="B3203" s="4" t="s">
        <v>4</v>
      </c>
      <c r="C3203" s="4"/>
    </row>
    <row r="3204" spans="1:3" ht="24" customHeight="1">
      <c r="A3204" s="4" t="str">
        <f ca="1">IFERROR(__xludf.DUMMYFUNCTION("""COMPUTED_VALUE"""),"इति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॥नैषधीयचरितम्७.१०९ ॥")</f>
        <v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॥नैषधीयचरितम्७.१०९ ॥</v>
      </c>
      <c r="B3204" s="4" t="s">
        <v>9</v>
      </c>
      <c r="C3204" s="4"/>
    </row>
    <row r="3205" spans="1:3" ht="24" customHeight="1">
      <c r="A3205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॥नैषधीयचरितम्७.११ ॥")</f>
        <v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॥नैषधीयचरितम्७.११ ॥</v>
      </c>
      <c r="B3205" s="4" t="s">
        <v>12</v>
      </c>
      <c r="C3205" s="4"/>
    </row>
    <row r="3206" spans="1:3" ht="24" customHeight="1">
      <c r="A3206" s="4" t="str">
        <f ca="1">IFERROR(__xludf.DUMMYFUNCTION("""COMPUTED_VALUE"""),"अथाद्भुतेनास्तनिमेषमुद्रमुन्निद्रलोमानममुं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॥नैषधीयचरितम्८.१ ॥")</f>
        <v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॥नैषधीयचरितम्८.१ ॥</v>
      </c>
      <c r="B3206" s="4" t="s">
        <v>1</v>
      </c>
      <c r="C3206" s="4"/>
    </row>
    <row r="3207" spans="1:3" ht="24" customHeight="1">
      <c r="A3207" s="4" t="str">
        <f ca="1">IFERROR(__xludf.DUMMYFUNCTION("""COMPUTED_VALUE"""),"कियच्चिरं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॥नैषधीयचरितम्८.२ ॥")</f>
        <v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॥नैषधीयचरितम्८.२ ॥</v>
      </c>
      <c r="B3207" s="4" t="s">
        <v>6</v>
      </c>
      <c r="C3207" s="4"/>
    </row>
    <row r="3208" spans="1:3" ht="24" customHeight="1">
      <c r="A3208" s="4" t="str">
        <f ca="1">IFERROR(__xludf.DUMMYFUNCTION("""COMPUTED_VALUE"""),"अपाङ्गमप्याप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॥नैषधीयचरितम्८.३ ॥")</f>
        <v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॥नैषधीयचरितम्८.३ ॥</v>
      </c>
      <c r="B3208" s="4" t="s">
        <v>3</v>
      </c>
      <c r="C3208" s="4"/>
    </row>
    <row r="3209" spans="1:3" ht="24" customHeight="1">
      <c r="A3209" s="4" t="str">
        <f ca="1">IFERROR(__xludf.DUMMYFUNCTION("""COMPUTED_VALUE"""),"यदक्रमं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॥नैषधीयचरितम्८.४ ॥")</f>
        <v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॥नैषधीयचरितम्८.४ ॥</v>
      </c>
      <c r="B3209" s="4" t="s">
        <v>6</v>
      </c>
      <c r="C3209" s="4"/>
    </row>
    <row r="3210" spans="1:3" ht="24" customHeight="1">
      <c r="A3210" s="4" t="str">
        <f ca="1">IFERROR(__xludf.DUMMYFUNCTION("""COMPUTED_VALUE"""),"तस्मिन्नलोऽसाविति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॥नैषधीयचरितम्८.५ ॥")</f>
        <v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॥नैषधीयचरितम्८.५ ॥</v>
      </c>
      <c r="B3210" s="4" t="s">
        <v>2</v>
      </c>
      <c r="C3210" s="4"/>
    </row>
    <row r="3211" spans="1:3" ht="24" customHeight="1">
      <c r="A3211" s="4" t="str">
        <f ca="1">IFERROR(__xludf.DUMMYFUNCTION("""COMPUTED_VALUE"""),"कयाचिदालोक्य नलं ललज्जे कयापि तद्भासि हृदा ममज्जे । तं कापि मेने स्मरमेव कन्या भेजे मनोभूवशभूयमन्या ॥नैषधीयचरितम्८.६ ॥")</f>
        <v>कयाचिदालोक्य नलं ललज्जे कयापि तद्भासि हृदा ममज्जे । तं कापि मेने स्मरमेव कन्या भेजे मनोभूवशभूयमन्या ॥नैषधीयचरितम्८.६ ॥</v>
      </c>
      <c r="B3211" s="4" t="s">
        <v>5</v>
      </c>
      <c r="C3211" s="4"/>
    </row>
    <row r="3212" spans="1:3" ht="24" customHeight="1">
      <c r="A3212" s="4" t="str">
        <f ca="1">IFERROR(__xludf.DUMMYFUNCTION("""COMPUTED_VALUE"""),"कस्त्वं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॥नैषधीयचरितम्८.७ ॥")</f>
        <v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॥नैषधीयचरितम्८.७ ॥</v>
      </c>
      <c r="B3212" s="4" t="s">
        <v>5</v>
      </c>
      <c r="C3212" s="4"/>
    </row>
    <row r="3213" spans="1:3" ht="24" customHeight="1">
      <c r="A3213" s="4" t="str">
        <f ca="1">IFERROR(__xludf.DUMMYFUNCTION("""COMPUTED_VALUE"""),"स्वाच्छन्द्यमानन्दपरम्पराणां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॥नैषधीयचरितम्८.८ ॥")</f>
        <v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॥नैषधीयचरितम्८.८ ॥</v>
      </c>
      <c r="B3213" s="4" t="s">
        <v>11</v>
      </c>
      <c r="C3213" s="4"/>
    </row>
    <row r="3214" spans="1:3" ht="24" customHeight="1">
      <c r="A3214" s="4" t="str">
        <f ca="1">IFERROR(__xludf.DUMMYFUNCTION("""COMPUTED_VALUE"""),"तत्रैव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॥नैषधीयचरितम्८.९ ॥")</f>
        <v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॥नैषधीयचरितम्८.९ ॥</v>
      </c>
      <c r="B3214" s="4" t="s">
        <v>13</v>
      </c>
      <c r="C3214" s="4"/>
    </row>
    <row r="3215" spans="1:3" ht="24" customHeight="1">
      <c r="A3215" s="4" t="str">
        <f ca="1">IFERROR(__xludf.DUMMYFUNCTION("""COMPUTED_VALUE"""),"दृशापि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॥नैषधीयचरितम्८.१ ॥")</f>
        <v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॥नैषधीयचरितम्८.१ ॥</v>
      </c>
      <c r="B3215" s="4" t="s">
        <v>23</v>
      </c>
      <c r="C3215" s="4"/>
    </row>
    <row r="3216" spans="1:3" ht="24" customHeight="1">
      <c r="A3216" s="4" t="str">
        <f ca="1">IFERROR(__xludf.DUMMYFUNCTION("""COMPUTED_VALUE"""),"हित्वैकमस्यापघनं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॥नैषधीयचरितम्८.११ ॥")</f>
        <v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॥नैषधीयचरितम्८.११ ॥</v>
      </c>
      <c r="B3216" s="4" t="s">
        <v>2</v>
      </c>
      <c r="C3216" s="4"/>
    </row>
    <row r="3217" spans="1:3" ht="24" customHeight="1">
      <c r="A3217" s="4" t="str">
        <f ca="1">IFERROR(__xludf.DUMMYFUNCTION("""COMPUTED_VALUE"""),"निरीक्षितं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॥नैषधीयचरितम्८.१२ ॥")</f>
        <v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॥नैषधीयचरितम्८.१२ ॥</v>
      </c>
      <c r="B3217" s="4" t="s">
        <v>0</v>
      </c>
      <c r="C3217" s="4"/>
    </row>
    <row r="3218" spans="1:3" ht="24" customHeight="1">
      <c r="A3218" s="4" t="str">
        <f ca="1">IFERROR(__xludf.DUMMYFUNCTION("""COMPUTED_VALUE"""),"सूक्ष्मे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॥नैषधीयचरितम्८.१३ ॥")</f>
        <v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॥नैषधीयचरितम्८.१३ ॥</v>
      </c>
      <c r="B3218" s="4" t="s">
        <v>5</v>
      </c>
      <c r="C3218" s="4"/>
    </row>
    <row r="3219" spans="1:3" ht="24" customHeight="1">
      <c r="A3219" s="4" t="str">
        <f ca="1">IFERROR(__xludf.DUMMYFUNCTION("""COMPUTED_VALUE"""),"भूलोकभर्तुर्मुखपाणिपादपद्मैः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॥नैषधीयचरितम्८.१४ ॥")</f>
        <v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॥नैषधीयचरितम्८.१४ ॥</v>
      </c>
      <c r="B3219" s="4" t="s">
        <v>20</v>
      </c>
      <c r="C3219" s="4"/>
    </row>
    <row r="3220" spans="1:3" ht="24" customHeight="1">
      <c r="A3220" s="4" t="str">
        <f ca="1">IFERROR(__xludf.DUMMYFUNCTION("""COMPUTED_VALUE"""),"तत्कालमानन्दमयीभवन्ती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॥नैषधीयचरितम्८.१५ ॥")</f>
        <v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॥नैषधीयचरितम्८.१५ ॥</v>
      </c>
      <c r="B3220" s="4" t="s">
        <v>23</v>
      </c>
      <c r="C3220" s="4"/>
    </row>
    <row r="3221" spans="1:3" ht="24" customHeight="1">
      <c r="A3221" s="4" t="str">
        <f ca="1">IFERROR(__xludf.DUMMYFUNCTION("""COMPUTED_VALUE"""),"दूते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॥नैषधीयचरितम्८.१६ ॥")</f>
        <v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॥नैषधीयचरितम्८.१६ ॥</v>
      </c>
      <c r="B3221" s="4" t="s">
        <v>0</v>
      </c>
      <c r="C3221" s="4"/>
    </row>
    <row r="3222" spans="1:3" ht="24" customHeight="1">
      <c r="A3222" s="4" t="str">
        <f ca="1">IFERROR(__xludf.DUMMYFUNCTION("""COMPUTED_VALUE"""),"पुण्ये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॥नैषधीयचरितम्८.१७ ॥")</f>
        <v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॥नैषधीयचरितम्८.१७ ॥</v>
      </c>
      <c r="B3222" s="4" t="s">
        <v>20</v>
      </c>
      <c r="C3222" s="4"/>
    </row>
    <row r="3223" spans="1:3" ht="24" customHeight="1">
      <c r="A3223" s="4" t="str">
        <f ca="1">IFERROR(__xludf.DUMMYFUNCTION("""COMPUTED_VALUE"""),"सालीकदृष्टे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॥नैषधीयचरितम्८.१८ ॥")</f>
        <v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॥नैषधीयचरितम्८.१८ ॥</v>
      </c>
      <c r="B3223" s="4" t="s">
        <v>19</v>
      </c>
      <c r="C3223" s="4"/>
    </row>
    <row r="3224" spans="1:3" ht="24" customHeight="1">
      <c r="A3224" s="4" t="str">
        <f ca="1">IFERROR(__xludf.DUMMYFUNCTION("""COMPUTED_VALUE"""),"व्यर्थीभवद्भावपिधानयत्ना स्वरेण साथ श्लथगद्गदेन । सखीचये साध्वसबद्धवाचि स्वयं तमूचे नमदाननेन्दुः ॥नैषधीयचरितम्८.१९ ॥")</f>
        <v>व्यर्थीभवद्भावपिधानयत्ना स्वरेण साथ श्लथगद्गदेन । सखीचये साध्वसबद्धवाचि स्वयं तमूचे नमदाननेन्दुः ॥नैषधीयचरितम्८.१९ ॥</v>
      </c>
      <c r="B3224" s="4" t="s">
        <v>17</v>
      </c>
      <c r="C3224" s="4"/>
    </row>
    <row r="3225" spans="1:3" ht="24" customHeight="1">
      <c r="A3225" s="4" t="str">
        <f ca="1">IFERROR(__xludf.DUMMYFUNCTION("""COMPUTED_VALUE"""),"नत्वा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॥नैषधीयचरितम्८.२ ॥")</f>
        <v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॥नैषधीयचरितम्८.२ ॥</v>
      </c>
      <c r="B3225" s="4" t="s">
        <v>2</v>
      </c>
      <c r="C3225" s="4"/>
    </row>
    <row r="3226" spans="1:3" ht="24" customHeight="1">
      <c r="A3226" s="4" t="str">
        <f ca="1">IFERROR(__xludf.DUMMYFUNCTION("""COMPUTED_VALUE"""),"स्वात्मापि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॥नैषधीयचरितम्८.२१ ॥")</f>
        <v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॥नैषधीयचरितम्८.२१ ॥</v>
      </c>
      <c r="B3226" s="4" t="s">
        <v>6</v>
      </c>
      <c r="C3226" s="4"/>
    </row>
    <row r="3227" spans="1:3" ht="24" customHeight="1">
      <c r="A3227" s="4" t="str">
        <f ca="1">IFERROR(__xludf.DUMMYFUNCTION("""COMPUTED_VALUE"""),"पदोपहोरेऽनुपनम्रतापि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॥नैषधीयचरितम्८.२२ ॥")</f>
        <v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॥नैषधीयचरितम्८.२२ ॥</v>
      </c>
      <c r="B3227" s="4" t="s">
        <v>4</v>
      </c>
      <c r="C3227" s="4"/>
    </row>
    <row r="3228" spans="1:3" ht="24" customHeight="1">
      <c r="A3228" s="4" t="str">
        <f ca="1">IFERROR(__xludf.DUMMYFUNCTION("""COMPUTED_VALUE"""),"पुरा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॥नैषधीयचरितम्८.२३ ॥")</f>
        <v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॥नैषधीयचरितम्८.२३ ॥</v>
      </c>
      <c r="B3228" s="4" t="s">
        <v>9</v>
      </c>
      <c r="C3228" s="4"/>
    </row>
    <row r="3229" spans="1:3" ht="24" customHeight="1">
      <c r="A3229" s="4" t="str">
        <f ca="1">IFERROR(__xludf.DUMMYFUNCTION("""COMPUTED_VALUE"""),"निवेद्यतां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॥नैषधीयचरितम्८.२४ ॥")</f>
        <v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॥नैषधीयचरितम्८.२४ ॥</v>
      </c>
      <c r="B3229" s="4" t="s">
        <v>2</v>
      </c>
      <c r="C3229" s="4"/>
    </row>
    <row r="3230" spans="1:3" ht="24" customHeight="1">
      <c r="A3230" s="4" t="str">
        <f ca="1">IFERROR(__xludf.DUMMYFUNCTION("""COMPUTED_VALUE"""),"अनायि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॥नैषधीयचरितम्८.२५ ॥")</f>
        <v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॥नैषधीयचरितम्८.२५ ॥</v>
      </c>
      <c r="B3230" s="4" t="s">
        <v>25</v>
      </c>
      <c r="C3230" s="4"/>
    </row>
    <row r="3231" spans="1:3" ht="24" customHeight="1">
      <c r="A3231" s="4" t="str">
        <f ca="1">IFERROR(__xludf.DUMMYFUNCTION("""COMPUTED_VALUE"""),"तीर्णः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॥नैषधीयचरितम्८.२६ ॥")</f>
        <v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॥नैषधीयचरितम्८.२६ ॥</v>
      </c>
      <c r="B3231" s="4" t="s">
        <v>12</v>
      </c>
      <c r="C3231" s="4"/>
    </row>
    <row r="3232" spans="1:3" ht="24" customHeight="1">
      <c r="A3232" s="4" t="str">
        <f ca="1">IFERROR(__xludf.DUMMYFUNCTION("""COMPUTED_VALUE"""),"तव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॥नैषधीयचरितम्८.२७ ॥")</f>
        <v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॥नैषधीयचरितम्८.२७ ॥</v>
      </c>
      <c r="B3232" s="4" t="s">
        <v>4</v>
      </c>
      <c r="C3232" s="4"/>
    </row>
    <row r="3233" spans="1:3" ht="24" customHeight="1">
      <c r="A3233" s="4" t="str">
        <f ca="1">IFERROR(__xludf.DUMMYFUNCTION("""COMPUTED_VALUE"""),"यथा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॥नैषधीयचरितम्८.२८ ॥")</f>
        <v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॥नैषधीयचरितम्८.२८ ॥</v>
      </c>
      <c r="B3233" s="4" t="s">
        <v>6</v>
      </c>
      <c r="C3233" s="4"/>
    </row>
    <row r="3234" spans="1:3" ht="24" customHeight="1">
      <c r="A3234" s="4" t="str">
        <f ca="1">IFERROR(__xludf.DUMMYFUNCTION("""COMPUTED_VALUE"""),"न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॥नैषधीयचरितम्८.२९ ॥")</f>
        <v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॥नैषधीयचरितम्८.२९ ॥</v>
      </c>
      <c r="B3234" s="4" t="s">
        <v>13</v>
      </c>
      <c r="C3234" s="4"/>
    </row>
    <row r="3235" spans="1:3" ht="24" customHeight="1">
      <c r="A3235" s="4" t="str">
        <f ca="1">IFERROR(__xludf.DUMMYFUNCTION("""COMPUTED_VALUE"""),"आलोकतृप्तीकृतलोक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॥नैषधीयचरितम्८.३ ॥")</f>
        <v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॥नैषधीयचरितम्८.३ ॥</v>
      </c>
      <c r="B3235" s="4" t="s">
        <v>5</v>
      </c>
      <c r="C3235" s="4"/>
    </row>
    <row r="3236" spans="1:3" ht="24" customHeight="1">
      <c r="A3236" s="4" t="str">
        <f ca="1">IFERROR(__xludf.DUMMYFUNCTION("""COMPUTED_VALUE"""),"भूयोऽपि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॥नैषधीयचरितम्८.३१ ॥")</f>
        <v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॥नैषधीयचरितम्८.३१ ॥</v>
      </c>
      <c r="B3236" s="4" t="s">
        <v>18</v>
      </c>
      <c r="C3236" s="4"/>
    </row>
    <row r="3237" spans="1:3" ht="24" customHeight="1">
      <c r="A3237" s="4" t="str">
        <f ca="1">IFERROR(__xludf.DUMMYFUNCTION("""COMPUTED_VALUE"""),"वाग्जन्मवैफल्यमसह्यशल्यं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॥नैषधीयचरितम्८.३२ ॥")</f>
        <v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॥नैषधीयचरितम्८.३२ ॥</v>
      </c>
      <c r="B3237" s="4" t="s">
        <v>4</v>
      </c>
      <c r="C3237" s="4"/>
    </row>
    <row r="3238" spans="1:3" ht="24" customHeight="1">
      <c r="A3238" s="4" t="str">
        <f ca="1">IFERROR(__xludf.DUMMYFUNCTION("""COMPUTED_VALUE"""),"कंदर्प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॥नैषधीयचरितम्८.३३ ॥")</f>
        <v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॥नैषधीयचरितम्८.३३ ॥</v>
      </c>
      <c r="B3238" s="4" t="s">
        <v>7</v>
      </c>
      <c r="C3238" s="4"/>
    </row>
    <row r="3239" spans="1:3" ht="24" customHeight="1">
      <c r="A3239" s="4" t="str">
        <f ca="1">IFERROR(__xludf.DUMMYFUNCTION("""COMPUTED_VALUE"""),"शोभायशोभिर्जितशैवशैलं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॥नैषधीयचरितम्८.३४ ॥")</f>
        <v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॥नैषधीयचरितम्८.३४ ॥</v>
      </c>
      <c r="B3239" s="4" t="s">
        <v>9</v>
      </c>
      <c r="C3239" s="4"/>
    </row>
    <row r="3240" spans="1:3" ht="24" customHeight="1">
      <c r="A3240" s="4" t="str">
        <f ca="1">IFERROR(__xludf.DUMMYFUNCTION("""COMPUTED_VALUE"""),"अवैमि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॥नैषधीयचरितम्८.३५ ॥")</f>
        <v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॥नैषधीयचरितम्८.३५ ॥</v>
      </c>
      <c r="B3240" s="4" t="s">
        <v>2</v>
      </c>
      <c r="C3240" s="4"/>
    </row>
    <row r="3241" spans="1:3" ht="24" customHeight="1">
      <c r="A3241" s="4" t="str">
        <f ca="1">IFERROR(__xludf.DUMMYFUNCTION("""COMPUTED_VALUE"""),"भवत्पदाङ्गुष्ठमपि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॥नैषधीयचरितम्८.३६ ॥")</f>
        <v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॥नैषधीयचरितम्८.३६ ॥</v>
      </c>
      <c r="B3241" s="4" t="s">
        <v>0</v>
      </c>
      <c r="C3241" s="4"/>
    </row>
    <row r="3242" spans="1:3" ht="24" customHeight="1">
      <c r="A3242" s="4" t="str">
        <f ca="1">IFERROR(__xludf.DUMMYFUNCTION("""COMPUTED_VALUE"""),"राजा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॥नैषधीयचरितम्८.३७ ॥")</f>
        <v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॥नैषधीयचरितम्८.३७ ॥</v>
      </c>
      <c r="B3242" s="4" t="s">
        <v>5</v>
      </c>
      <c r="C3242" s="4"/>
    </row>
    <row r="3243" spans="1:3" ht="24" customHeight="1">
      <c r="A3243" s="4" t="str">
        <f ca="1">IFERROR(__xludf.DUMMYFUNCTION("""COMPUTED_VALUE"""),"कृत्वा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॥नैषधीयचरितम्८.३८ ॥")</f>
        <v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॥नैषधीयचरितम्८.३८ ॥</v>
      </c>
      <c r="B3243" s="4" t="s">
        <v>0</v>
      </c>
      <c r="C3243" s="4"/>
    </row>
    <row r="3244" spans="1:3" ht="24" customHeight="1">
      <c r="A3244" s="4" t="str">
        <f ca="1">IFERROR(__xludf.DUMMYFUNCTION("""COMPUTED_VALUE"""),"मुग्धः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॥नैषधीयचरितम्८.३९ ॥")</f>
        <v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॥नैषधीयचरितम्८.३९ ॥</v>
      </c>
      <c r="B3244" s="4" t="s">
        <v>6</v>
      </c>
      <c r="C3244" s="4"/>
    </row>
    <row r="3245" spans="1:3" ht="24" customHeight="1">
      <c r="A3245" s="4" t="str">
        <f ca="1">IFERROR(__xludf.DUMMYFUNCTION("""COMPUTED_VALUE"""),"मृगस्य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॥नैषधीयचरितम्८.४ ॥")</f>
        <v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॥नैषधीयचरितम्८.४ ॥</v>
      </c>
      <c r="B3245" s="4" t="s">
        <v>13</v>
      </c>
      <c r="C3245" s="4"/>
    </row>
    <row r="3246" spans="1:3" ht="24" customHeight="1">
      <c r="A3246" s="4" t="str">
        <f ca="1">IFERROR(__xludf.DUMMYFUNCTION("""COMPUTED_VALUE"""),"आस्तामनङ्गीकरणाद्भवेन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॥नैषधीयचरितम्८.४१ ॥")</f>
        <v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॥नैषधीयचरितम्८.४१ ॥</v>
      </c>
      <c r="B3246" s="4" t="s">
        <v>17</v>
      </c>
      <c r="C3246" s="4"/>
    </row>
    <row r="3247" spans="1:3" ht="24" customHeight="1">
      <c r="A3247" s="4" t="str">
        <f ca="1">IFERROR(__xludf.DUMMYFUNCTION("""COMPUTED_VALUE"""),"त्वया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॥नैषधीयचरितम्८.४२ ॥")</f>
        <v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॥नैषधीयचरितम्८.४२ ॥</v>
      </c>
      <c r="B3247" s="4" t="s">
        <v>7</v>
      </c>
      <c r="C3247" s="4"/>
    </row>
    <row r="3248" spans="1:3" ht="24" customHeight="1">
      <c r="A3248" s="4" t="str">
        <f ca="1">IFERROR(__xludf.DUMMYFUNCTION("""COMPUTED_VALUE"""),"आदेहदाहं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॥नैषधीयचरितम्८.४३ ॥")</f>
        <v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॥नैषधीयचरितम्८.४३ ॥</v>
      </c>
      <c r="B3248" s="4" t="s">
        <v>9</v>
      </c>
      <c r="C3248" s="4"/>
    </row>
    <row r="3249" spans="1:3" ht="24" customHeight="1">
      <c r="A3249" s="4" t="str">
        <f ca="1">IFERROR(__xludf.DUMMYFUNCTION("""COMPUTED_VALUE"""),"मही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॥नैषधीयचरितम्८.४४ ॥")</f>
        <v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॥नैषधीयचरितम्८.४४ ॥</v>
      </c>
      <c r="B3249" s="4" t="s">
        <v>19</v>
      </c>
      <c r="C3249" s="4"/>
    </row>
    <row r="3250" spans="1:3" ht="24" customHeight="1">
      <c r="A3250" s="4" t="str">
        <f ca="1">IFERROR(__xludf.DUMMYFUNCTION("""COMPUTED_VALUE"""),"सेयं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॥नैषधीयचरितम्८.४५ ॥")</f>
        <v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॥नैषधीयचरितम्८.४५ ॥</v>
      </c>
      <c r="B3250" s="4" t="s">
        <v>0</v>
      </c>
      <c r="C3250" s="4"/>
    </row>
    <row r="3251" spans="1:3" ht="24" customHeight="1">
      <c r="A3251" s="4" t="str">
        <f ca="1">IFERROR(__xludf.DUMMYFUNCTION("""COMPUTED_VALUE"""),"संसारसिन्धावनुबिम्बमत्र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॥नैषधीयचरितम्८.४६ ॥")</f>
        <v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॥नैषधीयचरितम्८.४६ ॥</v>
      </c>
      <c r="B3251" s="4" t="s">
        <v>23</v>
      </c>
      <c r="C3251" s="4"/>
    </row>
    <row r="3252" spans="1:3" ht="24" customHeight="1">
      <c r="A3252" s="4" t="str">
        <f ca="1">IFERROR(__xludf.DUMMYFUNCTION("""COMPUTED_VALUE"""),"इयत्कृतं केन महीजगत्यामहो महीयः सुकृतं जनेन । पादौ यमुद्दिश्य तवापि पद्यारजःसु पद्मस्रजमारभेते ॥नैषधीयचरितम्८.४७ ॥")</f>
        <v>इयत्कृतं केन महीजगत्यामहो महीयः सुकृतं जनेन । पादौ यमुद्दिश्य तवापि पद्यारजःसु पद्मस्रजमारभेते ॥नैषधीयचरितम्८.४७ ॥</v>
      </c>
      <c r="B3252" s="4" t="s">
        <v>2</v>
      </c>
      <c r="C3252" s="4"/>
    </row>
    <row r="3253" spans="1:3" ht="24" customHeight="1">
      <c r="A3253" s="4" t="str">
        <f ca="1">IFERROR(__xludf.DUMMYFUNCTION("""COMPUTED_VALUE"""),"ब्रवीति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॥नैषधीयचरितम्८.४८ ॥")</f>
        <v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॥नैषधीयचरितम्८.४८ ॥</v>
      </c>
      <c r="B3253" s="4" t="s">
        <v>11</v>
      </c>
      <c r="C3253" s="4"/>
    </row>
    <row r="3254" spans="1:3" ht="24" customHeight="1">
      <c r="A3254" s="4" t="str">
        <f ca="1">IFERROR(__xludf.DUMMYFUNCTION("""COMPUTED_VALUE"""),"प्राप्तैव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॥नैषधीयचरितम्८.४९ ॥")</f>
        <v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॥नैषधीयचरितम्८.४९ ॥</v>
      </c>
      <c r="B3254" s="4" t="s">
        <v>16</v>
      </c>
      <c r="C3254" s="4"/>
    </row>
    <row r="3255" spans="1:3" ht="24" customHeight="1">
      <c r="A3255" s="4" t="str">
        <f ca="1">IFERROR(__xludf.DUMMYFUNCTION("""COMPUTED_VALUE"""),"इत्थं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॥नैषधीयचरितम्८.५ ॥")</f>
        <v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॥नैषधीयचरितम्८.५ ॥</v>
      </c>
      <c r="B3255" s="4" t="s">
        <v>8</v>
      </c>
      <c r="C3255" s="4"/>
    </row>
    <row r="3256" spans="1:3" ht="24" customHeight="1">
      <c r="A3256" s="4" t="str">
        <f ca="1">IFERROR(__xludf.DUMMYFUNCTION("""COMPUTED_VALUE"""),"अमुज्जदाकण्ठमंसौ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॥नैषधीयचरितम्८.५१ ॥")</f>
        <v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॥नैषधीयचरितम्८.५१ ॥</v>
      </c>
      <c r="B3256" s="4" t="s">
        <v>5</v>
      </c>
      <c r="C3256" s="4"/>
    </row>
    <row r="3257" spans="1:3" ht="24" customHeight="1">
      <c r="A3257" s="4" t="str">
        <f ca="1">IFERROR(__xludf.DUMMYFUNCTION("""COMPUTED_VALUE"""),"पौरस्त्यशैलं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॥नैषधीयचरितम्८.५२ ॥")</f>
        <v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॥नैषधीयचरितम्८.५२ ॥</v>
      </c>
      <c r="B3257" s="4" t="s">
        <v>17</v>
      </c>
      <c r="C3257" s="4"/>
    </row>
    <row r="3258" spans="1:3" ht="24" customHeight="1">
      <c r="A3258" s="4" t="str">
        <f ca="1">IFERROR(__xludf.DUMMYFUNCTION("""COMPUTED_VALUE"""),"अयोधि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॥नैषधीयचरितम्८.५३ ॥")</f>
        <v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॥नैषधीयचरितम्८.५३ ॥</v>
      </c>
      <c r="B3258" s="4" t="s">
        <v>2</v>
      </c>
      <c r="C3258" s="4"/>
    </row>
    <row r="3259" spans="1:3" ht="24" customHeight="1">
      <c r="A3259" s="4" t="str">
        <f ca="1">IFERROR(__xludf.DUMMYFUNCTION("""COMPUTED_VALUE"""),"अथ स्मराज्ञामवधीर्य धैर्यादूचे स तद्वागुपवीणितोऽपि । विवेकधाराशतधौतमन्तः सतां न कामः कलुषीकरोति ॥नैषधीयचरितम्८.५४ ॥ ")</f>
        <v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॥नैषधीयचरितम्८.५४ ॥ </v>
      </c>
      <c r="B3259" s="4" t="s">
        <v>2</v>
      </c>
      <c r="C3259" s="4"/>
    </row>
    <row r="3260" spans="1:3" ht="24" customHeight="1">
      <c r="A3260" s="4" t="str">
        <f ca="1">IFERROR(__xludf.DUMMYFUNCTION("""COMPUTED_VALUE"""),"हरित्पतीनां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॥नैषधीयचरितम्८.५५ ॥")</f>
        <v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॥नैषधीयचरितम्८.५५ ॥</v>
      </c>
      <c r="B3260" s="4" t="s">
        <v>1</v>
      </c>
      <c r="C3260" s="4"/>
    </row>
    <row r="3261" spans="1:3" ht="24" customHeight="1">
      <c r="A3261" s="4" t="str">
        <f ca="1">IFERROR(__xludf.DUMMYFUNCTION("""COMPUTED_VALUE"""),"विरम्यतां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॥नैषधीयचरितम्८.५६ ॥ ")</f>
        <v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॥नैषधीयचरितम्८.५६ ॥ </v>
      </c>
      <c r="B3261" s="4" t="s">
        <v>0</v>
      </c>
      <c r="C3261" s="4"/>
    </row>
    <row r="3262" spans="1:3" ht="24" customHeight="1">
      <c r="A3262" s="4" t="str">
        <f ca="1">IFERROR(__xludf.DUMMYFUNCTION("""COMPUTED_VALUE"""),"कल्याणि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॥नैषधीयचरितम्८.५७ ॥")</f>
        <v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॥नैषधीयचरितम्८.५७ ॥</v>
      </c>
      <c r="B3262" s="4" t="s">
        <v>13</v>
      </c>
      <c r="C3262" s="4"/>
    </row>
    <row r="3263" spans="1:3" ht="24" customHeight="1">
      <c r="A3263" s="4" t="str">
        <f ca="1">IFERROR(__xludf.DUMMYFUNCTION("""COMPUTED_VALUE"""),"कौमारमारभ्य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॥नैषधीयचरितम्८.५८ ॥")</f>
        <v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॥नैषधीयचरितम्८.५८ ॥</v>
      </c>
      <c r="B3263" s="4" t="s">
        <v>16</v>
      </c>
      <c r="C3263" s="4"/>
    </row>
    <row r="3264" spans="1:3" ht="24" customHeight="1">
      <c r="A3264" s="4" t="str">
        <f ca="1">IFERROR(__xludf.DUMMYFUNCTION("""COMPUTED_VALUE"""),"चरच्चिरं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॥नैषधीयचरितम्८.५९ ॥")</f>
        <v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॥नैषधीयचरितम्८.५९ ॥</v>
      </c>
      <c r="B3264" s="4" t="s">
        <v>2</v>
      </c>
      <c r="C3264" s="4"/>
    </row>
    <row r="3265" spans="1:3" ht="24" customHeight="1">
      <c r="A3265" s="4" t="str">
        <f ca="1">IFERROR(__xludf.DUMMYFUNCTION("""COMPUTED_VALUE"""),"तेषामिदानीं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॥नैषधीयचरितम्८.६ ॥")</f>
        <v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॥नैषधीयचरितम्८.६ ॥</v>
      </c>
      <c r="B3265" s="4" t="s">
        <v>0</v>
      </c>
      <c r="C3265" s="4"/>
    </row>
    <row r="3266" spans="1:3" ht="24" customHeight="1">
      <c r="A3266" s="4" t="str">
        <f ca="1">IFERROR(__xludf.DUMMYFUNCTION("""COMPUTED_VALUE"""),"अनेन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॥नैषधीयचरितम्८.६१ ॥")</f>
        <v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॥नैषधीयचरितम्८.६१ ॥</v>
      </c>
      <c r="B3266" s="4" t="s">
        <v>5</v>
      </c>
      <c r="C3266" s="4"/>
    </row>
    <row r="3267" spans="1:3" ht="24" customHeight="1">
      <c r="A3267" s="4" t="str">
        <f ca="1">IFERROR(__xludf.DUMMYFUNCTION("""COMPUTED_VALUE"""),"प्राचीं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॥नैषधीयचरितम्८.६२ ॥")</f>
        <v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॥नैषधीयचरितम्८.६२ ॥</v>
      </c>
      <c r="B3267" s="4" t="s">
        <v>0</v>
      </c>
      <c r="C3267" s="4"/>
    </row>
    <row r="3268" spans="1:3" ht="24" customHeight="1">
      <c r="A3268" s="4" t="str">
        <f ca="1">IFERROR(__xludf.DUMMYFUNCTION("""COMPUTED_VALUE"""),"त्रिनेत्रमाट्रेण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॥नैषधीयचरितम्८.६३ ॥")</f>
        <v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॥नैषधीयचरितम्८.६३ ॥</v>
      </c>
      <c r="B3268" s="4" t="s">
        <v>10</v>
      </c>
      <c r="C3268" s="4"/>
    </row>
    <row r="3269" spans="1:3" ht="24" customHeight="1">
      <c r="A3269" s="4" t="str">
        <f ca="1">IFERROR(__xludf.DUMMYFUNCTION("""COMPUTED_VALUE"""),"पिकस्य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॥नैषधीयचरितम्८.६४ ॥")</f>
        <v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॥नैषधीयचरितम्८.६४ ॥</v>
      </c>
      <c r="B3269" s="4" t="s">
        <v>9</v>
      </c>
      <c r="C3269" s="4"/>
    </row>
    <row r="3270" spans="1:3" ht="24" customHeight="1">
      <c r="A3270" s="4" t="str">
        <f ca="1">IFERROR(__xludf.DUMMYFUNCTION("""COMPUTED_VALUE"""),"तमोमयीकृत्य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॥नैषधीयचरितम्८.६५ ॥")</f>
        <v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॥नैषधीयचरितम्८.६५ ॥</v>
      </c>
      <c r="B3270" s="4" t="s">
        <v>16</v>
      </c>
      <c r="C3270" s="4"/>
    </row>
    <row r="3271" spans="1:3" ht="24" customHeight="1">
      <c r="A3271" s="4" t="str">
        <f ca="1">IFERROR(__xludf.DUMMYFUNCTION("""COMPUTED_VALUE"""),"शरैः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॥नैषधीयचरितम्८.६६ ॥")</f>
        <v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॥नैषधीयचरितम्८.६६ ॥</v>
      </c>
      <c r="B3271" s="4" t="s">
        <v>17</v>
      </c>
      <c r="C3271" s="4"/>
    </row>
    <row r="3272" spans="1:3" ht="24" customHeight="1">
      <c r="A3272" s="4" t="str">
        <f ca="1">IFERROR(__xludf.DUMMYFUNCTION("""COMPUTED_VALUE"""),"धृताधृतेस्तस्य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॥नैषधीयचरितम्८.६७ ॥")</f>
        <v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॥नैषधीयचरितम्८.६७ ॥</v>
      </c>
      <c r="B3272" s="4" t="s">
        <v>7</v>
      </c>
      <c r="C3272" s="4"/>
    </row>
    <row r="3273" spans="1:3" ht="24" customHeight="1">
      <c r="A3273" s="4" t="str">
        <f ca="1">IFERROR(__xludf.DUMMYFUNCTION("""COMPUTED_VALUE"""),"रवैर्गुणास्फालभवैः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॥नैषधीयचरितम्८.६८ ॥")</f>
        <v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॥नैषधीयचरितम्८.६८ ॥</v>
      </c>
      <c r="B3273" s="4" t="s">
        <v>7</v>
      </c>
      <c r="C3273" s="4"/>
    </row>
    <row r="3274" spans="1:3" ht="24" customHeight="1">
      <c r="A3274" s="4" t="str">
        <f ca="1">IFERROR(__xludf.DUMMYFUNCTION("""COMPUTED_VALUE"""),"अनङ्गतापप्रशमाय तस्य कदर्थ्यमाना मुहुरामृणालम् । मधौमधौ नाकनदीनलिन्यो वरं वहन्तां शिशिरेऽनुरागम् ॥नैषधीयचरितम्८.६९ ॥")</f>
        <v>अनङ्गतापप्रशमाय तस्य कदर्थ्यमाना मुहुरामृणालम् । मधौमधौ नाकनदीनलिन्यो वरं वहन्तां शिशिरेऽनुरागम् ॥नैषधीयचरितम्८.६९ ॥</v>
      </c>
      <c r="B3274" s="4" t="s">
        <v>15</v>
      </c>
      <c r="C3274" s="4"/>
    </row>
    <row r="3275" spans="1:3" ht="24" customHeight="1">
      <c r="A3275" s="4" t="str">
        <f ca="1">IFERROR(__xludf.DUMMYFUNCTION("""COMPUTED_VALUE"""),"दमस्वसः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॥नैषधीयचरितम्८.७ ॥")</f>
        <v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॥नैषधीयचरितम्८.७ ॥</v>
      </c>
      <c r="B3275" s="4" t="s">
        <v>2</v>
      </c>
      <c r="C3275" s="4"/>
    </row>
    <row r="3276" spans="1:3" ht="24" customHeight="1">
      <c r="A3276" s="4" t="str">
        <f ca="1">IFERROR(__xludf.DUMMYFUNCTION("""COMPUTED_VALUE"""),"अग्न्याहिता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॥नैषधीयचरितम्८.७१ ॥")</f>
        <v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॥नैषधीयचरितम्८.७१ ॥</v>
      </c>
      <c r="B3276" s="4" t="s">
        <v>8</v>
      </c>
      <c r="C3276" s="4"/>
    </row>
    <row r="3277" spans="1:3" ht="24" customHeight="1">
      <c r="A3277" s="4" t="str">
        <f ca="1">IFERROR(__xludf.DUMMYFUNCTION("""COMPUTED_VALUE"""),"त्वद्गोचरस्तं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॥नैषधीयचरितम्८.७२ ॥")</f>
        <v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॥नैषधीयचरितम्८.७२ ॥</v>
      </c>
      <c r="B3277" s="4" t="s">
        <v>5</v>
      </c>
      <c r="C3277" s="4"/>
    </row>
    <row r="3278" spans="1:3" ht="24" customHeight="1">
      <c r="A3278" s="4" t="str">
        <f ca="1">IFERROR(__xludf.DUMMYFUNCTION("""COMPUTED_VALUE"""),"अदाहि यस्तेन दशार्धबाणः पुरापुरारेर्नयनालयेन । न निर्दहंस्तं भवदक्षिवासी न वैरशुद्धेरधुनाधमर्णः ॥नैषधीयचरितम्८.७३ ॥")</f>
        <v>अदाहि यस्तेन दशार्धबाणः पुरापुरारेर्नयनालयेन । न निर्दहंस्तं भवदक्षिवासी न वैरशुद्धेरधुनाधमर्णः ॥नैषधीयचरितम्८.७३ ॥</v>
      </c>
      <c r="B3278" s="4" t="s">
        <v>2</v>
      </c>
      <c r="C3278" s="4"/>
    </row>
    <row r="3279" spans="1:3" ht="24" customHeight="1">
      <c r="A3279" s="4" t="str">
        <f ca="1">IFERROR(__xludf.DUMMYFUNCTION("""COMPUTED_VALUE"""),"सोमाय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॥नैषधीयचरितम्८.७४ ॥")</f>
        <v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॥नैषधीयचरितम्८.७४ ॥</v>
      </c>
      <c r="B3279" s="4" t="s">
        <v>2</v>
      </c>
      <c r="C3279" s="4"/>
    </row>
    <row r="3280" spans="1:3" ht="24" customHeight="1">
      <c r="A3280" s="4" t="str">
        <f ca="1">IFERROR(__xludf.DUMMYFUNCTION("""COMPUTED_VALUE"""),"शरैरजस्रं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॥नैषधीयचरितम्८.७५ ॥")</f>
        <v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॥नैषधीयचरितम्८.७५ ॥</v>
      </c>
      <c r="B3280" s="4" t="s">
        <v>2</v>
      </c>
      <c r="C3280" s="4"/>
    </row>
    <row r="3281" spans="1:3" ht="24" customHeight="1">
      <c r="A3281" s="4" t="str">
        <f ca="1">IFERROR(__xludf.DUMMYFUNCTION("""COMPUTED_VALUE"""),"स्मरेन्धने वक्षसि तेन दत्ता संवर्तिका शैवलवल्लिचित्रा । रराज चेतोभवपावकस्य धूमाविला कीलपरम्परेव ॥नैषधीयचरितम्८.७६ ॥")</f>
        <v>स्मरेन्धने वक्षसि तेन दत्ता संवर्तिका शैवलवल्लिचित्रा । रराज चेतोभवपावकस्य धूमाविला कीलपरम्परेव ॥नैषधीयचरितम्८.७६ ॥</v>
      </c>
      <c r="B3281" s="4" t="s">
        <v>4</v>
      </c>
      <c r="C3281" s="4"/>
    </row>
    <row r="3282" spans="1:3" ht="24" customHeight="1">
      <c r="A3282" s="4" t="str">
        <f ca="1">IFERROR(__xludf.DUMMYFUNCTION("""COMPUTED_VALUE"""),"पुत्री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॥नैषधीयचरितम्८.७७ ॥ ")</f>
        <v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॥नैषधीयचरितम्८.७७ ॥ </v>
      </c>
      <c r="B3282" s="4" t="s">
        <v>4</v>
      </c>
      <c r="C3282" s="4"/>
    </row>
    <row r="3283" spans="1:3" ht="24" customHeight="1">
      <c r="A3283" s="4" t="str">
        <f ca="1">IFERROR(__xludf.DUMMYFUNCTION("""COMPUTED_VALUE"""),"तं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॥नैषधीयचरितम्८.७८ ॥ ")</f>
        <v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॥नैषधीयचरितम्८.७८ ॥ </v>
      </c>
      <c r="B3283" s="4" t="s">
        <v>5</v>
      </c>
      <c r="C3283" s="4"/>
    </row>
    <row r="3284" spans="1:3" ht="24" customHeight="1">
      <c r="A3284" s="4" t="str">
        <f ca="1">IFERROR(__xludf.DUMMYFUNCTION("""COMPUTED_VALUE"""),"स्मरस्य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॥नैषधीयचरितम्८.७९ ॥ ")</f>
        <v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॥नैषधीयचरितम्८.७९ ॥ </v>
      </c>
      <c r="B3284" s="4" t="s">
        <v>7</v>
      </c>
      <c r="C3284" s="4"/>
    </row>
    <row r="3285" spans="1:3" ht="24" customHeight="1">
      <c r="A3285" s="4" t="str">
        <f ca="1">IFERROR(__xludf.DUMMYFUNCTION("""COMPUTED_VALUE"""),"यस्तन्वि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॥नैषधीयचरितम्८.८ ॥ ")</f>
        <v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॥नैषधीयचरितम्८.८ ॥ </v>
      </c>
      <c r="B3285" s="4" t="s">
        <v>10</v>
      </c>
      <c r="C3285" s="4"/>
    </row>
    <row r="3286" spans="1:3" ht="24" customHeight="1">
      <c r="A3286" s="4" t="str">
        <f ca="1">IFERROR(__xludf.DUMMYFUNCTION("""COMPUTED_VALUE"""),"तथा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॥नैषधीयचरितम्८.८१ ॥ ")</f>
        <v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॥नैषधीयचरितम्८.८१ ॥ </v>
      </c>
      <c r="B3286" s="4" t="s">
        <v>10</v>
      </c>
      <c r="C3286" s="4"/>
    </row>
    <row r="3287" spans="1:3" ht="24" customHeight="1">
      <c r="A3287" s="4" t="str">
        <f ca="1">IFERROR(__xludf.DUMMYFUNCTION("""COMPUTED_VALUE"""),"अत्प्रत्युत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॥नैषधीयचरितम्८.८२ ॥ ")</f>
        <v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॥नैषधीयचरितम्८.८२ ॥ </v>
      </c>
      <c r="B3287" s="4" t="s">
        <v>11</v>
      </c>
      <c r="C3287" s="4"/>
    </row>
    <row r="3288" spans="1:3" ht="24" customHeight="1">
      <c r="A3288" s="4" t="str">
        <f ca="1">IFERROR(__xludf.DUMMYFUNCTION("""COMPUTED_VALUE"""),"न्यस्तं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॥नैषधीयचरितम्८.८३ ॥")</f>
        <v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॥नैषधीयचरितम्८.८३ ॥</v>
      </c>
      <c r="B3288" s="4" t="s">
        <v>1</v>
      </c>
      <c r="C3288" s="4"/>
    </row>
    <row r="3289" spans="1:3" ht="24" customHeight="1">
      <c r="A3289" s="4" t="str">
        <f ca="1">IFERROR(__xludf.DUMMYFUNCTION("""COMPUTED_VALUE"""),"इति त्रिलोकीतिलकेषु तेषु मनोभुवो विक्रमकामचारः । अमोघमस्त्रं भवतीमवाप्य मदान्धतानर्गलचापलस्य ॥नैषधीयचरितम्८.८४ ॥ ")</f>
        <v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॥नैषधीयचरितम्८.८४ ॥ </v>
      </c>
      <c r="B3289" s="4" t="s">
        <v>5</v>
      </c>
      <c r="C3289" s="4"/>
    </row>
    <row r="3290" spans="1:3" ht="24" customHeight="1">
      <c r="A3290" s="4" t="str">
        <f ca="1">IFERROR(__xludf.DUMMYFUNCTION("""COMPUTED_VALUE"""),"सारोत्थधारेव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॥नैषधीयचरितम्८.८५ ॥")</f>
        <v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॥नैषधीयचरितम्८.८५ ॥</v>
      </c>
      <c r="B3290" s="4" t="s">
        <v>18</v>
      </c>
      <c r="C3290" s="4"/>
    </row>
    <row r="3291" spans="1:3" ht="24" customHeight="1">
      <c r="A3291" s="4" t="str">
        <f ca="1">IFERROR(__xludf.DUMMYFUNCTION("""COMPUTED_VALUE"""),"समं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॥नैषधीयचरितम्८.८६ ॥ ")</f>
        <v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॥नैषधीयचरितम्८.८६ ॥ </v>
      </c>
      <c r="B3291" s="4" t="s">
        <v>6</v>
      </c>
      <c r="C3291" s="4"/>
    </row>
    <row r="3292" spans="1:3" ht="24" customHeight="1">
      <c r="A3292" s="4" t="str">
        <f ca="1">IFERROR(__xludf.DUMMYFUNCTION("""COMPUTED_VALUE"""),"अपास्तपाथेयसुधोपयोगैस्त्वच्चुम्बिनैव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॥नैषधीयचरितम्८.८७ ॥")</f>
        <v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॥नैषधीयचरितम्८.८७ ॥</v>
      </c>
      <c r="B3292" s="4" t="s">
        <v>2</v>
      </c>
      <c r="C3292" s="4"/>
    </row>
    <row r="3293" spans="1:3" ht="24" customHeight="1">
      <c r="A3293" s="4" t="str">
        <f ca="1">IFERROR(__xludf.DUMMYFUNCTION("""COMPUTED_VALUE"""),"प्रिया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॥नैषधीयचरितम्८.८८ ॥")</f>
        <v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॥नैषधीयचरितम्८.८८ ॥</v>
      </c>
      <c r="B3293" s="4" t="s">
        <v>6</v>
      </c>
      <c r="C3293" s="4"/>
    </row>
    <row r="3294" spans="1:3" ht="24" customHeight="1">
      <c r="A3294" s="4" t="str">
        <f ca="1">IFERROR(__xludf.DUMMYFUNCTION("""COMPUTED_VALUE"""),"अलंकृतासन्नमहीविभागैरयं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॥नैषधीयचरितम्८.८९ ॥")</f>
        <v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॥नैषधीयचरितम्८.८९ ॥</v>
      </c>
      <c r="B3294" s="4" t="s">
        <v>7</v>
      </c>
      <c r="C3294" s="4"/>
    </row>
    <row r="3295" spans="1:3" ht="24" customHeight="1">
      <c r="A3295" s="4" t="str">
        <f ca="1">IFERROR(__xludf.DUMMYFUNCTION("""COMPUTED_VALUE"""),"एकैकमेते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॥नैषधीयचरितम्८.९ ॥")</f>
        <v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॥नैषधीयचरितम्८.९ ॥</v>
      </c>
      <c r="B3295" s="4" t="s">
        <v>20</v>
      </c>
      <c r="C3295" s="4"/>
    </row>
    <row r="3296" spans="1:3" ht="24" customHeight="1">
      <c r="A3296" s="4" t="str">
        <f ca="1">IFERROR(__xludf.DUMMYFUNCTION("""COMPUTED_VALUE"""),"त्वत्कान्तिमस्माभिरयं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॥नैषधीयचरितम्८.९१ ॥")</f>
        <v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॥नैषधीयचरितम्८.९१ ॥</v>
      </c>
      <c r="B3296" s="4" t="s">
        <v>7</v>
      </c>
      <c r="C3296" s="4"/>
    </row>
    <row r="3297" spans="1:3" ht="24" customHeight="1">
      <c r="A3297" s="4" t="str">
        <f ca="1">IFERROR(__xludf.DUMMYFUNCTION("""COMPUTED_VALUE"""),"निजे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॥नैषधीयचरितम्८.९२ ॥")</f>
        <v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॥नैषधीयचरितम्८.९२ ॥</v>
      </c>
      <c r="B3297" s="4" t="s">
        <v>0</v>
      </c>
      <c r="C3297" s="4"/>
    </row>
    <row r="3298" spans="1:3" ht="24" customHeight="1">
      <c r="A3298" s="4" t="str">
        <f ca="1">IFERROR(__xludf.DUMMYFUNCTION("""COMPUTED_VALUE"""),"दयस्व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॥नैषधीयचरितम्८.९३ ॥")</f>
        <v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॥नैषधीयचरितम्८.९३ ॥</v>
      </c>
      <c r="B3298" s="4" t="s">
        <v>0</v>
      </c>
      <c r="C3298" s="4"/>
    </row>
    <row r="3299" spans="1:3" ht="24" customHeight="1">
      <c r="A3299" s="4" t="str">
        <f ca="1">IFERROR(__xludf.DUMMYFUNCTION("""COMPUTED_VALUE"""),"त्वदर्थिनः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॥नैषधीयचरितम्८.९४ ॥")</f>
        <v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॥नैषधीयचरितम्८.९४ ॥</v>
      </c>
      <c r="B3299" s="4" t="s">
        <v>7</v>
      </c>
      <c r="C3299" s="4"/>
    </row>
    <row r="3300" spans="1:3" ht="24" customHeight="1">
      <c r="A3300" s="4" t="str">
        <f ca="1">IFERROR(__xludf.DUMMYFUNCTION("""COMPUTED_VALUE"""),"अस्माकमध्यासितमेतदन्तस्तावद्भवत्या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॥नैषधीयचरितम्८.९५ ॥")</f>
        <v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॥नैषधीयचरितम्८.९५ ॥</v>
      </c>
      <c r="B3300" s="4" t="s">
        <v>4</v>
      </c>
      <c r="C3300" s="4"/>
    </row>
    <row r="3301" spans="1:3" ht="24" customHeight="1">
      <c r="A3301" s="4" t="str">
        <f ca="1">IFERROR(__xludf.DUMMYFUNCTION("""COMPUTED_VALUE"""),"दयोदयश्चेतसि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॥नैषधीयचरितम्८.९६ ॥")</f>
        <v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॥नैषधीयचरितम्८.९६ ॥</v>
      </c>
      <c r="B3301" s="4" t="s">
        <v>12</v>
      </c>
      <c r="C3301" s="4"/>
    </row>
    <row r="3302" spans="1:3" ht="24" customHeight="1">
      <c r="A3302" s="4" t="str">
        <f ca="1">IFERROR(__xludf.DUMMYFUNCTION("""COMPUTED_VALUE"""),"धिनोति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॥नैषधीयचरितम्८.९७ ॥")</f>
        <v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॥नैषधीयचरितम्८.९७ ॥</v>
      </c>
      <c r="B3302" s="4" t="s">
        <v>5</v>
      </c>
      <c r="C3302" s="4"/>
    </row>
    <row r="3303" spans="1:3" ht="24" customHeight="1">
      <c r="A3303" s="4" t="str">
        <f ca="1">IFERROR(__xludf.DUMMYFUNCTION("""COMPUTED_VALUE"""),"स्वर्णैर्वितीर्णैः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॥नैषधीयचरितम्८.९८ ॥")</f>
        <v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॥नैषधीयचरितम्८.९८ ॥</v>
      </c>
      <c r="B3303" s="4" t="s">
        <v>1</v>
      </c>
      <c r="C3303" s="4"/>
    </row>
    <row r="3304" spans="1:3" ht="24" customHeight="1">
      <c r="A3304" s="4" t="str">
        <f ca="1">IFERROR(__xludf.DUMMYFUNCTION("""COMPUTED_VALUE"""),"वयं कलादा इव दुर्विदग्धं त्वद्गौरिमस्पर्धि दहेम हेम । प्रसूननाराचशरासनेन सहैकवंशप्रभवभ्रु बभु ॥नैषधीयचरितम्८.९९ ॥")</f>
        <v>वयं कलादा इव दुर्विदग्धं त्वद्गौरिमस्पर्धि दहेम हेम । प्रसूननाराचशरासनेन सहैकवंशप्रभवभ्रु बभु ॥नैषधीयचरितम्८.९९ ॥</v>
      </c>
      <c r="B3304" s="4" t="s">
        <v>6</v>
      </c>
      <c r="C3304" s="4"/>
    </row>
    <row r="3305" spans="1:3" ht="24" customHeight="1">
      <c r="A3305" s="4" t="str">
        <f ca="1">IFERROR(__xludf.DUMMYFUNCTION("""COMPUTED_VALUE"""),"सुधासरःसु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॥नैषधीयचरितम्८.१ ॥")</f>
        <v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॥नैषधीयचरितम्८.१ ॥</v>
      </c>
      <c r="B3305" s="4" t="s">
        <v>7</v>
      </c>
      <c r="C3305" s="4"/>
    </row>
    <row r="3306" spans="1:3" ht="24" customHeight="1">
      <c r="A3306" s="4" t="str">
        <f ca="1">IFERROR(__xludf.DUMMYFUNCTION("""COMPUTED_VALUE"""),"खण्डः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॥नैषधीयचरितम्८.१०१ ॥")</f>
        <v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॥नैषधीयचरितम्८.१०१ ॥</v>
      </c>
      <c r="B3306" s="4" t="s">
        <v>13</v>
      </c>
      <c r="C3306" s="4"/>
    </row>
    <row r="3307" spans="1:3" ht="24" customHeight="1">
      <c r="A3307" s="4" t="str">
        <f ca="1">IFERROR(__xludf.DUMMYFUNCTION("""COMPUTED_VALUE"""),"ददाम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॥नैषधीयचरितम्८.१०२ ॥")</f>
        <v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॥नैषधीयचरितम्८.१०२ ॥</v>
      </c>
      <c r="B3307" s="4" t="s">
        <v>3</v>
      </c>
      <c r="C3307" s="4"/>
    </row>
    <row r="3308" spans="1:3" ht="24" customHeight="1">
      <c r="A3308" s="4" t="str">
        <f ca="1">IFERROR(__xludf.DUMMYFUNCTION("""COMPUTED_VALUE"""),"प्रिये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॥नैषधीयचरितम्८.१०३ ॥")</f>
        <v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॥नैषधीयचरितम्८.१०३ ॥</v>
      </c>
      <c r="B3308" s="4" t="s">
        <v>12</v>
      </c>
      <c r="C3308" s="4"/>
    </row>
    <row r="3309" spans="1:3" ht="24" customHeight="1">
      <c r="A3309" s="4" t="str">
        <f ca="1">IFERROR(__xludf.DUMMYFUNCTION("""COMPUTED_VALUE"""),"नास्माकमस्मान्मदनापमृत्योस्त्राणाय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॥नैषधीयचरितम्८.१०४ ॥")</f>
        <v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॥नैषधीयचरितम्८.१०४ ॥</v>
      </c>
      <c r="B3309" s="4" t="s">
        <v>1</v>
      </c>
      <c r="C3309" s="4"/>
    </row>
    <row r="3310" spans="1:3" ht="24" customHeight="1">
      <c r="A3310" s="4" t="str">
        <f ca="1">IFERROR(__xludf.DUMMYFUNCTION("""COMPUTED_VALUE"""),"पृष्टः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")</f>
        <v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v>
      </c>
      <c r="B3310" s="4" t="s">
        <v>19</v>
      </c>
      <c r="C3310" s="4"/>
    </row>
    <row r="3311" spans="1:3" ht="24" customHeight="1">
      <c r="A3311" s="4" t="str">
        <f ca="1">IFERROR(__xludf.DUMMYFUNCTION("""COMPUTED_VALUE"""),"स्वप्नेन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॥नैषधीयचरितम्८.१०६ ॥")</f>
        <v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॥नैषधीयचरितम्८.१०६ ॥</v>
      </c>
      <c r="B3311" s="4" t="s">
        <v>18</v>
      </c>
      <c r="C3311" s="4"/>
    </row>
    <row r="3312" spans="1:3" ht="24" customHeight="1">
      <c r="A3312" s="4" t="str">
        <f ca="1">IFERROR(__xludf.DUMMYFUNCTION("""COMPUTED_VALUE"""),"इति धृतसुरसार्थवाचिकस्रङ्निजरसनातलपत्त्रहारकस्य । सफलय मम दूततां वृणीष्व स्वयमवधार्य दिगीशमेकमेषु ॥नैषधीयचरितम्८.१०७ ॥")</f>
        <v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॥नैषधीयचरितम्८.१०७ ॥</v>
      </c>
      <c r="B3312" s="4" t="s">
        <v>13</v>
      </c>
      <c r="C3312" s="4"/>
    </row>
    <row r="3313" spans="1:3" ht="24" customHeight="1">
      <c r="A3313" s="4" t="str">
        <f ca="1">IFERROR(__xludf.DUMMYFUNCTION("""COMPUTED_VALUE"""),"आनन्दयेन्द्रमथ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॥नैषधीयचरितम्८.१०८ ॥")</f>
        <v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॥नैषधीयचरितम्८.१०८ ॥</v>
      </c>
      <c r="B3313" s="4" t="s">
        <v>10</v>
      </c>
      <c r="C3313" s="4"/>
    </row>
    <row r="3314" spans="1:3" ht="24" customHeight="1">
      <c r="A3314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॥नैषधीयचरितम्८.१०९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॥नैषधीयचरितम्८.१०९ ॥</v>
      </c>
      <c r="B3314" s="4" t="s">
        <v>11</v>
      </c>
      <c r="C3314" s="4"/>
    </row>
    <row r="3315" spans="1:3" ht="24" customHeight="1">
      <c r="A3315" s="4" t="str">
        <f ca="1">IFERROR(__xludf.DUMMYFUNCTION("""COMPUTED_VALUE"""),"इतीयमक्षिभ्रुवविभ्रमेङ्गितस्फुटामनिच्छां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॥नैषधीयचरितम्९.१ ॥")</f>
        <v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॥नैषधीयचरितम्९.१ ॥</v>
      </c>
      <c r="B3315" s="4" t="s">
        <v>4</v>
      </c>
      <c r="C3315" s="4"/>
    </row>
    <row r="3316" spans="1:3" ht="24" customHeight="1">
      <c r="A3316" s="4" t="str">
        <f ca="1">IFERROR(__xludf.DUMMYFUNCTION("""COMPUTED_VALUE"""),"तदर्पितामश्रुतवद्विधाय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॥नैषधीयचरितम्९.२ ॥")</f>
        <v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॥नैषधीयचरितम्९.२ ॥</v>
      </c>
      <c r="B3316" s="4" t="s">
        <v>1</v>
      </c>
      <c r="C3316" s="4"/>
    </row>
    <row r="3317" spans="1:3" ht="24" customHeight="1">
      <c r="A3317" s="4" t="str">
        <f ca="1">IFERROR(__xludf.DUMMYFUNCTION("""COMPUTED_VALUE"""),"मयाङ्ग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॥नैषधीयचरितम्९.३ ॥")</f>
        <v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॥नैषधीयचरितम्९.३ ॥</v>
      </c>
      <c r="B3317" s="4" t="s">
        <v>2</v>
      </c>
      <c r="C3317" s="4"/>
    </row>
    <row r="3318" spans="1:3" ht="24" customHeight="1">
      <c r="A3318" s="4" t="str">
        <f ca="1">IFERROR(__xludf.DUMMYFUNCTION("""COMPUTED_VALUE"""),"अदृश्यमाना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॥नैषधीयचरितम्९.४ ॥")</f>
        <v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॥नैषधीयचरितम्९.४ ॥</v>
      </c>
      <c r="B3318" s="4" t="s">
        <v>1</v>
      </c>
      <c r="C3318" s="4"/>
    </row>
    <row r="3319" spans="1:3" ht="24" customHeight="1">
      <c r="A3319" s="4" t="str">
        <f ca="1">IFERROR(__xludf.DUMMYFUNCTION("""COMPUTED_VALUE"""),"गिरः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॥नैषधीयचरितम्९.५ ॥")</f>
        <v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॥नैषधीयचरितम्९.५ ॥</v>
      </c>
      <c r="B3319" s="4" t="s">
        <v>9</v>
      </c>
      <c r="C3319" s="4"/>
    </row>
    <row r="3320" spans="1:3" ht="24" customHeight="1">
      <c r="A3320" s="4" t="str">
        <f ca="1">IFERROR(__xludf.DUMMYFUNCTION("""COMPUTED_VALUE"""),"बिभर्ति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॥नैषधीयचरितम्९.६ ॥ ")</f>
        <v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॥नैषधीयचरितम्९.६ ॥ </v>
      </c>
      <c r="B3320" s="4" t="s">
        <v>24</v>
      </c>
      <c r="C3320" s="4"/>
    </row>
    <row r="3321" spans="1:3" ht="24" customHeight="1">
      <c r="A3321" s="4" t="str">
        <f ca="1">IFERROR(__xludf.DUMMYFUNCTION("""COMPUTED_VALUE"""),"इतीरयित्वा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॥नैषधीयचरितम्९.७ ॥")</f>
        <v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॥नैषधीयचरितम्९.७ ॥</v>
      </c>
      <c r="B3321" s="4" t="s">
        <v>4</v>
      </c>
      <c r="C3321" s="4"/>
    </row>
    <row r="3322" spans="1:3" ht="24" customHeight="1">
      <c r="A3322" s="4" t="str">
        <f ca="1">IFERROR(__xludf.DUMMYFUNCTION("""COMPUTED_VALUE"""),"अये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॥नैषधीयचरितम्९.८ ॥")</f>
        <v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॥नैषधीयचरितम्९.८ ॥</v>
      </c>
      <c r="B3322" s="4" t="s">
        <v>2</v>
      </c>
      <c r="C3322" s="4"/>
    </row>
    <row r="3323" spans="1:3" ht="24" customHeight="1">
      <c r="A3323" s="4" t="str">
        <f ca="1">IFERROR(__xludf.DUMMYFUNCTION("""COMPUTED_VALUE"""),"वृथा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॥नैषधीयचरितम्९.९ ॥")</f>
        <v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॥नैषधीयचरितम्९.९ ॥</v>
      </c>
      <c r="B3323" s="4" t="s">
        <v>17</v>
      </c>
      <c r="C3323" s="4"/>
    </row>
    <row r="3324" spans="1:3" ht="24" customHeight="1">
      <c r="A3324" s="4" t="str">
        <f ca="1">IFERROR(__xludf.DUMMYFUNCTION("""COMPUTED_VALUE"""),"यदि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॥नैषधीयचरितम्९.१ ॥")</f>
        <v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॥नैषधीयचरितम्९.१ ॥</v>
      </c>
      <c r="B3324" s="4" t="s">
        <v>13</v>
      </c>
      <c r="C3324" s="4"/>
    </row>
    <row r="3325" spans="1:3" ht="24" customHeight="1">
      <c r="A3325" s="4" t="str">
        <f ca="1">IFERROR(__xludf.DUMMYFUNCTION("""COMPUTED_VALUE"""),"इति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॥नैषधीयचरितम्९.११ ॥")</f>
        <v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॥नैषधीयचरितम्९.११ ॥</v>
      </c>
      <c r="B3325" s="4" t="s">
        <v>2</v>
      </c>
      <c r="C3325" s="4"/>
    </row>
    <row r="3326" spans="1:3" ht="24" customHeight="1">
      <c r="A3326" s="4" t="str">
        <f ca="1">IFERROR(__xludf.DUMMYFUNCTION("""COMPUTED_VALUE"""),"तथापि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॥नैषधीयचरितम्९.१२ ॥")</f>
        <v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॥नैषधीयचरितम्९.१२ ॥</v>
      </c>
      <c r="B3326" s="4" t="s">
        <v>24</v>
      </c>
      <c r="C3326" s="4"/>
    </row>
    <row r="3327" spans="1:3" ht="24" customHeight="1">
      <c r="A3327" s="4" t="str">
        <f ca="1">IFERROR(__xludf.DUMMYFUNCTION("""COMPUTED_VALUE"""),"महाजनाचारपरम्परेदृशी स्वनाम नामाददते न साधवः । अतोऽभिधातुं न तदुत्सहे पुनर्जनः किलाचारमुचं विगायति ॥नैषधीयचरितम्९.१३ ॥")</f>
        <v>महाजनाचारपरम्परेदृशी स्वनाम नामाददते न साधवः । अतोऽभिधातुं न तदुत्सहे पुनर्जनः किलाचारमुचं विगायति ॥नैषधीयचरितम्९.१३ ॥</v>
      </c>
      <c r="B3327" s="4" t="s">
        <v>2</v>
      </c>
      <c r="C3327" s="4"/>
    </row>
    <row r="3328" spans="1:3" ht="24" customHeight="1">
      <c r="A3328" s="4" t="str">
        <f ca="1">IFERROR(__xludf.DUMMYFUNCTION("""COMPUTED_VALUE"""),"अदोऽयमालप्य शिखीव शारदो बभूव तूष्णीमहितापकारकः । अथास्यरागस्य दधा पदेपदे वचांसि हंसीव विदर्भजाददे ॥नैषधीयचरितम्९.१४ ॥")</f>
        <v>अदोऽयमालप्य शिखीव शारदो बभूव तूष्णीमहितापकारकः । अथास्यरागस्य दधा पदेपदे वचांसि हंसीव विदर्भजाददे ॥नैषधीयचरितम्९.१४ ॥</v>
      </c>
      <c r="B3328" s="4" t="s">
        <v>17</v>
      </c>
      <c r="C3328" s="4"/>
    </row>
    <row r="3329" spans="1:3" ht="24" customHeight="1">
      <c r="A3329" s="4" t="str">
        <f ca="1">IFERROR(__xludf.DUMMYFUNCTION("""COMPUTED_VALUE"""),"सुधांशुवंशाभरणं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॥नैषधीयचरितम्९.१५ ॥ ")</f>
        <v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॥नैषधीयचरितम्९.१५ ॥ </v>
      </c>
      <c r="B3329" s="4" t="s">
        <v>4</v>
      </c>
      <c r="C3329" s="4"/>
    </row>
    <row r="3330" spans="1:3" ht="24" customHeight="1">
      <c r="A3330" s="4" t="str">
        <f ca="1">IFERROR(__xludf.DUMMYFUNCTION("""COMPUTED_VALUE"""),"मयापि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॥नैषधीयचरितम्९.१६ ॥")</f>
        <v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॥नैषधीयचरितम्९.१६ ॥</v>
      </c>
      <c r="B3330" s="4" t="s">
        <v>24</v>
      </c>
      <c r="C3330" s="4"/>
    </row>
    <row r="3331" spans="1:3" ht="24" customHeight="1">
      <c r="A3331" s="4" t="str">
        <f ca="1">IFERROR(__xludf.DUMMYFUNCTION("""COMPUTED_VALUE"""),"हृदाभिनन्द्य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॥नैषधीयचरितम्९.१७ ॥")</f>
        <v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॥नैषधीयचरितम्९.१७ ॥</v>
      </c>
      <c r="B3331" s="4" t="s">
        <v>16</v>
      </c>
      <c r="C3331" s="4"/>
    </row>
    <row r="3332" spans="1:3" ht="24" customHeight="1">
      <c r="A3332" s="4" t="str">
        <f ca="1">IFERROR(__xludf.DUMMYFUNCTION("""COMPUTED_VALUE"""),"करोषि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॥नैषधीयचरितम्९.१८ ॥")</f>
        <v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॥नैषधीयचरितम्९.१८ ॥</v>
      </c>
      <c r="B3332" s="4" t="s">
        <v>0</v>
      </c>
      <c r="C3332" s="4"/>
    </row>
    <row r="3333" spans="1:3" ht="24" customHeight="1">
      <c r="A3333" s="4" t="str">
        <f ca="1">IFERROR(__xludf.DUMMYFUNCTION("""COMPUTED_VALUE"""),"सुरेषु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॥नैषधीयचरितम्९.१९ ॥")</f>
        <v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॥नैषधीयचरितम्९.१९ ॥</v>
      </c>
      <c r="B3333" s="4" t="s">
        <v>2</v>
      </c>
      <c r="C3333" s="4"/>
    </row>
    <row r="3334" spans="1:3" ht="24" customHeight="1">
      <c r="A3334" s="4" t="str">
        <f ca="1">IFERROR(__xludf.DUMMYFUNCTION("""COMPUTED_VALUE"""),"यथायथेह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॥नैषधीयचरितम्९.२ ॥")</f>
        <v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॥नैषधीयचरितम्९.२ ॥</v>
      </c>
      <c r="B3334" s="4" t="s">
        <v>2</v>
      </c>
      <c r="C3334" s="4"/>
    </row>
    <row r="3335" spans="1:3" ht="24" customHeight="1">
      <c r="A3335" s="4" t="str">
        <f ca="1">IFERROR(__xludf.DUMMYFUNCTION("""COMPUTED_VALUE"""),"इयच्चिरस्यावदधन्ति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॥नैषधीयचरितम्९.२१ ॥")</f>
        <v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॥नैषधीयचरितम्९.२१ ॥</v>
      </c>
      <c r="B3335" s="4" t="s">
        <v>1</v>
      </c>
      <c r="C3335" s="4"/>
    </row>
    <row r="3336" spans="1:3" ht="24" customHeight="1">
      <c r="A3336" s="4" t="str">
        <f ca="1">IFERROR(__xludf.DUMMYFUNCTION("""COMPUTED_VALUE"""),"इदं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॥नैषधीयचरितम्९.२२ ॥")</f>
        <v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॥नैषधीयचरितम्९.२२ ॥</v>
      </c>
      <c r="B3336" s="4" t="s">
        <v>5</v>
      </c>
      <c r="C3336" s="4"/>
    </row>
    <row r="3337" spans="1:3" ht="24" customHeight="1">
      <c r="A3337" s="4" t="str">
        <f ca="1">IFERROR(__xludf.DUMMYFUNCTION("""COMPUTED_VALUE"""),"जलाधिपस्त्वामदिशन्मयि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॥नैषधीयचरितम्९.२३ ॥")</f>
        <v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॥नैषधीयचरितम्९.२३ ॥</v>
      </c>
      <c r="B3337" s="4" t="s">
        <v>18</v>
      </c>
      <c r="C3337" s="4"/>
    </row>
    <row r="3338" spans="1:3" ht="24" customHeight="1">
      <c r="A3338" s="4" t="str">
        <f ca="1">IFERROR(__xludf.DUMMYFUNCTION("""COMPUTED_VALUE"""),"अथ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॥नैषधीयचरितम्९.२४ ॥")</f>
        <v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॥नैषधीयचरितम्९.२४ ॥</v>
      </c>
      <c r="B3338" s="4" t="s">
        <v>20</v>
      </c>
      <c r="C3338" s="4"/>
    </row>
    <row r="3339" spans="1:3" ht="24" customHeight="1">
      <c r="A3339" s="4" t="str">
        <f ca="1">IFERROR(__xludf.DUMMYFUNCTION("""COMPUTED_VALUE"""),"वृथा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॥नैषधीयचरितम्९.२५ ॥")</f>
        <v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॥नैषधीयचरितम्९.२५ ॥</v>
      </c>
      <c r="B3339" s="4" t="s">
        <v>2</v>
      </c>
      <c r="C3339" s="4"/>
    </row>
    <row r="3340" spans="1:3" ht="24" customHeight="1">
      <c r="A3340" s="4" t="str">
        <f ca="1">IFERROR(__xludf.DUMMYFUNCTION("""COMPUTED_VALUE"""),"कथं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॥नैषधीयचरितम्९.२६ ॥")</f>
        <v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॥नैषधीयचरितम्९.२६ ॥</v>
      </c>
      <c r="B3340" s="4" t="s">
        <v>4</v>
      </c>
      <c r="C3340" s="4"/>
    </row>
    <row r="3341" spans="1:3" ht="24" customHeight="1">
      <c r="A3341" s="4" t="str">
        <f ca="1">IFERROR(__xludf.DUMMYFUNCTION("""COMPUTED_VALUE"""),"अहो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॥नैषधीयचरितम्९.२७ ॥")</f>
        <v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॥नैषधीयचरितम्९.२७ ॥</v>
      </c>
      <c r="B3341" s="4" t="s">
        <v>1</v>
      </c>
      <c r="C3341" s="4"/>
    </row>
    <row r="3342" spans="1:3" ht="24" customHeight="1">
      <c r="A3342" s="4" t="str">
        <f ca="1">IFERROR(__xludf.DUMMYFUNCTION("""COMPUTED_VALUE"""),"पुरः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॥नैषधीयचरितम्९.२८ ॥")</f>
        <v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॥नैषधीयचरितम्९.२८ ॥</v>
      </c>
      <c r="B3342" s="4" t="s">
        <v>5</v>
      </c>
      <c r="C3342" s="4"/>
    </row>
    <row r="3343" spans="1:3" ht="24" customHeight="1">
      <c r="A3343" s="4" t="str">
        <f ca="1">IFERROR(__xludf.DUMMYFUNCTION("""COMPUTED_VALUE"""),"यथातथा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॥नैषधीयचरितम्९.२९ ॥")</f>
        <v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॥नैषधीयचरितम्९.२९ ॥</v>
      </c>
      <c r="B3343" s="4" t="s">
        <v>9</v>
      </c>
      <c r="C3343" s="4"/>
    </row>
    <row r="3344" spans="1:3" ht="24" customHeight="1">
      <c r="A3344" s="4" t="str">
        <f ca="1">IFERROR(__xludf.DUMMYFUNCTION("""COMPUTED_VALUE"""),"अदो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॥नैषधीयचरितम्९.३ ॥")</f>
        <v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॥नैषधीयचरितम्९.३ ॥</v>
      </c>
      <c r="B3344" s="4" t="s">
        <v>1</v>
      </c>
      <c r="C3344" s="4"/>
    </row>
    <row r="3345" spans="1:3" ht="24" customHeight="1">
      <c r="A3345" s="4" t="str">
        <f ca="1">IFERROR(__xludf.DUMMYFUNCTION("""COMPUTED_VALUE"""),"बिभेमि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॥नैषधीयचरितम्९.३१ ॥")</f>
        <v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॥नैषधीयचरितम्९.३१ ॥</v>
      </c>
      <c r="B3345" s="4" t="s">
        <v>11</v>
      </c>
      <c r="C3345" s="4"/>
    </row>
    <row r="3346" spans="1:3" ht="24" customHeight="1">
      <c r="A3346" s="4" t="str">
        <f ca="1">IFERROR(__xludf.DUMMYFUNCTION("""COMPUTED_VALUE"""),"ममाशयः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॥नैषधीयचरितम्९.३२ ॥")</f>
        <v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॥नैषधीयचरितम्९.३२ ॥</v>
      </c>
      <c r="B3346" s="4" t="s">
        <v>2</v>
      </c>
      <c r="C3346" s="4"/>
    </row>
    <row r="3347" spans="1:3" ht="24" customHeight="1">
      <c r="A3347" s="4" t="str">
        <f ca="1">IFERROR(__xludf.DUMMYFUNCTION("""COMPUTED_VALUE"""),"अपि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॥नैषधीयचरितम्९.३३ ॥")</f>
        <v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॥नैषधीयचरितम्९.३३ ॥</v>
      </c>
      <c r="B3347" s="4" t="s">
        <v>8</v>
      </c>
      <c r="C3347" s="4"/>
    </row>
    <row r="3348" spans="1:3" ht="24" customHeight="1">
      <c r="A3348" s="4" t="str">
        <f ca="1">IFERROR(__xludf.DUMMYFUNCTION("""COMPUTED_VALUE"""),"अनुग्रहः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॥नैषधीयचरितम्९.३४ ॥")</f>
        <v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॥नैषधीयचरितम्९.३४ ॥</v>
      </c>
      <c r="B3348" s="4" t="s">
        <v>2</v>
      </c>
      <c r="C3348" s="4"/>
    </row>
    <row r="3349" spans="1:3" ht="24" customHeight="1">
      <c r="A3349" s="4" t="str">
        <f ca="1">IFERROR(__xludf.DUMMYFUNCTION("""COMPUTED_VALUE"""),"अपि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॥नैषधीयचरितम्९.३५ ॥")</f>
        <v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॥नैषधीयचरितम्९.३५ ॥</v>
      </c>
      <c r="B3349" s="4" t="s">
        <v>2</v>
      </c>
      <c r="C3349" s="4"/>
    </row>
    <row r="3350" spans="1:3" ht="24" customHeight="1">
      <c r="A3350" s="4" t="str">
        <f ca="1">IFERROR(__xludf.DUMMYFUNCTION("""COMPUTED_VALUE"""),"निषिद्धमप्याचरणीयमापदि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॥नैषधीयचरितम्९.३६ ॥")</f>
        <v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॥नैषधीयचरितम्९.३६ ॥</v>
      </c>
      <c r="B3350" s="4" t="s">
        <v>2</v>
      </c>
      <c r="C3350" s="4"/>
    </row>
    <row r="3351" spans="1:3" ht="24" customHeight="1">
      <c r="A3351" s="4" t="str">
        <f ca="1">IFERROR(__xludf.DUMMYFUNCTION("""COMPUTED_VALUE"""),"स्त्रिया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॥नैषधीयचरितम्९.३७ ॥")</f>
        <v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॥नैषधीयचरितम्९.३७ ॥</v>
      </c>
      <c r="B3351" s="4" t="s">
        <v>2</v>
      </c>
      <c r="C3351" s="4"/>
    </row>
    <row r="3352" spans="1:3" ht="24" customHeight="1">
      <c r="A3352" s="4" t="str">
        <f ca="1">IFERROR(__xludf.DUMMYFUNCTION("""COMPUTED_VALUE"""),"निरस्य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॥नैषधीयचरितम्९.३८ ॥")</f>
        <v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॥नैषधीयचरितम्९.३८ ॥</v>
      </c>
      <c r="B3352" s="4" t="s">
        <v>2</v>
      </c>
      <c r="C3352" s="4"/>
    </row>
    <row r="3353" spans="1:3" ht="24" customHeight="1">
      <c r="A3353" s="4" t="str">
        <f ca="1">IFERROR(__xludf.DUMMYFUNCTION("""COMPUTED_VALUE"""),"अहो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॥नैषधीयचरितम्९.३९ ॥")</f>
        <v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॥नैषधीयचरितम्९.३९ ॥</v>
      </c>
      <c r="B3353" s="4" t="s">
        <v>2</v>
      </c>
      <c r="C3353" s="4"/>
    </row>
    <row r="3354" spans="1:3" ht="24" customHeight="1">
      <c r="A3354" s="4" t="str">
        <f ca="1">IFERROR(__xludf.DUMMYFUNCTION("""COMPUTED_VALUE"""),"सहाखिलस्त्रीषु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॥नैषधीयचरितम्९.४ ॥ ")</f>
        <v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॥नैषधीयचरितम्९.४ ॥ </v>
      </c>
      <c r="B3354" s="4" t="s">
        <v>2</v>
      </c>
      <c r="C3354" s="4"/>
    </row>
    <row r="3355" spans="1:3" ht="24" customHeight="1">
      <c r="A3355" s="4" t="str">
        <f ca="1">IFERROR(__xludf.DUMMYFUNCTION("""COMPUTED_VALUE"""),"दिवौकसं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॥नैषधीयचरितम्९.४१ ॥")</f>
        <v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॥नैषधीयचरितम्९.४१ ॥</v>
      </c>
      <c r="B3355" s="4" t="s">
        <v>2</v>
      </c>
      <c r="C3355" s="4"/>
    </row>
    <row r="3356" spans="1:3" ht="24" customHeight="1">
      <c r="A3356" s="4" t="str">
        <f ca="1">IFERROR(__xludf.DUMMYFUNCTION("""COMPUTED_VALUE"""),"अनुग्रहादेव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॥नैषधीयचरितम्९.४२ ॥ ")</f>
        <v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॥नैषधीयचरितम्९.४२ ॥ </v>
      </c>
      <c r="B3356" s="4" t="s">
        <v>9</v>
      </c>
      <c r="C3356" s="4"/>
    </row>
    <row r="3357" spans="1:3" ht="24" customHeight="1">
      <c r="A3357" s="4" t="str">
        <f ca="1">IFERROR(__xludf.DUMMYFUNCTION("""COMPUTED_VALUE"""),"हरिं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॥नैषधीयचरितम्९.४३ ॥ ")</f>
        <v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॥नैषधीयचरितम्९.४३ ॥ </v>
      </c>
      <c r="B3357" s="4" t="s">
        <v>2</v>
      </c>
      <c r="C3357" s="4"/>
    </row>
    <row r="3358" spans="1:3" ht="24" customHeight="1">
      <c r="A3358" s="4" t="str">
        <f ca="1">IFERROR(__xludf.DUMMYFUNCTION("""COMPUTED_VALUE"""),"विहाय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॥नैषधीयचरितम्९.४४ ॥")</f>
        <v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॥नैषधीयचरितम्९.४४ ॥</v>
      </c>
      <c r="B3358" s="4" t="s">
        <v>12</v>
      </c>
      <c r="C3358" s="4"/>
    </row>
    <row r="3359" spans="1:3" ht="24" customHeight="1">
      <c r="A3359" s="4" t="str">
        <f ca="1">IFERROR(__xludf.DUMMYFUNCTION("""COMPUTED_VALUE"""),"तपोनले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॥नैषधीयचरितम्९.४५ ॥")</f>
        <v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॥नैषधीयचरितम्९.४५ ॥</v>
      </c>
      <c r="B3359" s="4" t="s">
        <v>8</v>
      </c>
      <c r="C3359" s="4"/>
    </row>
    <row r="3360" spans="1:3" ht="24" customHeight="1">
      <c r="A3360" s="4" t="str">
        <f ca="1">IFERROR(__xludf.DUMMYFUNCTION("""COMPUTED_VALUE"""),"यदि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॥नैषधीयचरितम्९.४६ ॥")</f>
        <v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॥नैषधीयचरितम्९.४६ ॥</v>
      </c>
      <c r="B3360" s="4" t="s">
        <v>19</v>
      </c>
      <c r="C3360" s="4"/>
    </row>
    <row r="3361" spans="1:3" ht="24" customHeight="1">
      <c r="A3361" s="4" t="str">
        <f ca="1">IFERROR(__xludf.DUMMYFUNCTION("""COMPUTED_VALUE"""),"निवेक्ष्यसे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॥नैषधीयचरितम्९.४७ ॥")</f>
        <v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॥नैषधीयचरितम्९.४७ ॥</v>
      </c>
      <c r="B3361" s="4" t="s">
        <v>2</v>
      </c>
      <c r="C3361" s="4"/>
    </row>
    <row r="3362" spans="1:3" ht="24" customHeight="1">
      <c r="A3362" s="4" t="str">
        <f ca="1">IFERROR(__xludf.DUMMYFUNCTION("""COMPUTED_VALUE"""),"जितंजितं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॥नैषधीयचरितम्९.४८ ॥")</f>
        <v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॥नैषधीयचरितम्९.४८ ॥</v>
      </c>
      <c r="B3362" s="4" t="s">
        <v>0</v>
      </c>
      <c r="C3362" s="4"/>
    </row>
    <row r="3363" spans="1:3" ht="24" customHeight="1">
      <c r="A3363" s="4" t="str">
        <f ca="1">IFERROR(__xludf.DUMMYFUNCTION("""COMPUTED_VALUE"""),"करिष्यसे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॥नैषधीयचरितम्९.४९ ॥")</f>
        <v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॥नैषधीयचरितम्९.४९ ॥</v>
      </c>
      <c r="B3363" s="4" t="s">
        <v>18</v>
      </c>
      <c r="C3363" s="4"/>
    </row>
    <row r="3364" spans="1:3" ht="24" customHeight="1">
      <c r="A3364" s="4" t="str">
        <f ca="1">IFERROR(__xludf.DUMMYFUNCTION("""COMPUTED_VALUE"""),"निषेधवेषो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॥नैषधीयचरितम्९.५ ॥")</f>
        <v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॥नैषधीयचरितम्९.५ ॥</v>
      </c>
      <c r="B3364" s="4" t="s">
        <v>0</v>
      </c>
      <c r="C3364" s="4"/>
    </row>
    <row r="3365" spans="1:3" ht="24" customHeight="1">
      <c r="A3365" s="4" t="str">
        <f ca="1">IFERROR(__xludf.DUMMYFUNCTION("""COMPUTED_VALUE"""),"भ्रमामि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॥नैषधीयचरितम्९.५१ ॥")</f>
        <v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॥नैषधीयचरितम्९.५१ ॥</v>
      </c>
      <c r="B3365" s="4" t="s">
        <v>12</v>
      </c>
      <c r="C3365" s="4"/>
    </row>
    <row r="3366" spans="1:3" ht="24" customHeight="1">
      <c r="A3366" s="4" t="str">
        <f ca="1">IFERROR(__xludf.DUMMYFUNCTION("""COMPUTED_VALUE"""),"मतः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॥नैषधीयचरितम्९.५२ ॥")</f>
        <v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॥नैषधीयचरितम्९.५२ ॥</v>
      </c>
      <c r="B3366" s="4" t="s">
        <v>12</v>
      </c>
      <c r="C3366" s="4"/>
    </row>
    <row r="3367" spans="1:3" ht="24" customHeight="1">
      <c r="A3367" s="4" t="str">
        <f ca="1">IFERROR(__xludf.DUMMYFUNCTION("""COMPUTED_VALUE"""),"प्रसीद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॥नैषधीयचरितम्९.५३ ॥")</f>
        <v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॥नैषधीयचरितम्९.५३ ॥</v>
      </c>
      <c r="B3367" s="4" t="s">
        <v>19</v>
      </c>
      <c r="C3367" s="4"/>
    </row>
    <row r="3368" spans="1:3" ht="24" customHeight="1">
      <c r="A3368" s="4" t="str">
        <f ca="1">IFERROR(__xludf.DUMMYFUNCTION("""COMPUTED_VALUE"""),"अबोधि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॥नैषधीयचरितम्९.५४ ॥")</f>
        <v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॥नैषधीयचरितम्९.५४ ॥</v>
      </c>
      <c r="B3368" s="4" t="s">
        <v>1</v>
      </c>
      <c r="C3368" s="4"/>
    </row>
    <row r="3369" spans="1:3" ht="24" customHeight="1">
      <c r="A3369" s="4" t="str">
        <f ca="1">IFERROR(__xludf.DUMMYFUNCTION("""COMPUTED_VALUE"""),"त्वयैकसत्या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॥नैषधीयचरितम्९.५५ ॥")</f>
        <v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॥नैषधीयचरितम्९.५५ ॥</v>
      </c>
      <c r="B3369" s="4" t="s">
        <v>2</v>
      </c>
      <c r="C3369" s="4"/>
    </row>
    <row r="3370" spans="1:3" ht="24" customHeight="1">
      <c r="A3370" s="4" t="str">
        <f ca="1">IFERROR(__xludf.DUMMYFUNCTION("""COMPUTED_VALUE"""),"स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॥नैषधीयचरितम्९.५६ ॥ ")</f>
        <v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॥नैषधीयचरितम्९.५६ ॥ </v>
      </c>
      <c r="B3370" s="4" t="s">
        <v>12</v>
      </c>
      <c r="C3370" s="4"/>
    </row>
    <row r="3371" spans="1:3" ht="24" customHeight="1">
      <c r="A3371" s="4" t="str">
        <f ca="1">IFERROR(__xludf.DUMMYFUNCTION("""COMPUTED_VALUE"""),"अजातविच्छेदलवैः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॥नैषधीयचरितम्९.५७ ॥")</f>
        <v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॥नैषधीयचरितम्९.५७ ॥</v>
      </c>
      <c r="B3371" s="4" t="s">
        <v>6</v>
      </c>
      <c r="C3371" s="4"/>
    </row>
    <row r="3372" spans="1:3" ht="24" customHeight="1">
      <c r="A3372" s="4" t="str">
        <f ca="1">IFERROR(__xludf.DUMMYFUNCTION("""COMPUTED_VALUE"""),"शिरीषमृद्वी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॥नैषधीयचरितम्९.५८ ॥")</f>
        <v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॥नैषधीयचरितम्९.५८ ॥</v>
      </c>
      <c r="B3372" s="4" t="s">
        <v>1</v>
      </c>
      <c r="C3372" s="4"/>
    </row>
    <row r="3373" spans="1:3" ht="24" customHeight="1">
      <c r="A3373" s="4" t="str">
        <f ca="1">IFERROR(__xludf.DUMMYFUNCTION("""COMPUTED_VALUE"""),"असेवि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॥नैषधीयचरितम्९.५९ ॥")</f>
        <v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॥नैषधीयचरितम्९.५९ ॥</v>
      </c>
      <c r="B3373" s="4" t="s">
        <v>10</v>
      </c>
      <c r="C3373" s="4"/>
    </row>
    <row r="3374" spans="1:3" ht="24" customHeight="1">
      <c r="A3374" s="4" t="str">
        <f ca="1">IFERROR(__xludf.DUMMYFUNCTION("""COMPUTED_VALUE"""),"इति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॥नैषधीयचरितम्९.६ ॥")</f>
        <v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॥नैषधीयचरितम्९.६ ॥</v>
      </c>
      <c r="B3374" s="4" t="s">
        <v>2</v>
      </c>
      <c r="C3374" s="4"/>
    </row>
    <row r="3375" spans="1:3" ht="24" customHeight="1">
      <c r="A3375" s="4" t="str">
        <f ca="1">IFERROR(__xludf.DUMMYFUNCTION("""COMPUTED_VALUE"""),"चिरादनध्यायमवाङ्मुखी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॥नैषधीयचरितम्९.६१ ॥")</f>
        <v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॥नैषधीयचरितम्९.६१ ॥</v>
      </c>
      <c r="B3375" s="4" t="s">
        <v>7</v>
      </c>
      <c r="C3375" s="4"/>
    </row>
    <row r="3376" spans="1:3" ht="24" customHeight="1">
      <c r="A3376" s="4" t="str">
        <f ca="1">IFERROR(__xludf.DUMMYFUNCTION("""COMPUTED_VALUE"""),"विभिन्दता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॥नैषधीयचरितम्९.६२ ॥")</f>
        <v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॥नैषधीयचरितम्९.६२ ॥</v>
      </c>
      <c r="B3376" s="4" t="s">
        <v>2</v>
      </c>
      <c r="C3376" s="4"/>
    </row>
    <row r="3377" spans="1:3" ht="24" customHeight="1">
      <c r="A3377" s="4" t="str">
        <f ca="1">IFERROR(__xludf.DUMMYFUNCTION("""COMPUTED_VALUE"""),"त्वदास्यनिर्यन्मदलीकदुर्यशोमषीमयं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॥नैषधीयचरितम्९.६३ ॥")</f>
        <v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॥नैषधीयचरितम्९.६३ ॥</v>
      </c>
      <c r="B3377" s="4" t="s">
        <v>3</v>
      </c>
      <c r="C3377" s="4"/>
    </row>
    <row r="3378" spans="1:3" ht="24" customHeight="1">
      <c r="A3378" s="4" t="str">
        <f ca="1">IFERROR(__xludf.DUMMYFUNCTION("""COMPUTED_VALUE"""),"तमालिरूचेऽथ विदर्भजेरिता प्रगाढमौनव्रतयैकया सखी । त्रपां समाराधयतीयमन्यया भवन्तमाह स्वरसज्ञया मया ॥नैषधीयचरितम्९.६४ ॥")</f>
        <v>तमालिरूचेऽथ विदर्भजेरिता प्रगाढमौनव्रतयैकया सखी । त्रपां समाराधयतीयमन्यया भवन्तमाह स्वरसज्ञया मया ॥नैषधीयचरितम्९.६४ ॥</v>
      </c>
      <c r="B3378" s="4" t="s">
        <v>5</v>
      </c>
      <c r="C3378" s="4"/>
    </row>
    <row r="3379" spans="1:3" ht="24" customHeight="1">
      <c r="A3379" s="4" t="str">
        <f ca="1">IFERROR(__xludf.DUMMYFUNCTION("""COMPUTED_VALUE"""),"तमर्चितुं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॥नैषधीयचरितम्९.६५ ॥")</f>
        <v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॥नैषधीयचरितम्९.६५ ॥</v>
      </c>
      <c r="B3379" s="4" t="s">
        <v>0</v>
      </c>
      <c r="C3379" s="4"/>
    </row>
    <row r="3380" spans="1:3" ht="24" customHeight="1">
      <c r="A3380" s="4" t="str">
        <f ca="1">IFERROR(__xludf.DUMMYFUNCTION("""COMPUTED_VALUE"""),"तदद्य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॥नैषधीयचरितम्९.६६ ॥")</f>
        <v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॥नैषधीयचरितम्९.६६ ॥</v>
      </c>
      <c r="B3380" s="4" t="s">
        <v>5</v>
      </c>
      <c r="C3380" s="4"/>
    </row>
    <row r="3381" spans="1:3" ht="24" customHeight="1">
      <c r="A3381" s="4" t="str">
        <f ca="1">IFERROR(__xludf.DUMMYFUNCTION("""COMPUTED_VALUE"""),"दृशोर्द्वयी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॥नैषधीयचरितम्९.६७ ॥")</f>
        <v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॥नैषधीयचरितम्९.६७ ॥</v>
      </c>
      <c r="B3381" s="4" t="s">
        <v>1</v>
      </c>
      <c r="C3381" s="4"/>
    </row>
    <row r="3382" spans="1:3" ht="24" customHeight="1">
      <c r="A3382" s="4" t="str">
        <f ca="1">IFERROR(__xludf.DUMMYFUNCTION("""COMPUTED_VALUE"""),"ममैव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॥नैषधीयचरितम्९.६८ ॥")</f>
        <v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॥नैषधीयचरितम्९.६८ ॥</v>
      </c>
      <c r="B3382" s="4" t="s">
        <v>2</v>
      </c>
      <c r="C3382" s="4"/>
    </row>
    <row r="3383" spans="1:3" ht="24" customHeight="1">
      <c r="A3383" s="4" t="str">
        <f ca="1">IFERROR(__xludf.DUMMYFUNCTION("""COMPUTED_VALUE"""),"दिगीश्वरार्थं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॥नैषधीयचरितम्९.६९ ॥")</f>
        <v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॥नैषधीयचरितम्९.६९ ॥</v>
      </c>
      <c r="B3383" s="4" t="s">
        <v>8</v>
      </c>
      <c r="C3383" s="4"/>
    </row>
    <row r="3384" spans="1:3" ht="24" customHeight="1">
      <c r="A3384" s="4" t="str">
        <f ca="1">IFERROR(__xludf.DUMMYFUNCTION("""COMPUTED_VALUE"""),"वृणे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॥नैषधीयचरितम्९.७ ॥")</f>
        <v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॥नैषधीयचरितम्९.७ ॥</v>
      </c>
      <c r="B3384" s="4" t="s">
        <v>5</v>
      </c>
      <c r="C3384" s="4"/>
    </row>
    <row r="3385" spans="1:3" ht="24" customHeight="1">
      <c r="A3385" s="4" t="str">
        <f ca="1">IFERROR(__xludf.DUMMYFUNCTION("""COMPUTED_VALUE"""),"न्यवेशि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॥नैषधीयचरितम्९.७१ ॥")</f>
        <v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॥नैषधीयचरितम्९.७१ ॥</v>
      </c>
      <c r="B3385" s="4" t="s">
        <v>10</v>
      </c>
      <c r="C3385" s="4"/>
    </row>
    <row r="3386" spans="1:3" ht="24" customHeight="1">
      <c r="A3386" s="4" t="str">
        <f ca="1">IFERROR(__xludf.DUMMYFUNCTION("""COMPUTED_VALUE"""),"निपीय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॥नैषधीयचरितम्९.७२ ॥ ")</f>
        <v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॥नैषधीयचरितम्९.७२ ॥ </v>
      </c>
      <c r="B3386" s="4" t="s">
        <v>5</v>
      </c>
      <c r="C3386" s="4"/>
    </row>
    <row r="3387" spans="1:3" ht="24" customHeight="1">
      <c r="A3387" s="4" t="str">
        <f ca="1">IFERROR(__xludf.DUMMYFUNCTION("""COMPUTED_VALUE"""),"स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॥नैषधीयचरितम्९.७३ ॥")</f>
        <v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॥नैषधीयचरितम्९.७३ ॥</v>
      </c>
      <c r="B3387" s="4" t="s">
        <v>1</v>
      </c>
      <c r="C3387" s="4"/>
    </row>
    <row r="3388" spans="1:3" ht="24" customHeight="1">
      <c r="A3388" s="4" t="str">
        <f ca="1">IFERROR(__xludf.DUMMYFUNCTION("""COMPUTED_VALUE"""),"दिवो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॥नैषधीयचरितम्९.७४ ॥")</f>
        <v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॥नैषधीयचरितम्९.७४ ॥</v>
      </c>
      <c r="B3388" s="4" t="s">
        <v>24</v>
      </c>
      <c r="C3388" s="4"/>
    </row>
    <row r="3389" spans="1:3" ht="24" customHeight="1">
      <c r="A3389" s="4" t="str">
        <f ca="1">IFERROR(__xludf.DUMMYFUNCTION("""COMPUTED_VALUE"""),"शिखी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॥नैषधीयचरितम्९.७५ ॥")</f>
        <v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॥नैषधीयचरितम्९.७५ ॥</v>
      </c>
      <c r="B3389" s="4" t="s">
        <v>19</v>
      </c>
      <c r="C3389" s="4"/>
    </row>
    <row r="3390" spans="1:3" ht="24" customHeight="1">
      <c r="A3390" s="4" t="str">
        <f ca="1">IFERROR(__xludf.DUMMYFUNCTION("""COMPUTED_VALUE"""),"सदा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॥नैषधीयचरितम्९.७६ ॥")</f>
        <v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॥नैषधीयचरितम्९.७६ ॥</v>
      </c>
      <c r="B3390" s="4" t="s">
        <v>2</v>
      </c>
      <c r="C3390" s="4"/>
    </row>
    <row r="3391" spans="1:3" ht="24" customHeight="1">
      <c r="A3391" s="4" t="str">
        <f ca="1">IFERROR(__xludf.DUMMYFUNCTION("""COMPUTED_VALUE"""),"क्रतोः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॥नैषधीयचरितम्९.७७ ॥")</f>
        <v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॥नैषधीयचरितम्९.७७ ॥</v>
      </c>
      <c r="B3391" s="4" t="s">
        <v>18</v>
      </c>
      <c r="C3391" s="4"/>
    </row>
    <row r="3392" spans="1:3" ht="24" customHeight="1">
      <c r="A3392" s="4" t="str">
        <f ca="1">IFERROR(__xludf.DUMMYFUNCTION("""COMPUTED_VALUE"""),"न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॥नैषधीयचरितम्९.७८ ॥")</f>
        <v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॥नैषधीयचरितम्९.७८ ॥</v>
      </c>
      <c r="B3392" s="4" t="s">
        <v>0</v>
      </c>
      <c r="C3392" s="4"/>
    </row>
    <row r="3393" spans="1:3" ht="24" customHeight="1">
      <c r="A3393" s="4" t="str">
        <f ca="1">IFERROR(__xludf.DUMMYFUNCTION("""COMPUTED_VALUE"""),"निजस्य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॥नैषधीयचरितम्९.७९ ॥")</f>
        <v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॥नैषधीयचरितम्९.७९ ॥</v>
      </c>
      <c r="B3393" s="4" t="s">
        <v>18</v>
      </c>
      <c r="C3393" s="4"/>
    </row>
    <row r="3394" spans="1:3" ht="24" customHeight="1">
      <c r="A3394" s="4" t="str">
        <f ca="1">IFERROR(__xludf.DUMMYFUNCTION("""COMPUTED_VALUE"""),"अपार्थयन्याजकफूत्कृतिश्रमं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॥नैषधीयचरितम्९.८ ॥")</f>
        <v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॥नैषधीयचरितम्९.८ ॥</v>
      </c>
      <c r="B3394" s="4" t="s">
        <v>19</v>
      </c>
      <c r="C3394" s="4"/>
    </row>
    <row r="3395" spans="1:3" ht="24" customHeight="1">
      <c r="A3395" s="4" t="str">
        <f ca="1">IFERROR(__xludf.DUMMYFUNCTION("""COMPUTED_VALUE"""),"पतिंवरायाः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॥नैषधीयचरितम्९.८१ ॥")</f>
        <v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॥नैषधीयचरितम्९.८१ ॥</v>
      </c>
      <c r="B3395" s="4" t="s">
        <v>9</v>
      </c>
      <c r="C3395" s="4"/>
    </row>
    <row r="3396" spans="1:3" ht="24" customHeight="1">
      <c r="A3396" s="4" t="str">
        <f ca="1">IFERROR(__xludf.DUMMYFUNCTION("""COMPUTED_VALUE"""),"अपः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॥नैषधीयचरितम्९.८२ ॥")</f>
        <v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॥नैषधीयचरितम्९.८२ ॥</v>
      </c>
      <c r="B3396" s="4" t="s">
        <v>2</v>
      </c>
      <c r="C3396" s="4"/>
    </row>
    <row r="3397" spans="1:3" ht="24" customHeight="1">
      <c r="A3397" s="4" t="str">
        <f ca="1">IFERROR(__xludf.DUMMYFUNCTION("""COMPUTED_VALUE"""),"इदं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॥नैषधीयचरितम्९.८३ ॥")</f>
        <v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॥नैषधीयचरितम्९.८३ ॥</v>
      </c>
      <c r="B3397" s="4" t="s">
        <v>0</v>
      </c>
      <c r="C3397" s="4"/>
    </row>
    <row r="3398" spans="1:3" ht="24" customHeight="1">
      <c r="A3398" s="4" t="str">
        <f ca="1">IFERROR(__xludf.DUMMYFUNCTION("""COMPUTED_VALUE"""),"इमा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॥नैषधीयचरितम्९.८४ ॥")</f>
        <v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॥नैषधीयचरितम्९.८४ ॥</v>
      </c>
      <c r="B3398" s="4" t="s">
        <v>8</v>
      </c>
      <c r="C3398" s="4"/>
    </row>
    <row r="3399" spans="1:3" ht="24" customHeight="1">
      <c r="A3399" s="4" t="str">
        <f ca="1">IFERROR(__xludf.DUMMYFUNCTION("""COMPUTED_VALUE"""),"स्फुटोत्पलाभ्यामलिदंपतीव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॥नैषधीयचरितम्९.८५ ॥")</f>
        <v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॥नैषधीयचरितम्९.८५ ॥</v>
      </c>
      <c r="B3399" s="4" t="s">
        <v>2</v>
      </c>
      <c r="C3399" s="4"/>
    </row>
    <row r="3400" spans="1:3" ht="24" customHeight="1">
      <c r="A3400" s="4" t="str">
        <f ca="1">IFERROR(__xludf.DUMMYFUNCTION("""COMPUTED_VALUE"""),"धुतापतत्पुष्पशिलीमुखाशुगैः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॥नैषधीयचरितम्९.८६ ॥")</f>
        <v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॥नैषधीयचरितम्९.८६ ॥</v>
      </c>
      <c r="B3400" s="4" t="s">
        <v>1</v>
      </c>
      <c r="C3400" s="4"/>
    </row>
    <row r="3401" spans="1:3" ht="24" customHeight="1">
      <c r="A3401" s="4" t="str">
        <f ca="1">IFERROR(__xludf.DUMMYFUNCTION("""COMPUTED_VALUE"""),"अथोद्भ्रमन्ती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॥नैषधीयचरितम्९.८७ ॥")</f>
        <v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॥नैषधीयचरितम्९.८७ ॥</v>
      </c>
      <c r="B3401" s="4" t="s">
        <v>18</v>
      </c>
      <c r="C3401" s="4"/>
    </row>
    <row r="3402" spans="1:3" ht="24" customHeight="1">
      <c r="A3402" s="4" t="str">
        <f ca="1">IFERROR(__xludf.DUMMYFUNCTION("""COMPUTED_VALUE"""),"त्वरस्व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॥नैषधीयचरितम्९.८८ ॥")</f>
        <v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॥नैषधीयचरितम्९.८८ ॥</v>
      </c>
      <c r="B3402" s="4" t="s">
        <v>11</v>
      </c>
      <c r="C3402" s="4"/>
    </row>
    <row r="3403" spans="1:3" ht="24" customHeight="1">
      <c r="A3403" s="4" t="str">
        <f ca="1">IFERROR(__xludf.DUMMYFUNCTION("""COMPUTED_VALUE"""),"भृशं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॥नैषधीयचरितम्९.८९ ॥")</f>
        <v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॥नैषधीयचरितम्९.८९ ॥</v>
      </c>
      <c r="B3403" s="4" t="s">
        <v>18</v>
      </c>
      <c r="C3403" s="4"/>
    </row>
    <row r="3404" spans="1:3" ht="24" customHeight="1">
      <c r="A3404" s="4" t="str">
        <f ca="1">IFERROR(__xludf.DUMMYFUNCTION("""COMPUTED_VALUE"""),"विलम्बसे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॥नैषधीयचरितम्९.९ ॥")</f>
        <v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॥नैषधीयचरितम्९.९ ॥</v>
      </c>
      <c r="B3404" s="4" t="s">
        <v>8</v>
      </c>
      <c r="C3404" s="4"/>
    </row>
    <row r="3405" spans="1:3" ht="24" customHeight="1">
      <c r="A3405" s="4" t="str">
        <f ca="1">IFERROR(__xludf.DUMMYFUNCTION("""COMPUTED_VALUE"""),"दृशौ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॥नैषधीयचरितम्९.९१ ॥")</f>
        <v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॥नैषधीयचरितम्९.९१ ॥</v>
      </c>
      <c r="B3405" s="4" t="s">
        <v>12</v>
      </c>
      <c r="C3405" s="4"/>
    </row>
    <row r="3406" spans="1:3" ht="24" customHeight="1">
      <c r="A3406" s="4" t="str">
        <f ca="1">IFERROR(__xludf.DUMMYFUNCTION("""COMPUTED_VALUE"""),"प्रियं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॥नैषधीयचरितम्९.९२ ॥")</f>
        <v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॥नैषधीयचरितम्९.९२ ॥</v>
      </c>
      <c r="B3406" s="4" t="s">
        <v>12</v>
      </c>
      <c r="C3406" s="4"/>
    </row>
    <row r="3407" spans="1:3" ht="24" customHeight="1">
      <c r="A3407" s="4" t="str">
        <f ca="1">IFERROR(__xludf.DUMMYFUNCTION("""COMPUTED_VALUE"""),"न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॥नैषधीयचरितम्९.९३ ॥")</f>
        <v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॥नैषधीयचरितम्९.९३ ॥</v>
      </c>
      <c r="B3407" s="4" t="s">
        <v>20</v>
      </c>
      <c r="C3407" s="4"/>
    </row>
    <row r="3408" spans="1:3" ht="24" customHeight="1">
      <c r="A3408" s="4" t="str">
        <f ca="1">IFERROR(__xludf.DUMMYFUNCTION("""COMPUTED_VALUE"""),"अमूनि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॥नैषधीयचरितम्९.९४ ॥")</f>
        <v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॥नैषधीयचरितम्९.९४ ॥</v>
      </c>
      <c r="B3408" s="4" t="s">
        <v>4</v>
      </c>
      <c r="C3408" s="4"/>
    </row>
    <row r="3409" spans="1:3" ht="24" customHeight="1">
      <c r="A3409" s="4" t="str">
        <f ca="1">IFERROR(__xludf.DUMMYFUNCTION("""COMPUTED_VALUE"""),"मदुग्रतापव्ययशक्तशीकरः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॥नैषधीयचरितम्९.९५ ॥")</f>
        <v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॥नैषधीयचरितम्९.९५ ॥</v>
      </c>
      <c r="B3409" s="4" t="s">
        <v>4</v>
      </c>
      <c r="C3409" s="4"/>
    </row>
    <row r="3410" spans="1:3" ht="24" customHeight="1">
      <c r="A3410" s="4" t="str">
        <f ca="1">IFERROR(__xludf.DUMMYFUNCTION("""COMPUTED_VALUE"""),"ममैव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॥नैषधीयचरितम्९.९६ ॥")</f>
        <v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॥नैषधीयचरितम्९.९६ ॥</v>
      </c>
      <c r="B3410" s="4" t="s">
        <v>0</v>
      </c>
      <c r="C3410" s="4"/>
    </row>
    <row r="3411" spans="1:3" ht="24" customHeight="1">
      <c r="A3411" s="4" t="str">
        <f ca="1">IFERROR(__xludf.DUMMYFUNCTION("""COMPUTED_VALUE"""),"इयं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॥नैषधीयचरितम्९.९७ ॥")</f>
        <v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॥नैषधीयचरितम्९.९७ ॥</v>
      </c>
      <c r="B3411" s="4" t="s">
        <v>5</v>
      </c>
      <c r="C3411" s="4"/>
    </row>
    <row r="3412" spans="1:3" ht="24" customHeight="1">
      <c r="A3412" s="4" t="str">
        <f ca="1">IFERROR(__xludf.DUMMYFUNCTION("""COMPUTED_VALUE"""),"ममापि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॥नैषधीयचरितम्९.९८ ॥")</f>
        <v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॥नैषधीयचरितम्९.९८ ॥</v>
      </c>
      <c r="B3412" s="4" t="s">
        <v>10</v>
      </c>
      <c r="C3412" s="4"/>
    </row>
    <row r="3413" spans="1:3" ht="24" customHeight="1">
      <c r="A3413" s="4" t="str">
        <f ca="1">IFERROR(__xludf.DUMMYFUNCTION("""COMPUTED_VALUE"""),"कथावशेषं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॥नैषधीयचरितम्९.९९ ॥")</f>
        <v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॥नैषधीयचरितम्९.९९ ॥</v>
      </c>
      <c r="B3413" s="4" t="s">
        <v>1</v>
      </c>
      <c r="C3413" s="4"/>
    </row>
    <row r="3414" spans="1:3" ht="24" customHeight="1">
      <c r="A3414" s="4" t="str">
        <f ca="1">IFERROR(__xludf.DUMMYFUNCTION("""COMPUTED_VALUE"""),"ममादरीदं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॥नैषधीयचरितम्९.१ ॥")</f>
        <v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॥नैषधीयचरितम्९.१ ॥</v>
      </c>
      <c r="B3414" s="4" t="s">
        <v>12</v>
      </c>
      <c r="C3414" s="4"/>
    </row>
    <row r="3415" spans="1:3" ht="24" customHeight="1">
      <c r="A3415" s="4" t="str">
        <f ca="1">IFERROR(__xludf.DUMMYFUNCTION("""COMPUTED_VALUE"""),"इति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॥नैषधीयचरितम्९.१०१ ॥")</f>
        <v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॥नैषधीयचरितम्९.१०१ ॥</v>
      </c>
      <c r="B3415" s="4" t="s">
        <v>1</v>
      </c>
      <c r="C3415" s="4"/>
    </row>
    <row r="3416" spans="1:3" ht="24" customHeight="1">
      <c r="A3416" s="4" t="str">
        <f ca="1">IFERROR(__xludf.DUMMYFUNCTION("""COMPUTED_VALUE"""),"महेन्द्रदूत्यादि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॥नैषधीयचरितम्९.१०२ ॥")</f>
        <v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॥नैषधीयचरितम्९.१०२ ॥</v>
      </c>
      <c r="B3416" s="4" t="s">
        <v>9</v>
      </c>
      <c r="C3416" s="4"/>
    </row>
    <row r="3417" spans="1:3" ht="24" customHeight="1">
      <c r="A3417" s="4" t="str">
        <f ca="1">IFERROR(__xludf.DUMMYFUNCTION("""COMPUTED_VALUE"""),"अयि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॥नैषधीयचरितम्९.१०३ ॥")</f>
        <v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॥नैषधीयचरितम्९.१०३ ॥</v>
      </c>
      <c r="B3417" s="4" t="s">
        <v>11</v>
      </c>
      <c r="C3417" s="4"/>
    </row>
    <row r="3418" spans="1:3" ht="24" customHeight="1">
      <c r="A3418" s="4" t="str">
        <f ca="1">IFERROR(__xludf.DUMMYFUNCTION("""COMPUTED_VALUE"""),"चकास्ति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॥नैषधीयचरितम्९.१०४ ॥")</f>
        <v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॥नैषधीयचरितम्९.१०४ ॥</v>
      </c>
      <c r="B3418" s="4" t="s">
        <v>2</v>
      </c>
      <c r="C3418" s="4"/>
    </row>
    <row r="3419" spans="1:3" ht="24" customHeight="1">
      <c r="A3419" s="4" t="str">
        <f ca="1">IFERROR(__xludf.DUMMYFUNCTION("""COMPUTED_VALUE"""),"अपास्तपाथोरुहि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॥नैषधीयचरितम्९.१०५ ॥")</f>
        <v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॥नैषधीयचरितम्९.१०५ ॥</v>
      </c>
      <c r="B3419" s="4" t="s">
        <v>17</v>
      </c>
      <c r="C3419" s="4"/>
    </row>
    <row r="3420" spans="1:3" ht="24" customHeight="1">
      <c r="A3420" s="4" t="str">
        <f ca="1">IFERROR(__xludf.DUMMYFUNCTION("""COMPUTED_VALUE"""),"दृशोरमङ्गल्यमिदं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॥नैषधीयचरितम्९.१०६ ॥")</f>
        <v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॥नैषधीयचरितम्९.१०६ ॥</v>
      </c>
      <c r="B3420" s="4" t="s">
        <v>1</v>
      </c>
      <c r="C3420" s="4"/>
    </row>
    <row r="3421" spans="1:3" ht="24" customHeight="1">
      <c r="A3421" s="4" t="str">
        <f ca="1">IFERROR(__xludf.DUMMYFUNCTION("""COMPUTED_VALUE"""),"मम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॥नैषधीयचरितम्९.१०७ ॥")</f>
        <v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॥नैषधीयचरितम्९.१०७ ॥</v>
      </c>
      <c r="B3421" s="4" t="s">
        <v>13</v>
      </c>
      <c r="C3421" s="4"/>
    </row>
    <row r="3422" spans="1:3" ht="24" customHeight="1">
      <c r="A3422" s="4" t="str">
        <f ca="1">IFERROR(__xludf.DUMMYFUNCTION("""COMPUTED_VALUE"""),"तनोषि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॥नैषधीयचरितम्९.१०८ ॥")</f>
        <v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॥नैषधीयचरितम्९.१०८ ॥</v>
      </c>
      <c r="B3422" s="4" t="s">
        <v>20</v>
      </c>
      <c r="C3422" s="4"/>
    </row>
    <row r="3423" spans="1:3" ht="24" customHeight="1">
      <c r="A3423" s="4" t="str">
        <f ca="1">IFERROR(__xludf.DUMMYFUNCTION("""COMPUTED_VALUE"""),"प्रभुत्वभूम्नानुगृहाण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॥नैषधीयचरितम्९.१०९ ॥")</f>
        <v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॥नैषधीयचरितम्९.१०९ ॥</v>
      </c>
      <c r="B3423" s="4" t="s">
        <v>2</v>
      </c>
      <c r="C3423" s="4"/>
    </row>
    <row r="3424" spans="1:3" ht="24" customHeight="1">
      <c r="A3424" s="4" t="str">
        <f ca="1">IFERROR(__xludf.DUMMYFUNCTION("""COMPUTED_VALUE"""),"स्मरेषुमाथं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॥नैषधीयचरितम्९.११ ॥")</f>
        <v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॥नैषधीयचरितम्९.११ ॥</v>
      </c>
      <c r="B3424" s="4" t="s">
        <v>2</v>
      </c>
      <c r="C3424" s="4"/>
    </row>
    <row r="3425" spans="1:3" ht="24" customHeight="1">
      <c r="A3425" s="4" t="str">
        <f ca="1">IFERROR(__xludf.DUMMYFUNCTION("""COMPUTED_VALUE"""),"स्मितस्य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॥नैषधीयचरितम्९.१११ ॥")</f>
        <v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॥नैषधीयचरितम्९.१११ ॥</v>
      </c>
      <c r="B3425" s="4" t="s">
        <v>0</v>
      </c>
      <c r="C3425" s="4"/>
    </row>
    <row r="3426" spans="1:3" ht="24" customHeight="1">
      <c r="A3426" s="4" t="str">
        <f ca="1">IFERROR(__xludf.DUMMYFUNCTION("""COMPUTED_VALUE"""),"समापय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॥नैषधीयचरितम्९.११२ ॥")</f>
        <v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॥नैषधीयचरितम्९.११२ ॥</v>
      </c>
      <c r="B3426" s="4" t="s">
        <v>14</v>
      </c>
      <c r="C3426" s="4"/>
    </row>
    <row r="3427" spans="1:3" ht="24" customHeight="1">
      <c r="A3427" s="4" t="str">
        <f ca="1">IFERROR(__xludf.DUMMYFUNCTION("""COMPUTED_VALUE"""),"सुधारसोद्वेलनकेलिमक्षरस्रजा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॥नैषधीयचरितम्९.११३ ॥")</f>
        <v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॥नैषधीयचरितम्९.११३ ॥</v>
      </c>
      <c r="B3427" s="4" t="s">
        <v>20</v>
      </c>
      <c r="C3427" s="4"/>
    </row>
    <row r="3428" spans="1:3" ht="24" customHeight="1">
      <c r="A3428" s="4" t="str">
        <f ca="1">IFERROR(__xludf.DUMMYFUNCTION("""COMPUTED_VALUE"""),"ममासनार्धे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॥नैषधीयचरितम्९.११४ ॥")</f>
        <v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॥नैषधीयचरितम्९.११४ ॥</v>
      </c>
      <c r="B3428" s="4" t="s">
        <v>1</v>
      </c>
      <c r="C3428" s="4"/>
    </row>
    <row r="3429" spans="1:3" ht="24" customHeight="1">
      <c r="A3429" s="4" t="str">
        <f ca="1">IFERROR(__xludf.DUMMYFUNCTION("""COMPUTED_VALUE"""),"अधीतपञ्चाशुगबाणवञ्चने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॥नैषधीयचरितम्९.११५ ॥")</f>
        <v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॥नैषधीयचरितम्९.११५ ॥</v>
      </c>
      <c r="B3429" s="4" t="s">
        <v>12</v>
      </c>
      <c r="C3429" s="4"/>
    </row>
    <row r="3430" spans="1:3" ht="24" customHeight="1">
      <c r="A3430" s="4" t="str">
        <f ca="1">IFERROR(__xludf.DUMMYFUNCTION("""COMPUTED_VALUE"""),"परिष्वजस्वानवकाशबाणता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॥नैषधीयचरितम्९.११६ ॥")</f>
        <v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॥नैषधीयचरितम्९.११६ ॥</v>
      </c>
      <c r="B3430" s="4" t="s">
        <v>2</v>
      </c>
      <c r="C3430" s="4"/>
    </row>
    <row r="3431" spans="1:3" ht="24" customHeight="1">
      <c r="A3431" s="4" t="str">
        <f ca="1">IFERROR(__xludf.DUMMYFUNCTION("""COMPUTED_VALUE"""),"तवाधराय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॥नैषधीयचरितम्९.११७ ॥")</f>
        <v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॥नैषधीयचरितम्९.११७ ॥</v>
      </c>
      <c r="B3431" s="4" t="s">
        <v>14</v>
      </c>
      <c r="C3431" s="4"/>
    </row>
    <row r="3432" spans="1:3" ht="24" customHeight="1">
      <c r="A3432" s="4" t="str">
        <f ca="1">IFERROR(__xludf.DUMMYFUNCTION("""COMPUTED_VALUE"""),"न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॥नैषधीयचरितम्९.११८ ॥")</f>
        <v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॥नैषधीयचरितम्९.११८ ॥</v>
      </c>
      <c r="B3432" s="4" t="s">
        <v>19</v>
      </c>
      <c r="C3432" s="4"/>
    </row>
    <row r="3433" spans="1:3" ht="24" customHeight="1">
      <c r="A3433" s="4" t="str">
        <f ca="1">IFERROR(__xludf.DUMMYFUNCTION("""COMPUTED_VALUE"""),"शुभाष्टवर्गस्त्वदनङ्गजन्मनस्तवाधरेऽलिख्यत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॥नैषधीयचरितम्९.११९ ॥")</f>
        <v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॥नैषधीयचरितम्९.११९ ॥</v>
      </c>
      <c r="B3433" s="4" t="s">
        <v>11</v>
      </c>
      <c r="C3433" s="4"/>
    </row>
    <row r="3434" spans="1:3" ht="24" customHeight="1">
      <c r="A3434" s="4" t="str">
        <f ca="1">IFERROR(__xludf.DUMMYFUNCTION("""COMPUTED_VALUE"""),"गिरानुकम्पस्व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॥नैषधीयचरितम्९.१२ ॥")</f>
        <v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॥नैषधीयचरितम्९.१२ ॥</v>
      </c>
      <c r="B3434" s="4" t="s">
        <v>2</v>
      </c>
      <c r="C3434" s="4"/>
    </row>
    <row r="3435" spans="1:3" ht="24" customHeight="1">
      <c r="A3435" s="4" t="str">
        <f ca="1">IFERROR(__xludf.DUMMYFUNCTION("""COMPUTED_VALUE"""),"मुनिर्यथात्मानमथ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॥नैषधीयचरितम्९.१२१ ॥")</f>
        <v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॥नैषधीयचरितम्९.१२१ ॥</v>
      </c>
      <c r="B3435" s="4" t="s">
        <v>0</v>
      </c>
      <c r="C3435" s="4"/>
    </row>
    <row r="3436" spans="1:3" ht="24" customHeight="1">
      <c r="A3436" s="4" t="str">
        <f ca="1">IFERROR(__xludf.DUMMYFUNCTION("""COMPUTED_VALUE"""),"अये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॥नैषधीयचरितम्९.१२२ ॥")</f>
        <v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॥नैषधीयचरितम्९.१२२ ॥</v>
      </c>
      <c r="B3436" s="4" t="s">
        <v>9</v>
      </c>
      <c r="C3436" s="4"/>
    </row>
    <row r="3437" spans="1:3" ht="24" customHeight="1">
      <c r="A3437" s="4" t="str">
        <f ca="1">IFERROR(__xludf.DUMMYFUNCTION("""COMPUTED_VALUE"""),"स्वनाम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॥नैषधीयचरितम्९.१२३ ॥")</f>
        <v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॥नैषधीयचरितम्९.१२३ ॥</v>
      </c>
      <c r="B3437" s="4" t="s">
        <v>2</v>
      </c>
      <c r="C3437" s="4"/>
    </row>
    <row r="3438" spans="1:3" ht="24" customHeight="1">
      <c r="A3438" s="4" t="str">
        <f ca="1">IFERROR(__xludf.DUMMYFUNCTION("""COMPUTED_VALUE"""),"धियात्मनस्तावदचारु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॥नैषधीयचरितम्९.१२४ ॥")</f>
        <v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॥नैषधीयचरितम्९.१२४ ॥</v>
      </c>
      <c r="B3438" s="4" t="s">
        <v>17</v>
      </c>
      <c r="C3438" s="4"/>
    </row>
    <row r="3439" spans="1:3" ht="24" customHeight="1">
      <c r="A3439" s="4" t="str">
        <f ca="1">IFERROR(__xludf.DUMMYFUNCTION("""COMPUTED_VALUE"""),"स्फुटत्यदः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॥नैषधीयचरितम्९.१२५ ॥")</f>
        <v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॥नैषधीयचरितम्९.१२५ ॥</v>
      </c>
      <c r="B3439" s="4" t="s">
        <v>2</v>
      </c>
      <c r="C3439" s="4"/>
    </row>
    <row r="3440" spans="1:3" ht="24" customHeight="1">
      <c r="A3440" s="4" t="str">
        <f ca="1">IFERROR(__xludf.DUMMYFUNCTION("""COMPUTED_VALUE"""),"मम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॥नैषधीयचरितम्९.१२६ ॥")</f>
        <v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॥नैषधीयचरितम्९.१२६ ॥</v>
      </c>
      <c r="B3440" s="4" t="s">
        <v>0</v>
      </c>
      <c r="C3440" s="4"/>
    </row>
    <row r="3441" spans="1:3" ht="24" customHeight="1">
      <c r="A3441" s="4" t="str">
        <f ca="1">IFERROR(__xludf.DUMMYFUNCTION("""COMPUTED_VALUE"""),"इति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॥नैषधीयचरितम्९.१२७ ॥")</f>
        <v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॥नैषधीयचरितम्९.१२७ ॥</v>
      </c>
      <c r="B3441" s="4" t="s">
        <v>0</v>
      </c>
      <c r="C3441" s="4"/>
    </row>
    <row r="3442" spans="1:3" ht="24" customHeight="1">
      <c r="A3442" s="4" t="str">
        <f ca="1">IFERROR(__xludf.DUMMYFUNCTION("""COMPUTED_VALUE"""),"नलं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॥नैषधीयचरितम्९.१२८ ॥")</f>
        <v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॥नैषधीयचरितम्९.१२८ ॥</v>
      </c>
      <c r="B3442" s="4" t="s">
        <v>0</v>
      </c>
      <c r="C3442" s="4"/>
    </row>
    <row r="3443" spans="1:3" ht="24" customHeight="1">
      <c r="A3443" s="4" t="str">
        <f ca="1">IFERROR(__xludf.DUMMYFUNCTION("""COMPUTED_VALUE"""),"सुरेषु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॥नैषधीयचरितम्९.१२९ ॥")</f>
        <v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॥नैषधीयचरितम्९.१२९ ॥</v>
      </c>
      <c r="B3443" s="4" t="s">
        <v>19</v>
      </c>
      <c r="C3443" s="4"/>
    </row>
    <row r="3444" spans="1:3" ht="24" customHeight="1">
      <c r="A3444" s="4" t="str">
        <f ca="1">IFERROR(__xludf.DUMMYFUNCTION("""COMPUTED_VALUE"""),"इतीरिणापृच्छ्य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॥नैषधीयचरितम्९.१३ ॥")</f>
        <v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॥नैषधीयचरितम्९.१३ ॥</v>
      </c>
      <c r="B3444" s="4" t="s">
        <v>9</v>
      </c>
      <c r="C3444" s="4"/>
    </row>
    <row r="3445" spans="1:3" ht="24" customHeight="1">
      <c r="A3445" s="4" t="str">
        <f ca="1">IFERROR(__xludf.DUMMYFUNCTION("""COMPUTED_VALUE"""),"ददेऽपि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॥नैषधीयचरितम्९.१३१ ॥")</f>
        <v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॥नैषधीयचरितम्९.१३१ ॥</v>
      </c>
      <c r="B3445" s="4" t="s">
        <v>18</v>
      </c>
      <c r="C3445" s="4"/>
    </row>
    <row r="3446" spans="1:3" ht="24" customHeight="1">
      <c r="A3446" s="4" t="str">
        <f ca="1">IFERROR(__xludf.DUMMYFUNCTION("""COMPUTED_VALUE"""),"अयोगजामन्वभवं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॥नैषधीयचरितम्९.१३२ ॥")</f>
        <v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॥नैषधीयचरितम्९.१३२ ॥</v>
      </c>
      <c r="B3446" s="4" t="s">
        <v>18</v>
      </c>
      <c r="C3446" s="4"/>
    </row>
    <row r="3447" spans="1:3" ht="24" customHeight="1">
      <c r="A3447" s="4" t="str">
        <f ca="1">IFERROR(__xludf.DUMMYFUNCTION("""COMPUTED_VALUE"""),"तवेत्ययोगस्मरपावकोऽपि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॥नैषधीयचरितम्९.१३३ ॥")</f>
        <v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॥नैषधीयचरितम्९.१३३ ॥</v>
      </c>
      <c r="B3447" s="4" t="s">
        <v>18</v>
      </c>
      <c r="C3447" s="4"/>
    </row>
    <row r="3448" spans="1:3" ht="24" customHeight="1">
      <c r="A3448" s="4" t="str">
        <f ca="1">IFERROR(__xludf.DUMMYFUNCTION("""COMPUTED_VALUE"""),"अमी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॥नैषधीयचरितम्९.१३४ ॥")</f>
        <v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॥नैषधीयचरितम्९.१३४ ॥</v>
      </c>
      <c r="B3448" s="4" t="s">
        <v>24</v>
      </c>
      <c r="C3448" s="4"/>
    </row>
    <row r="3449" spans="1:3" ht="24" customHeight="1">
      <c r="A3449" s="4" t="str">
        <f ca="1">IFERROR(__xludf.DUMMYFUNCTION("""COMPUTED_VALUE"""),"उदासितेनैव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॥नैषधीयचरितम्९.१३५ ॥")</f>
        <v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॥नैषधीयचरितम्९.१३५ ॥</v>
      </c>
      <c r="B3449" s="4" t="s">
        <v>5</v>
      </c>
      <c r="C3449" s="4"/>
    </row>
    <row r="3450" spans="1:3" ht="24" customHeight="1">
      <c r="A3450" s="4" t="str">
        <f ca="1">IFERROR(__xludf.DUMMYFUNCTION("""COMPUTED_VALUE"""),"इतीरितैर्नैषधसूनृतामृतैर्विदर्भजन्मा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॥नैषधीयचरितम्९.१३६ ॥")</f>
        <v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॥नैषधीयचरितम्९.१३६ ॥</v>
      </c>
      <c r="B3450" s="4" t="s">
        <v>10</v>
      </c>
      <c r="C3450" s="4"/>
    </row>
    <row r="3451" spans="1:3" ht="24" customHeight="1">
      <c r="A3451" s="4" t="str">
        <f ca="1">IFERROR(__xludf.DUMMYFUNCTION("""COMPUTED_VALUE"""),"नलं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॥नैषधीयचरितम्९.१३७ ॥")</f>
        <v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॥नैषधीयचरितम्९.१३७ ॥</v>
      </c>
      <c r="B3451" s="4" t="s">
        <v>18</v>
      </c>
      <c r="C3451" s="4"/>
    </row>
    <row r="3452" spans="1:3" ht="24" customHeight="1">
      <c r="A3452" s="4" t="str">
        <f ca="1">IFERROR(__xludf.DUMMYFUNCTION("""COMPUTED_VALUE"""),"मनोभुवस्ते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॥नैषधीयचरितम्९.१३८ ॥")</f>
        <v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॥नैषधीयचरितम्९.१३८ ॥</v>
      </c>
      <c r="B3452" s="4" t="s">
        <v>5</v>
      </c>
      <c r="C3452" s="4"/>
    </row>
    <row r="3453" spans="1:3" ht="24" customHeight="1">
      <c r="A3453" s="4" t="str">
        <f ca="1">IFERROR(__xludf.DUMMYFUNCTION("""COMPUTED_VALUE"""),"प्रसूनमित्येव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॥नैषधीयचरितम्९.१३९ ॥")</f>
        <v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॥नैषधीयचरितम्९.१३९ ॥</v>
      </c>
      <c r="B3453" s="4" t="s">
        <v>2</v>
      </c>
      <c r="C3453" s="4"/>
    </row>
    <row r="3454" spans="1:3" ht="24" customHeight="1">
      <c r="A3454" s="4" t="str">
        <f ca="1">IFERROR(__xludf.DUMMYFUNCTION("""COMPUTED_VALUE"""),"मयैव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॥नैषधीयचरितम्९.१४ ॥")</f>
        <v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॥नैषधीयचरितम्९.१४ ॥</v>
      </c>
      <c r="B3454" s="4" t="s">
        <v>12</v>
      </c>
      <c r="C3454" s="4"/>
    </row>
    <row r="3455" spans="1:3" ht="24" customHeight="1">
      <c r="A3455" s="4" t="str">
        <f ca="1">IFERROR(__xludf.DUMMYFUNCTION("""COMPUTED_VALUE"""),"विदर्भराजप्रभवा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॥नैषधीयचरितम्९.१४१ ॥")</f>
        <v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॥नैषधीयचरितम्९.१४१ ॥</v>
      </c>
      <c r="B3455" s="4" t="s">
        <v>5</v>
      </c>
      <c r="C3455" s="4"/>
    </row>
    <row r="3456" spans="1:3" ht="24" customHeight="1">
      <c r="A3456" s="4" t="str">
        <f ca="1">IFERROR(__xludf.DUMMYFUNCTION("""COMPUTED_VALUE"""),"यदापवार्यापि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॥नैषधीयचरितम्९.१४२ ॥")</f>
        <v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॥नैषधीयचरितम्९.१४२ ॥</v>
      </c>
      <c r="B3456" s="4" t="s">
        <v>5</v>
      </c>
      <c r="C3456" s="4"/>
    </row>
    <row r="3457" spans="1:3" ht="24" customHeight="1">
      <c r="A3457" s="4" t="str">
        <f ca="1">IFERROR(__xludf.DUMMYFUNCTION("""COMPUTED_VALUE"""),"पदातिथेयांल्लिखितस्य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॥नैषधीयचरितम्९.१४३ ॥")</f>
        <v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॥नैषधीयचरितम्९.१४३ ॥</v>
      </c>
      <c r="B3457" s="4" t="s">
        <v>2</v>
      </c>
      <c r="C3457" s="4"/>
    </row>
    <row r="3458" spans="1:3" ht="24" customHeight="1">
      <c r="A3458" s="4" t="str">
        <f ca="1">IFERROR(__xludf.DUMMYFUNCTION("""COMPUTED_VALUE"""),"असंशयं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॥नैषधीयचरितम्९.१४४ ॥")</f>
        <v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॥नैषधीयचरितम्९.१४४ ॥</v>
      </c>
      <c r="B3458" s="4" t="s">
        <v>8</v>
      </c>
      <c r="C3458" s="4"/>
    </row>
    <row r="3459" spans="1:3" ht="24" customHeight="1">
      <c r="A3459" s="4" t="str">
        <f ca="1">IFERROR(__xludf.DUMMYFUNCTION("""COMPUTED_VALUE"""),"जितस्तवास्येन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॥नैषधीयचरितम्९.१४५ ॥")</f>
        <v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॥नैषधीयचरितम्९.१४५ ॥</v>
      </c>
      <c r="B3459" s="4" t="s">
        <v>0</v>
      </c>
      <c r="C3459" s="4"/>
    </row>
    <row r="3460" spans="1:3" ht="24" customHeight="1">
      <c r="A3460" s="4" t="str">
        <f ca="1">IFERROR(__xludf.DUMMYFUNCTION("""COMPUTED_VALUE"""),"निजांशुनिर्दग्धमदङ्गभस्मभिर्मुधा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॥नैषधीयचरितम्९.१४६ ॥")</f>
        <v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॥नैषधीयचरितम्९.१४६ ॥</v>
      </c>
      <c r="B3460" s="4" t="s">
        <v>2</v>
      </c>
      <c r="C3460" s="4"/>
    </row>
    <row r="3461" spans="1:3" ht="24" customHeight="1">
      <c r="A3461" s="4" t="str">
        <f ca="1">IFERROR(__xludf.DUMMYFUNCTION("""COMPUTED_VALUE"""),"प्रसीद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॥नैषधीयचरितम्९.१४७ ॥")</f>
        <v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॥नैषधीयचरितम्९.१४७ ॥</v>
      </c>
      <c r="B3461" s="4" t="s">
        <v>2</v>
      </c>
      <c r="C3461" s="4"/>
    </row>
    <row r="3462" spans="1:3" ht="24" customHeight="1">
      <c r="A3462" s="4" t="str">
        <f ca="1">IFERROR(__xludf.DUMMYFUNCTION("""COMPUTED_VALUE"""),"श्रुतिः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॥नैषधीयचरितम्९.१४८ ॥")</f>
        <v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॥नैषधीयचरितम्९.१४८ ॥</v>
      </c>
      <c r="B3462" s="4" t="s">
        <v>2</v>
      </c>
      <c r="C3462" s="4"/>
    </row>
    <row r="3463" spans="1:3" ht="24" customHeight="1">
      <c r="A3463" s="4" t="str">
        <f ca="1">IFERROR(__xludf.DUMMYFUNCTION("""COMPUTED_VALUE"""),"कथासु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॥नैषधीयचरितम्९.१४९ ॥")</f>
        <v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॥नैषधीयचरितम्९.१४९ ॥</v>
      </c>
      <c r="B3463" s="4" t="s">
        <v>19</v>
      </c>
      <c r="C3463" s="4"/>
    </row>
    <row r="3464" spans="1:3" ht="24" customHeight="1">
      <c r="A3464" s="4" t="str">
        <f ca="1">IFERROR(__xludf.DUMMYFUNCTION("""COMPUTED_VALUE"""),"महेन्द्रहेतेरपि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॥नैषधीयचरितम्९.१५ ॥")</f>
        <v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॥नैषधीयचरितम्९.१५ ॥</v>
      </c>
      <c r="B3464" s="4" t="s">
        <v>4</v>
      </c>
      <c r="C3464" s="4"/>
    </row>
    <row r="3465" spans="1:3" ht="24" customHeight="1">
      <c r="A3465" s="4" t="str">
        <f ca="1">IFERROR(__xludf.DUMMYFUNCTION("""COMPUTED_VALUE"""),"तवास्मि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॥नैषधीयचरितम्९.१५१ ॥")</f>
        <v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॥नैषधीयचरितम्९.१५१ ॥</v>
      </c>
      <c r="B3465" s="4" t="s">
        <v>18</v>
      </c>
      <c r="C3465" s="4"/>
    </row>
    <row r="3466" spans="1:3" ht="24" customHeight="1">
      <c r="A3466" s="4" t="str">
        <f ca="1">IFERROR(__xludf.DUMMYFUNCTION("""COMPUTED_VALUE"""),"लघौ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॥नैषधीयचरितम्९.१५२ ॥")</f>
        <v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॥नैषधीयचरितम्९.१५२ ॥</v>
      </c>
      <c r="B3466" s="4" t="s">
        <v>11</v>
      </c>
      <c r="C3466" s="4"/>
    </row>
    <row r="3467" spans="1:3" ht="24" customHeight="1">
      <c r="A3467" s="4" t="str">
        <f ca="1">IFERROR(__xludf.DUMMYFUNCTION("""COMPUTED_VALUE"""),"सुरापराधस्तव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॥नैषधीयचरितम्९.१५३ ॥")</f>
        <v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॥नैषधीयचरितम्९.१५३ ॥</v>
      </c>
      <c r="B3467" s="4" t="s">
        <v>2</v>
      </c>
      <c r="C3467" s="4"/>
    </row>
    <row r="3468" spans="1:3" ht="24" customHeight="1">
      <c r="A3468" s="4" t="str">
        <f ca="1">IFERROR(__xludf.DUMMYFUNCTION("""COMPUTED_VALUE"""),"व्रजन्तु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॥नैषधीयचरितम्९.१५४ ॥")</f>
        <v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॥नैषधीयचरितम्९.१५४ ॥</v>
      </c>
      <c r="B3468" s="4" t="s">
        <v>4</v>
      </c>
      <c r="C3468" s="4"/>
    </row>
    <row r="3469" spans="1:3" ht="24" customHeight="1">
      <c r="A3469" s="4" t="str">
        <f ca="1">IFERROR(__xludf.DUMMYFUNCTION("""COMPUTED_VALUE"""),"इतीयमालेख्यगतेऽपि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॥नैषधीयचरितम्९.१५५ ॥")</f>
        <v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॥नैषधीयचरितम्९.१५५ ॥</v>
      </c>
      <c r="B3469" s="4" t="s">
        <v>7</v>
      </c>
      <c r="C3469" s="4"/>
    </row>
    <row r="3470" spans="1:3" ht="24" customHeight="1">
      <c r="A3470" s="4" t="str">
        <f ca="1">IFERROR(__xludf.DUMMYFUNCTION("""COMPUTED_VALUE"""),"चण्डालस्ते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॥नैषधीयचरितम्९.१५६ ॥")</f>
        <v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॥नैषधीयचरितम्९.१५६ ॥</v>
      </c>
      <c r="B3470" s="4" t="s">
        <v>2</v>
      </c>
      <c r="C3470" s="4"/>
    </row>
    <row r="3471" spans="1:3" ht="24" customHeight="1">
      <c r="A3471" s="4" t="str">
        <f ca="1">IFERROR(__xludf.DUMMYFUNCTION("""COMPUTED_VALUE"""),"अथ भीमभुवैव रहोऽभिहितां नतमौलिरपत्रपया स निजाम् । अमरैः सह राजसमाजगतिं जगतीपतिरभ्युपगत्य ययौ ॥नैषधीयचरितम्९.१५७ ॥")</f>
        <v>अथ भीमभुवैव रहोऽभिहितां नतमौलिरपत्रपया स निजाम् । अमरैः सह राजसमाजगतिं जगतीपतिरभ्युपगत्य ययौ ॥नैषधीयचरितम्९.१५७ ॥</v>
      </c>
      <c r="B3471" s="4" t="s">
        <v>5</v>
      </c>
      <c r="C3471" s="4"/>
    </row>
    <row r="3472" spans="1:3" ht="24" customHeight="1">
      <c r="A3472" s="4" t="str">
        <f ca="1">IFERROR(__xludf.DUMMYFUNCTION("""COMPUTED_VALUE"""),"श्वस्तस्याः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॥नैषधीयचरितम्९.१५८ ॥")</f>
        <v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॥नैषधीयचरितम्९.१५८ ॥</v>
      </c>
      <c r="B3472" s="4" t="s">
        <v>2</v>
      </c>
      <c r="C3472" s="4"/>
    </row>
    <row r="3473" spans="1:3" ht="24" customHeight="1">
      <c r="A3473" s="4" t="str">
        <f ca="1">IFERROR(__xludf.DUMMYFUNCTION("""COMPUTED_VALUE"""),"तदखिलमिह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॥नैषधीयचरितम्९.१५९ ॥")</f>
        <v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॥नैषधीयचरितम्९.१५९ ॥</v>
      </c>
      <c r="B3473" s="4" t="s">
        <v>0</v>
      </c>
      <c r="C3473" s="4"/>
    </row>
    <row r="3474" spans="1:3" ht="24" customHeight="1">
      <c r="A3474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॥नैषधीयचरितम्९.१६ ॥")</f>
        <v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॥नैषधीयचरितम्९.१६ ॥</v>
      </c>
      <c r="B3474" s="4" t="s">
        <v>11</v>
      </c>
      <c r="C3474" s="4"/>
    </row>
    <row r="3475" spans="1:3" ht="24" customHeight="1">
      <c r="A3475" s="4" t="str">
        <f ca="1">IFERROR(__xludf.DUMMYFUNCTION("""COMPUTED_VALUE"""),"रथैरथायुः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॥नैषधीयचरितम्१०.१ ॥")</f>
        <v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॥नैषधीयचरितम्१०.१ ॥</v>
      </c>
      <c r="B3475" s="4" t="s">
        <v>3</v>
      </c>
      <c r="C3475" s="4"/>
    </row>
    <row r="3476" spans="1:3" ht="24" customHeight="1">
      <c r="A3476" s="4" t="str">
        <f ca="1">IFERROR(__xludf.DUMMYFUNCTION("""COMPUTED_VALUE"""),"नाभूदभूमिः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॥नैषधीयचरितम्१०.२ ॥")</f>
        <v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॥नैषधीयचरितम्१०.२ ॥</v>
      </c>
      <c r="B3476" s="4" t="s">
        <v>18</v>
      </c>
      <c r="C3476" s="4"/>
    </row>
    <row r="3477" spans="1:3" ht="24" customHeight="1">
      <c r="A3477" s="4" t="str">
        <f ca="1">IFERROR(__xludf.DUMMYFUNCTION("""COMPUTED_VALUE"""),"योग्यैर्व्रजद्भिर्नृपजां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॥नैषधीयचरितम्१०.३ ॥")</f>
        <v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॥नैषधीयचरितम्१०.३ ॥</v>
      </c>
      <c r="B3477" s="4" t="s">
        <v>4</v>
      </c>
      <c r="C3477" s="4"/>
    </row>
    <row r="3478" spans="1:3" ht="24" customHeight="1">
      <c r="A3478" s="4" t="str">
        <f ca="1">IFERROR(__xludf.DUMMYFUNCTION("""COMPUTED_VALUE"""),"लोकैरशेषैरविनिश्रियं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॥नैषधीयचरितम्१०.४ ॥")</f>
        <v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॥नैषधीयचरितम्१०.४ ॥</v>
      </c>
      <c r="B3478" s="4" t="s">
        <v>15</v>
      </c>
      <c r="C3478" s="4"/>
    </row>
    <row r="3479" spans="1:3" ht="24" customHeight="1">
      <c r="A3479" s="4" t="str">
        <f ca="1">IFERROR(__xludf.DUMMYFUNCTION("""COMPUTED_VALUE"""),"तलं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॥नैषधीयचरितम्१०.५ ॥")</f>
        <v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॥नैषधीयचरितम्१०.५ ॥</v>
      </c>
      <c r="B3479" s="4" t="s">
        <v>2</v>
      </c>
      <c r="C3479" s="4"/>
    </row>
    <row r="3480" spans="1:3" ht="24" customHeight="1">
      <c r="A3480" s="4" t="str">
        <f ca="1">IFERROR(__xludf.DUMMYFUNCTION("""COMPUTED_VALUE"""),"नृपः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॥नैषधीयचरितम्१०.६ ॥")</f>
        <v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॥नैषधीयचरितम्१०.६ ॥</v>
      </c>
      <c r="B3480" s="4" t="s">
        <v>4</v>
      </c>
      <c r="C3480" s="4"/>
    </row>
    <row r="3481" spans="1:3" ht="24" customHeight="1">
      <c r="A3481" s="4" t="str">
        <f ca="1">IFERROR(__xludf.DUMMYFUNCTION("""COMPUTED_VALUE"""),"राज्ञां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॥नैषधीयचरितम्१०.७ ॥")</f>
        <v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॥नैषधीयचरितम्१०.७ ॥</v>
      </c>
      <c r="B3481" s="4" t="s">
        <v>19</v>
      </c>
      <c r="C3481" s="4"/>
    </row>
    <row r="3482" spans="1:3" ht="24" customHeight="1">
      <c r="A3482" s="4" t="str">
        <f ca="1">IFERROR(__xludf.DUMMYFUNCTION("""COMPUTED_VALUE"""),"प्राग्भूय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॥नैषधीयचरितम्१०.८ ॥")</f>
        <v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॥नैषधीयचरितम्१०.८ ॥</v>
      </c>
      <c r="B3482" s="4" t="s">
        <v>21</v>
      </c>
      <c r="C3482" s="4"/>
    </row>
    <row r="3483" spans="1:3" ht="24" customHeight="1">
      <c r="A3483" s="4" t="str">
        <f ca="1">IFERROR(__xludf.DUMMYFUNCTION("""COMPUTED_VALUE"""),"आगच्छदुर्विन्द्रचमूसमुत्थैर्भूरेणुभिः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॥नैषधीयचरितम्१०.९ ॥")</f>
        <v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॥नैषधीयचरितम्१०.९ ॥</v>
      </c>
      <c r="B3483" s="4" t="s">
        <v>9</v>
      </c>
      <c r="C3483" s="4"/>
    </row>
    <row r="3484" spans="1:3" ht="24" customHeight="1">
      <c r="A3484" s="4" t="str">
        <f ca="1">IFERROR(__xludf.DUMMYFUNCTION("""COMPUTED_VALUE"""),"आखण्डलो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॥नैषधीयचरितम्१०.१ ॥")</f>
        <v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॥नैषधीयचरितम्१०.१ ॥</v>
      </c>
      <c r="B3484" s="4" t="s">
        <v>13</v>
      </c>
      <c r="C3484" s="4"/>
    </row>
    <row r="3485" spans="1:3" ht="24" customHeight="1">
      <c r="A3485" s="4" t="str">
        <f ca="1">IFERROR(__xludf.DUMMYFUNCTION("""COMPUTED_VALUE"""),"मन्त्रैः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॥नैषधीयचरितम्१०.११ ॥")</f>
        <v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॥नैषधीयचरितम्१०.११ ॥</v>
      </c>
      <c r="B3485" s="4" t="s">
        <v>1</v>
      </c>
      <c r="C3485" s="4"/>
    </row>
    <row r="3486" spans="1:3" ht="24" customHeight="1">
      <c r="A3486" s="4" t="str">
        <f ca="1">IFERROR(__xludf.DUMMYFUNCTION("""COMPUTED_VALUE"""),"कर्तुं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॥नैषधीयचरितम्१०.१२ ॥")</f>
        <v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॥नैषधीयचरितम्१०.१२ ॥</v>
      </c>
      <c r="B3486" s="4" t="s">
        <v>24</v>
      </c>
      <c r="C3486" s="4"/>
    </row>
    <row r="3487" spans="1:3" ht="24" customHeight="1">
      <c r="A3487" s="4" t="str">
        <f ca="1">IFERROR(__xludf.DUMMYFUNCTION("""COMPUTED_VALUE"""),"जातौ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॥नैषधीयचरितम्१०.१३ ॥")</f>
        <v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॥नैषधीयचरितम्१०.१३ ॥</v>
      </c>
      <c r="B3487" s="4" t="s">
        <v>0</v>
      </c>
      <c r="C3487" s="4"/>
    </row>
    <row r="3488" spans="1:3" ht="24" customHeight="1">
      <c r="A3488" s="4" t="str">
        <f ca="1">IFERROR(__xludf.DUMMYFUNCTION("""COMPUTED_VALUE"""),"भमीविवाहं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॥नैषधीयचरितम्१०.१४ ॥")</f>
        <v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॥नैषधीयचरितम्१०.१४ ॥</v>
      </c>
      <c r="B3488" s="4" t="s">
        <v>5</v>
      </c>
      <c r="C3488" s="4"/>
    </row>
    <row r="3489" spans="1:3" ht="24" customHeight="1">
      <c r="A3489" s="4" t="str">
        <f ca="1">IFERROR(__xludf.DUMMYFUNCTION("""COMPUTED_VALUE"""),"स्वयंवरं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॥नैषधीयचरितम्१०.१५ ॥")</f>
        <v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॥नैषधीयचरितम्१०.१५ ॥</v>
      </c>
      <c r="B3489" s="4" t="s">
        <v>5</v>
      </c>
      <c r="C3489" s="4"/>
    </row>
    <row r="3490" spans="1:3" ht="24" customHeight="1">
      <c r="A3490" s="4" t="str">
        <f ca="1">IFERROR(__xludf.DUMMYFUNCTION("""COMPUTED_VALUE"""),"ययौ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॥नैषधीयचरितम्१०.१६ ॥")</f>
        <v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॥नैषधीयचरितम्१०.१६ ॥</v>
      </c>
      <c r="B3490" s="4" t="s">
        <v>1</v>
      </c>
      <c r="C3490" s="4"/>
    </row>
    <row r="3491" spans="1:3" ht="24" customHeight="1">
      <c r="A3491" s="4" t="str">
        <f ca="1">IFERROR(__xludf.DUMMYFUNCTION("""COMPUTED_VALUE"""),"भैमीनिरस्तं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॥नैषधीयचरितम्१०.१७ ॥")</f>
        <v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॥नैषधीयचरितम्१०.१७ ॥</v>
      </c>
      <c r="B3491" s="4" t="s">
        <v>5</v>
      </c>
      <c r="C3491" s="4"/>
    </row>
    <row r="3492" spans="1:3" ht="24" customHeight="1">
      <c r="A3492" s="4" t="str">
        <f ca="1">IFERROR(__xludf.DUMMYFUNCTION("""COMPUTED_VALUE"""),"नलभ्रमेणापि भजेत भैमी कदाचिदस्मानिति शेषिताशा । अभून्महेन्द्रादिचतुष्टयी सा चतुर्नली काचिदलीकरूपा ॥नैषधीयचरितम्१०.१८ ॥ ")</f>
        <v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॥नैषधीयचरितम्१०.१८ ॥ </v>
      </c>
      <c r="B3492" s="4" t="s">
        <v>9</v>
      </c>
      <c r="C3492" s="4"/>
    </row>
    <row r="3493" spans="1:3" ht="24" customHeight="1">
      <c r="A3493" s="4" t="str">
        <f ca="1">IFERROR(__xludf.DUMMYFUNCTION("""COMPUTED_VALUE"""),"प्रयस्यतां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॥नैषधीयचरितम्१०.१९ ॥")</f>
        <v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॥नैषधीयचरितम्१०.१९ ॥</v>
      </c>
      <c r="B3493" s="4" t="s">
        <v>4</v>
      </c>
      <c r="C3493" s="4"/>
    </row>
    <row r="3494" spans="1:3" ht="24" customHeight="1">
      <c r="A3494" s="4" t="str">
        <f ca="1">IFERROR(__xludf.DUMMYFUNCTION("""COMPUTED_VALUE"""),"पूर्णेन्दुमास्यं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॥नैषधीयचरितम्१०.२ ॥")</f>
        <v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॥नैषधीयचरितम्१०.२ ॥</v>
      </c>
      <c r="B3494" s="4" t="s">
        <v>3</v>
      </c>
      <c r="C3494" s="4"/>
    </row>
    <row r="3495" spans="1:3" ht="24" customHeight="1">
      <c r="A3495" s="4" t="str">
        <f ca="1">IFERROR(__xludf.DUMMYFUNCTION("""COMPUTED_VALUE"""),"तेषां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॥नैषधीयचरितम्१०.२१ ॥")</f>
        <v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॥नैषधीयचरितम्१०.२१ ॥</v>
      </c>
      <c r="B3495" s="4" t="s">
        <v>4</v>
      </c>
      <c r="C3495" s="4"/>
    </row>
    <row r="3496" spans="1:3" ht="24" customHeight="1">
      <c r="A3496" s="4" t="str">
        <f ca="1">IFERROR(__xludf.DUMMYFUNCTION("""COMPUTED_VALUE"""),"प्रियावियोगक्वथितादिवैलाच्चन्द्राच्च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॥नैषधीयचरितम्१०.२२ ॥")</f>
        <v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॥नैषधीयचरितम्१०.२२ ॥</v>
      </c>
      <c r="B3496" s="4" t="s">
        <v>9</v>
      </c>
      <c r="C3496" s="4"/>
    </row>
    <row r="3497" spans="1:3" ht="24" customHeight="1">
      <c r="A3497" s="4" t="str">
        <f ca="1">IFERROR(__xludf.DUMMYFUNCTION("""COMPUTED_VALUE"""),"नलस्य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॥नैषधीयचरितम्१०.२३ ॥ ")</f>
        <v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॥नैषधीयचरितम्१०.२३ ॥ </v>
      </c>
      <c r="B3497" s="4" t="s">
        <v>5</v>
      </c>
      <c r="C3497" s="4"/>
    </row>
    <row r="3498" spans="1:3" ht="24" customHeight="1">
      <c r="A3498" s="4" t="str">
        <f ca="1">IFERROR(__xludf.DUMMYFUNCTION("""COMPUTED_VALUE"""),"सभा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॥नैषधीयचरितम्१०.२४ ॥")</f>
        <v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॥नैषधीयचरितम्१०.२४ ॥</v>
      </c>
      <c r="B3498" s="4" t="s">
        <v>2</v>
      </c>
      <c r="C3498" s="4"/>
    </row>
    <row r="3499" spans="1:3" ht="24" customHeight="1">
      <c r="A3499" s="4" t="str">
        <f ca="1">IFERROR(__xludf.DUMMYFUNCTION("""COMPUTED_VALUE"""),"तत्रागमद्वासुकिरीशभूषाभस्मोपदेहस्फुटगौरदेहः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॥नैषधीयचरितम्१०.२५ ॥")</f>
        <v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॥नैषधीयचरितम्१०.२५ ॥</v>
      </c>
      <c r="B3499" s="4" t="s">
        <v>17</v>
      </c>
      <c r="C3499" s="4"/>
    </row>
    <row r="3500" spans="1:3" ht="24" customHeight="1">
      <c r="A3500" s="4" t="str">
        <f ca="1">IFERROR(__xludf.DUMMYFUNCTION("""COMPUTED_VALUE"""),"द्वीपान्तरेभ्यः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॥नैषधीयचरितम्१०.२६ ॥")</f>
        <v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॥नैषधीयचरितम्१०.२६ ॥</v>
      </c>
      <c r="B3500" s="4" t="s">
        <v>11</v>
      </c>
      <c r="C3500" s="4"/>
    </row>
    <row r="3501" spans="1:3" ht="24" customHeight="1">
      <c r="A3501" s="4" t="str">
        <f ca="1">IFERROR(__xludf.DUMMYFUNCTION("""COMPUTED_VALUE"""),"रम्येषु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॥नैषधीयचरितम्१०.२७ ॥")</f>
        <v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॥नैषधीयचरितम्१०.२७ ॥</v>
      </c>
      <c r="B3501" s="4" t="s">
        <v>0</v>
      </c>
      <c r="C3501" s="4"/>
    </row>
    <row r="3502" spans="1:3" ht="24" customHeight="1">
      <c r="A3502" s="4" t="str">
        <f ca="1">IFERROR(__xludf.DUMMYFUNCTION("""COMPUTED_VALUE"""),"चतुःसमुद्रीपरिखे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॥नैषधीयचरितम्१०.२८ ॥")</f>
        <v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॥नैषधीयचरितम्१०.२८ ॥</v>
      </c>
      <c r="B3502" s="4" t="s">
        <v>11</v>
      </c>
      <c r="C3502" s="4"/>
    </row>
    <row r="3503" spans="1:3" ht="24" customHeight="1">
      <c r="A3503" s="4" t="str">
        <f ca="1">IFERROR(__xludf.DUMMYFUNCTION("""COMPUTED_VALUE"""),"अभ्यागतैः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॥नैषधीयचरितम्१०.२९ ॥")</f>
        <v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॥नैषधीयचरितम्१०.२९ ॥</v>
      </c>
      <c r="B3503" s="4" t="s">
        <v>13</v>
      </c>
      <c r="C3503" s="4"/>
    </row>
    <row r="3504" spans="1:3" ht="24" customHeight="1">
      <c r="A3504" s="4" t="str">
        <f ca="1">IFERROR(__xludf.DUMMYFUNCTION("""COMPUTED_VALUE"""),"अङ्के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॥नैषधीयचरितम्१०.३ ॥")</f>
        <v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॥नैषधीयचरितम्१०.३ ॥</v>
      </c>
      <c r="B3504" s="4" t="s">
        <v>0</v>
      </c>
      <c r="C3504" s="4"/>
    </row>
    <row r="3505" spans="1:3" ht="24" customHeight="1">
      <c r="A3505" s="4" t="str">
        <f ca="1">IFERROR(__xludf.DUMMYFUNCTION("""COMPUTED_VALUE"""),"पुरे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॥नैषधीयचरितम्१०.३१ ॥")</f>
        <v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॥नैषधीयचरितम्१०.३१ ॥</v>
      </c>
      <c r="B3505" s="4" t="s">
        <v>6</v>
      </c>
      <c r="C3505" s="4"/>
    </row>
    <row r="3506" spans="1:3" ht="24" customHeight="1">
      <c r="A3506" s="4" t="str">
        <f ca="1">IFERROR(__xludf.DUMMYFUNCTION("""COMPUTED_VALUE"""),"विलासवैदग्ध्यविभूषणश्रीस्तेषां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॥नैषधीयचरितम्१०.३२ ॥")</f>
        <v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॥नैषधीयचरितम्१०.३२ ॥</v>
      </c>
      <c r="B3506" s="4" t="s">
        <v>16</v>
      </c>
      <c r="C3506" s="4"/>
    </row>
    <row r="3507" spans="1:3" ht="24" customHeight="1">
      <c r="A3507" s="4" t="str">
        <f ca="1">IFERROR(__xludf.DUMMYFUNCTION("""COMPUTED_VALUE"""),"न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॥नैषधीयचरितम्१०.३३ ॥")</f>
        <v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॥नैषधीयचरितम्१०.३३ ॥</v>
      </c>
      <c r="B3507" s="4" t="s">
        <v>0</v>
      </c>
      <c r="C3507" s="4"/>
    </row>
    <row r="3508" spans="1:3" ht="24" customHeight="1">
      <c r="A3508" s="4" t="str">
        <f ca="1">IFERROR(__xludf.DUMMYFUNCTION("""COMPUTED_VALUE"""),"अन्योन्यभाषानवबोधभीतेः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॥नैषधीयचरितम्१०.३४ ॥")</f>
        <v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॥नैषधीयचरितम्१०.३४ ॥</v>
      </c>
      <c r="B3508" s="4" t="s">
        <v>1</v>
      </c>
      <c r="C3508" s="4"/>
    </row>
    <row r="3509" spans="1:3" ht="24" customHeight="1">
      <c r="A3509" s="4" t="str">
        <f ca="1">IFERROR(__xludf.DUMMYFUNCTION("""COMPUTED_VALUE"""),"ते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॥नैषधीयचरितम्१०.३५ ॥")</f>
        <v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॥नैषधीयचरितम्१०.३५ ॥</v>
      </c>
      <c r="B3509" s="4" t="s">
        <v>18</v>
      </c>
      <c r="C3509" s="4"/>
    </row>
    <row r="3510" spans="1:3" ht="24" customHeight="1">
      <c r="A3510" s="4" t="str">
        <f ca="1">IFERROR(__xludf.DUMMYFUNCTION("""COMPUTED_VALUE"""),"सा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॥नैषधीयचरितम्१०.३६ ॥")</f>
        <v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॥नैषधीयचरितम्१०.३६ ॥</v>
      </c>
      <c r="B3510" s="4" t="s">
        <v>12</v>
      </c>
      <c r="C3510" s="4"/>
    </row>
    <row r="3511" spans="1:3" ht="24" customHeight="1">
      <c r="A3511" s="4" t="str">
        <f ca="1">IFERROR(__xludf.DUMMYFUNCTION("""COMPUTED_VALUE"""),"वैदर्भदूतानुनयोपहूतैः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॥नैषधीयचरितम्१०.३७ ॥")</f>
        <v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॥नैषधीयचरितम्१०.३७ ॥</v>
      </c>
      <c r="B3511" s="4" t="s">
        <v>0</v>
      </c>
      <c r="C3511" s="4"/>
    </row>
    <row r="3512" spans="1:3" ht="24" customHeight="1">
      <c r="A3512" s="4" t="str">
        <f ca="1">IFERROR(__xludf.DUMMYFUNCTION("""COMPUTED_VALUE"""),"भूषाभिरुच्चैरपि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॥नैषधीयचरितम्१०.३८ ॥")</f>
        <v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॥नैषधीयचरितम्१०.३८ ॥</v>
      </c>
      <c r="B3512" s="4" t="s">
        <v>1</v>
      </c>
      <c r="C3512" s="4"/>
    </row>
    <row r="3513" spans="1:3" ht="24" customHeight="1">
      <c r="A3513" s="4" t="str">
        <f ca="1">IFERROR(__xludf.DUMMYFUNCTION("""COMPUTED_VALUE"""),"धृताङ्गरागे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॥नैषधीयचरितम्१०.३९ ॥")</f>
        <v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॥नैषधीयचरितम्१०.३९ ॥</v>
      </c>
      <c r="B3513" s="4" t="s">
        <v>2</v>
      </c>
      <c r="C3513" s="4"/>
    </row>
    <row r="3514" spans="1:3" ht="24" customHeight="1">
      <c r="A3514" s="4" t="str">
        <f ca="1">IFERROR(__xludf.DUMMYFUNCTION("""COMPUTED_VALUE"""),"द्राग्दृष्टयः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॥नैषधीयचरितम्१०.४ ॥")</f>
        <v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॥नैषधीयचरितम्१०.४ ॥</v>
      </c>
      <c r="B3514" s="4" t="s">
        <v>2</v>
      </c>
      <c r="C3514" s="4"/>
    </row>
    <row r="3515" spans="1:3" ht="24" customHeight="1">
      <c r="A3515" s="4" t="str">
        <f ca="1">IFERROR(__xludf.DUMMYFUNCTION("""COMPUTED_VALUE"""),"सुधांशुरेषु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॥नैषधीयचरितम्१०.४१ ॥")</f>
        <v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॥नैषधीयचरितम्१०.४१ ॥</v>
      </c>
      <c r="B3515" s="4" t="s">
        <v>17</v>
      </c>
      <c r="C3515" s="4"/>
    </row>
    <row r="3516" spans="1:3" ht="24" customHeight="1">
      <c r="A3516" s="4" t="str">
        <f ca="1">IFERROR(__xludf.DUMMYFUNCTION("""COMPUTED_VALUE"""),"आद्यं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॥नैषधीयचरितम्१०.४२ ॥")</f>
        <v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॥नैषधीयचरितम्१०.४२ ॥</v>
      </c>
      <c r="B3516" s="4" t="s">
        <v>18</v>
      </c>
      <c r="C3516" s="4"/>
    </row>
    <row r="3517" spans="1:3" ht="24" customHeight="1">
      <c r="A3517" s="4" t="str">
        <f ca="1">IFERROR(__xludf.DUMMYFUNCTION("""COMPUTED_VALUE"""),"मायानलोदाहरणान्मिथस्तैरूचे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॥नैषधीयचरितम्१०.४३ ॥")</f>
        <v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॥नैषधीयचरितम्१०.४३ ॥</v>
      </c>
      <c r="B3517" s="4" t="s">
        <v>20</v>
      </c>
      <c r="C3517" s="4"/>
    </row>
    <row r="3518" spans="1:3" ht="24" customHeight="1">
      <c r="A3518" s="4" t="str">
        <f ca="1">IFERROR(__xludf.DUMMYFUNCTION("""COMPUTED_VALUE"""),"गुणेन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॥नैषधीयचरितम्१०.४४ ॥")</f>
        <v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॥नैषधीयचरितम्१०.४४ ॥</v>
      </c>
      <c r="B3518" s="4" t="s">
        <v>5</v>
      </c>
      <c r="C3518" s="4"/>
    </row>
    <row r="3519" spans="1:3" ht="24" customHeight="1">
      <c r="A3519" s="4" t="str">
        <f ca="1">IFERROR(__xludf.DUMMYFUNCTION("""COMPUTED_VALUE"""),"नलानसत्यानवदत्स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॥नैषधीयचरितम्१०.४५ ॥")</f>
        <v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॥नैषधीयचरितम्१०.४५ ॥</v>
      </c>
      <c r="B3519" s="4" t="s">
        <v>2</v>
      </c>
      <c r="C3519" s="4"/>
    </row>
    <row r="3520" spans="1:3" ht="24" customHeight="1">
      <c r="A3520" s="4" t="str">
        <f ca="1">IFERROR(__xludf.DUMMYFUNCTION("""COMPUTED_VALUE"""),"अमी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॥नैषधीयचरितम्१०.४६ ॥")</f>
        <v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॥नैषधीयचरितम्१०.४६ ॥</v>
      </c>
      <c r="B3520" s="4" t="s">
        <v>16</v>
      </c>
      <c r="C3520" s="4"/>
    </row>
    <row r="3521" spans="1:3" ht="24" customHeight="1">
      <c r="A3521" s="4" t="str">
        <f ca="1">IFERROR(__xludf.DUMMYFUNCTION("""COMPUTED_VALUE"""),"तेभ्यः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॥नैषधीयचरितम्१०.४७ ॥")</f>
        <v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॥नैषधीयचरितम्१०.४७ ॥</v>
      </c>
      <c r="B3521" s="4" t="s">
        <v>18</v>
      </c>
      <c r="C3521" s="4"/>
    </row>
    <row r="3522" spans="1:3" ht="24" customHeight="1">
      <c r="A3522" s="4" t="str">
        <f ca="1">IFERROR(__xludf.DUMMYFUNCTION("""COMPUTED_VALUE"""),"असाम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॥नैषधीयचरितम्१०.४८ ॥")</f>
        <v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॥नैषधीयचरितम्१०.४८ ॥</v>
      </c>
      <c r="B3522" s="4" t="s">
        <v>2</v>
      </c>
      <c r="C3522" s="4"/>
    </row>
    <row r="3523" spans="1:3" ht="24" customHeight="1">
      <c r="A3523" s="4" t="str">
        <f ca="1">IFERROR(__xludf.DUMMYFUNCTION("""COMPUTED_VALUE"""),"सा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॥नैषधीयचरितम्१०.४९ ॥")</f>
        <v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॥नैषधीयचरितम्१०.४९ ॥</v>
      </c>
      <c r="B3523" s="4" t="s">
        <v>16</v>
      </c>
      <c r="C3523" s="4"/>
    </row>
    <row r="3524" spans="1:3" ht="24" customHeight="1">
      <c r="A3524" s="4" t="str">
        <f ca="1">IFERROR(__xludf.DUMMYFUNCTION("""COMPUTED_VALUE"""),"यः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॥नैषधीयचरितम्१०.५ ॥")</f>
        <v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॥नैषधीयचरितम्१०.५ ॥</v>
      </c>
      <c r="B3524" s="4" t="s">
        <v>5</v>
      </c>
      <c r="C3524" s="4"/>
    </row>
    <row r="3525" spans="1:3" ht="24" customHeight="1">
      <c r="A3525" s="4" t="str">
        <f ca="1">IFERROR(__xludf.DUMMYFUNCTION("""COMPUTED_VALUE"""),"गीर्देवतागीतयशःप्रशस्तिः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॥नैषधीयचरितम्१०.५१ ॥")</f>
        <v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॥नैषधीयचरितम्१०.५१ ॥</v>
      </c>
      <c r="B3525" s="4" t="s">
        <v>10</v>
      </c>
      <c r="C3525" s="4"/>
    </row>
    <row r="3526" spans="1:3" ht="24" customHeight="1">
      <c r="A3526" s="4" t="str">
        <f ca="1">IFERROR(__xludf.DUMMYFUNCTION("""COMPUTED_VALUE"""),"अष्टौ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॥नैषधीयचरितम्१०.५२ ॥")</f>
        <v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॥नैषधीयचरितम्१०.५२ ॥</v>
      </c>
      <c r="B3526" s="4" t="s">
        <v>19</v>
      </c>
      <c r="C3526" s="4"/>
    </row>
    <row r="3527" spans="1:3" ht="24" customHeight="1">
      <c r="A3527" s="4" t="str">
        <f ca="1">IFERROR(__xludf.DUMMYFUNCTION("""COMPUTED_VALUE"""),"एकेन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॥नैषधीयचरितम्१०.५३ ॥")</f>
        <v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॥नैषधीयचरितम्१०.५३ ॥</v>
      </c>
      <c r="B3527" s="4" t="s">
        <v>7</v>
      </c>
      <c r="C3527" s="4"/>
    </row>
    <row r="3528" spans="1:3" ht="24" customHeight="1">
      <c r="A3528" s="4" t="str">
        <f ca="1">IFERROR(__xludf.DUMMYFUNCTION("""COMPUTED_VALUE"""),"प्रदक्षिणं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॥नैषधीयचरितम्१०.५४ ॥")</f>
        <v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॥नैषधीयचरितम्१०.५४ ॥</v>
      </c>
      <c r="B3528" s="4" t="s">
        <v>9</v>
      </c>
      <c r="C3528" s="4"/>
    </row>
    <row r="3529" spans="1:3" ht="24" customHeight="1">
      <c r="A3529" s="4" t="str">
        <f ca="1">IFERROR(__xludf.DUMMYFUNCTION("""COMPUTED_VALUE"""),"आलोकमाना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॥नैषधीयचरितम्१०.५५ ॥")</f>
        <v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॥नैषधीयचरितम्१०.५५ ॥</v>
      </c>
      <c r="B3529" s="4" t="s">
        <v>1</v>
      </c>
      <c r="C3529" s="4"/>
    </row>
    <row r="3530" spans="1:3" ht="24" customHeight="1">
      <c r="A3530" s="4" t="str">
        <f ca="1">IFERROR(__xludf.DUMMYFUNCTION("""COMPUTED_VALUE"""),"न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॥नैषधीयचरितम्१०.५६ ॥")</f>
        <v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॥नैषधीयचरितम्१०.५६ ॥</v>
      </c>
      <c r="B3530" s="4" t="s">
        <v>4</v>
      </c>
      <c r="C3530" s="4"/>
    </row>
    <row r="3531" spans="1:3" ht="24" customHeight="1">
      <c r="A3531" s="4" t="str">
        <f ca="1">IFERROR(__xludf.DUMMYFUNCTION("""COMPUTED_VALUE"""),"वाल्मीकिरश्लाघत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॥नैषधीयचरितम्१०.५७ ॥")</f>
        <v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॥नैषधीयचरितम्१०.५७ ॥</v>
      </c>
      <c r="B3531" s="4" t="s">
        <v>4</v>
      </c>
      <c r="C3531" s="4"/>
    </row>
    <row r="3532" spans="1:3" ht="24" customHeight="1">
      <c r="A3532" s="4" t="str">
        <f ca="1">IFERROR(__xludf.DUMMYFUNCTION("""COMPUTED_VALUE"""),"प्राशंसि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॥नैषधीयचरितम्१०.५८ ॥")</f>
        <v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॥नैषधीयचरितम्१०.५८ ॥</v>
      </c>
      <c r="B3532" s="4" t="s">
        <v>5</v>
      </c>
      <c r="C3532" s="4"/>
    </row>
    <row r="3533" spans="1:3" ht="24" customHeight="1">
      <c r="A3533" s="4" t="str">
        <f ca="1">IFERROR(__xludf.DUMMYFUNCTION("""COMPUTED_VALUE"""),"नाकेऽपि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॥नैषधीयचरितम्१०.५९ ॥")</f>
        <v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॥नैषधीयचरितम्१०.५९ ॥</v>
      </c>
      <c r="B3533" s="4" t="s">
        <v>7</v>
      </c>
      <c r="C3533" s="4"/>
    </row>
    <row r="3534" spans="1:3" ht="24" customHeight="1">
      <c r="A3534" s="4" t="str">
        <f ca="1">IFERROR(__xludf.DUMMYFUNCTION("""COMPUTED_VALUE"""),"अमेलयद्भीमनृपः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॥नैषधीयचरितम्१०.६ ॥")</f>
        <v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॥नैषधीयचरितम्१०.६ ॥</v>
      </c>
      <c r="B3534" s="4" t="s">
        <v>1</v>
      </c>
      <c r="C3534" s="4"/>
    </row>
    <row r="3535" spans="1:3" ht="24" customHeight="1">
      <c r="A3535" s="4" t="str">
        <f ca="1">IFERROR(__xludf.DUMMYFUNCTION("""COMPUTED_VALUE"""),"एकाकिभावेन पुरा पुरारिर्यः पञ्चतां पञ्चशरं निनाय । तद्भीसमाधानममुष्य काय निकायलीलाः किममी युवानः ॥नैषधीयचरितम्१०.६१ ॥")</f>
        <v>एकाकिभावेन पुरा पुरारिर्यः पञ्चतां पञ्चशरं निनाय । तद्भीसमाधानममुष्य काय निकायलीलाः किममी युवानः ॥नैषधीयचरितम्१०.६१ ॥</v>
      </c>
      <c r="B3535" s="4" t="s">
        <v>1</v>
      </c>
      <c r="C3535" s="4"/>
    </row>
    <row r="3536" spans="1:3" ht="24" customHeight="1">
      <c r="A3536" s="4" t="str">
        <f ca="1">IFERROR(__xludf.DUMMYFUNCTION("""COMPUTED_VALUE"""),"पूर्णेन्दुबिम्बाननुमासभिन्नानस्थापयत्क्वापि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॥नैषधीयचरितम्१०.६२ ॥")</f>
        <v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॥नैषधीयचरितम्१०.६२ ॥</v>
      </c>
      <c r="B3536" s="4" t="s">
        <v>5</v>
      </c>
      <c r="C3536" s="4"/>
    </row>
    <row r="3537" spans="1:3" ht="24" customHeight="1">
      <c r="A3537" s="4" t="str">
        <f ca="1">IFERROR(__xludf.DUMMYFUNCTION("""COMPUTED_VALUE"""),"मुधार्पितं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॥नैषधीयचरितम्१०.६३ ॥")</f>
        <v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॥नैषधीयचरितम्१०.६३ ॥</v>
      </c>
      <c r="B3537" s="4" t="s">
        <v>5</v>
      </c>
      <c r="C3537" s="4"/>
    </row>
    <row r="3538" spans="1:3" ht="24" customHeight="1">
      <c r="A3538" s="4" t="str">
        <f ca="1">IFERROR(__xludf.DUMMYFUNCTION("""COMPUTED_VALUE"""),"प्रवेक्ष्यतः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॥नैषधीयचरितम्१०.६४ ॥")</f>
        <v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॥नैषधीयचरितम्१०.६४ ॥</v>
      </c>
      <c r="B3538" s="4" t="s">
        <v>7</v>
      </c>
      <c r="C3538" s="4"/>
    </row>
    <row r="3539" spans="1:3" ht="24" customHeight="1">
      <c r="A3539" s="4" t="str">
        <f ca="1">IFERROR(__xludf.DUMMYFUNCTION("""COMPUTED_VALUE"""),"स्थितैरियद्भिर्युवभिर्विदग्धैर्दग्धेऽपि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॥नैषधीयचरितम्१०.६५ ॥")</f>
        <v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॥नैषधीयचरितम्१०.६५ ॥</v>
      </c>
      <c r="B3539" s="4" t="s">
        <v>13</v>
      </c>
      <c r="C3539" s="4"/>
    </row>
    <row r="3540" spans="1:3" ht="24" customHeight="1">
      <c r="A3540" s="4" t="str">
        <f ca="1">IFERROR(__xludf.DUMMYFUNCTION("""COMPUTED_VALUE"""),"इति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॥नैषधीयचरितम्१०.६६ ॥")</f>
        <v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॥नैषधीयचरितम्१०.६६ ॥</v>
      </c>
      <c r="B3540" s="4" t="s">
        <v>1</v>
      </c>
      <c r="C3540" s="4"/>
    </row>
    <row r="3541" spans="1:3" ht="24" customHeight="1">
      <c r="A3541" s="4" t="str">
        <f ca="1">IFERROR(__xludf.DUMMYFUNCTION("""COMPUTED_VALUE"""),"न्यवीविशत्तानथ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॥नैषधीयचरितम्१०.६७ ॥")</f>
        <v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॥नैषधीयचरितम्१०.६७ ॥</v>
      </c>
      <c r="B3541" s="4" t="s">
        <v>5</v>
      </c>
      <c r="C3541" s="4"/>
    </row>
    <row r="3542" spans="1:3" ht="24" customHeight="1">
      <c r="A3542" s="4" t="str">
        <f ca="1">IFERROR(__xludf.DUMMYFUNCTION("""COMPUTED_VALUE"""),"विचिन्त्य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॥नैषधीयचरितम्१०.६८ ॥")</f>
        <v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॥नैषधीयचरितम्१०.६८ ॥</v>
      </c>
      <c r="B3542" s="4" t="s">
        <v>1</v>
      </c>
      <c r="C3542" s="4"/>
    </row>
    <row r="3543" spans="1:3" ht="24" customHeight="1">
      <c r="A3543" s="4" t="str">
        <f ca="1">IFERROR(__xludf.DUMMYFUNCTION("""COMPUTED_VALUE"""),"श्रद्धालुसंकल्पितकल्पनायां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॥नैषधीयचरितम्१०.६९ ॥")</f>
        <v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॥नैषधीयचरितम्१०.६९ ॥</v>
      </c>
      <c r="B3543" s="4" t="s">
        <v>1</v>
      </c>
      <c r="C3543" s="4"/>
    </row>
    <row r="3544" spans="1:3" ht="24" customHeight="1">
      <c r="A3544" s="4" t="str">
        <f ca="1">IFERROR(__xludf.DUMMYFUNCTION("""COMPUTED_VALUE"""),"तच्चिन्तनानन्तरमेव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॥नैषधीयचरितम्१०.७ ॥")</f>
        <v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॥नैषधीयचरितम्१०.७ ॥</v>
      </c>
      <c r="B3544" s="4" t="s">
        <v>7</v>
      </c>
      <c r="C3544" s="4"/>
    </row>
    <row r="3545" spans="1:3" ht="24" customHeight="1">
      <c r="A3545" s="4" t="str">
        <f ca="1">IFERROR(__xludf.DUMMYFUNCTION("""COMPUTED_VALUE"""),"कुलं च शीलं च बलं च यूनां जानासि नानाभुवनागतानाम् । एषामतस्त्वं भव वावदूका मूकायितुं कः समयस्तवायम् ॥नैषधीयचरितम्१०.७१ ॥")</f>
        <v>कुलं च शीलं च बलं च यूनां जानासि नानाभुवनागतानाम् । एषामतस्त्वं भव वावदूका मूकायितुं कः समयस्तवायम् ॥नैषधीयचरितम्१०.७१ ॥</v>
      </c>
      <c r="B3545" s="4" t="s">
        <v>5</v>
      </c>
      <c r="C3545" s="4"/>
    </row>
    <row r="3546" spans="1:3" ht="24" customHeight="1">
      <c r="A3546" s="4" t="str">
        <f ca="1">IFERROR(__xludf.DUMMYFUNCTION("""COMPUTED_VALUE"""),"जगत्त्रयीपण्डितमण्डितैषा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॥नैषधीयचरितम्१०.७२ ॥")</f>
        <v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॥नैषधीयचरितम्१०.७२ ॥</v>
      </c>
      <c r="B3546" s="4" t="s">
        <v>1</v>
      </c>
      <c r="C3546" s="4"/>
    </row>
    <row r="3547" spans="1:3" ht="24" customHeight="1">
      <c r="A3547" s="4" t="str">
        <f ca="1">IFERROR(__xludf.DUMMYFUNCTION("""COMPUTED_VALUE"""),"इतीरिता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॥नैषधीयचरितम्१०.७३ ॥")</f>
        <v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॥नैषधीयचरितम्१०.७३ ॥</v>
      </c>
      <c r="B3547" s="4" t="s">
        <v>0</v>
      </c>
      <c r="C3547" s="4"/>
    </row>
    <row r="3548" spans="1:3" ht="24" customHeight="1">
      <c r="A3548" s="4" t="str">
        <f ca="1">IFERROR(__xludf.DUMMYFUNCTION("""COMPUTED_VALUE"""),"मध्येसभं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॥नैषधीयचरितम्१०.७४ ॥")</f>
        <v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॥नैषधीयचरितम्१०.७४ ॥</v>
      </c>
      <c r="B3548" s="4" t="s">
        <v>15</v>
      </c>
      <c r="C3548" s="4"/>
    </row>
    <row r="3549" spans="1:3" ht="24" customHeight="1">
      <c r="A3549" s="4" t="str">
        <f ca="1">IFERROR(__xludf.DUMMYFUNCTION("""COMPUTED_VALUE"""),"आसीदथर्वा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॥नैषधीयचरितम्१०.७५ ॥")</f>
        <v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॥नैषधीयचरितम्१०.७५ ॥</v>
      </c>
      <c r="B3549" s="4" t="s">
        <v>14</v>
      </c>
      <c r="C3549" s="4"/>
    </row>
    <row r="3550" spans="1:3" ht="24" customHeight="1">
      <c r="A3550" s="4" t="str">
        <f ca="1">IFERROR(__xludf.DUMMYFUNCTION("""COMPUTED_VALUE"""),"शिक्षैव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॥नैषधीयचरितम्१०.७६ ॥")</f>
        <v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॥नैषधीयचरितम्१०.७६ ॥</v>
      </c>
      <c r="B3550" s="4" t="s">
        <v>18</v>
      </c>
      <c r="C3550" s="4"/>
    </row>
    <row r="3551" spans="1:3" ht="24" customHeight="1">
      <c r="A3551" s="4" t="str">
        <f ca="1">IFERROR(__xludf.DUMMYFUNCTION("""COMPUTED_VALUE"""),"जात्या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॥नैषधीयचरितम्१०.७७ ॥")</f>
        <v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॥नैषधीयचरितम्१०.७७ ॥</v>
      </c>
      <c r="B3551" s="4" t="s">
        <v>5</v>
      </c>
      <c r="C3551" s="4"/>
    </row>
    <row r="3552" spans="1:3" ht="24" customHeight="1">
      <c r="A3552" s="4" t="str">
        <f ca="1">IFERROR(__xludf.DUMMYFUNCTION("""COMPUTED_VALUE"""),"असंशयं सा गुणदीर्घभावकृता दधाना विततिं यदीया । विधायिका शब्दपरम्पराणां किं वारचि व्याकरणेन काञ्ची ॥नैषधीयचरितम्१०.७८ ॥ ")</f>
        <v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॥नैषधीयचरितम्१०.७८ ॥ </v>
      </c>
      <c r="B3552" s="4" t="s">
        <v>16</v>
      </c>
      <c r="C3552" s="4"/>
    </row>
    <row r="3553" spans="1:3" ht="24" customHeight="1">
      <c r="A3553" s="4" t="str">
        <f ca="1">IFERROR(__xludf.DUMMYFUNCTION("""COMPUTED_VALUE"""),"स्थितैव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॥नैषधीयचरितम्१०.७९ ॥")</f>
        <v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॥नैषधीयचरितम्१०.७९ ॥</v>
      </c>
      <c r="B3553" s="4" t="s">
        <v>19</v>
      </c>
      <c r="C3553" s="4"/>
    </row>
    <row r="3554" spans="1:3" ht="24" customHeight="1">
      <c r="A3554" s="4" t="str">
        <f ca="1">IFERROR(__xludf.DUMMYFUNCTION("""COMPUTED_VALUE"""),"अवैमि वादिप्रतिवादिगाढखपक्षरागेण विराजमाने । ते पूर्वपक्षोत्तरपक्षशास्त्रे रदच्छदौ भूतवती यदीयौ ॥नैषधीयचरितम्१०.८ ॥")</f>
        <v>अवैमि वादिप्रतिवादिगाढखपक्षरागेण विराजमाने । ते पूर्वपक्षोत्तरपक्षशास्त्रे रदच्छदौ भूतवती यदीयौ ॥नैषधीयचरितम्१०.८ ॥</v>
      </c>
      <c r="B3554" s="4" t="s">
        <v>5</v>
      </c>
      <c r="C3554" s="4"/>
    </row>
    <row r="3555" spans="1:3" ht="24" customHeight="1">
      <c r="A3555" s="4" t="str">
        <f ca="1">IFERROR(__xludf.DUMMYFUNCTION("""COMPUTED_VALUE"""),"ब्रह्मार्थकर्मार्थकवेदभेदा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॥नैषधीयचरितम्१०.८१ ॥")</f>
        <v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॥नैषधीयचरितम्१०.८१ ॥</v>
      </c>
      <c r="B3555" s="4" t="s">
        <v>12</v>
      </c>
      <c r="C3555" s="4"/>
    </row>
    <row r="3556" spans="1:3" ht="24" customHeight="1">
      <c r="A3556" s="4" t="str">
        <f ca="1">IFERROR(__xludf.DUMMYFUNCTION("""COMPUTED_VALUE"""),"उद्देशपर्वण्यपि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॥नैषधीयचरितम्१०.८२ ॥")</f>
        <v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॥नैषधीयचरितम्१०.८२ ॥</v>
      </c>
      <c r="B3556" s="4" t="s">
        <v>12</v>
      </c>
      <c r="C3556" s="4"/>
    </row>
    <row r="3557" spans="1:3" ht="24" customHeight="1">
      <c r="A3557" s="4" t="str">
        <f ca="1">IFERROR(__xludf.DUMMYFUNCTION("""COMPUTED_VALUE"""),"तर्का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॥नैषधीयचरितम्१०.८३ ॥")</f>
        <v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॥नैषधीयचरितम्१०.८३ ॥</v>
      </c>
      <c r="B3557" s="4" t="s">
        <v>4</v>
      </c>
      <c r="C3557" s="4"/>
    </row>
    <row r="3558" spans="1:3" ht="24" customHeight="1">
      <c r="A3558" s="4" t="str">
        <f ca="1">IFERROR(__xludf.DUMMYFUNCTION("""COMPUTED_VALUE"""),"सपल्लवं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॥नैषधीयचरितम्१०.८४ ॥ ")</f>
        <v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॥नैषधीयचरितम्१०.८४ ॥ </v>
      </c>
      <c r="B3558" s="4" t="s">
        <v>7</v>
      </c>
      <c r="C3558" s="4"/>
    </row>
    <row r="3559" spans="1:3" ht="24" customHeight="1">
      <c r="A3559" s="4" t="str">
        <f ca="1">IFERROR(__xludf.DUMMYFUNCTION("""COMPUTED_VALUE"""),"आकल्पविच्छेदविवर्जितो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॥नैषधीयचरितम्१०.८५ ॥")</f>
        <v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॥नैषधीयचरितम्१०.८५ ॥</v>
      </c>
      <c r="B3559" s="4" t="s">
        <v>2</v>
      </c>
      <c r="C3559" s="4"/>
    </row>
    <row r="3560" spans="1:3" ht="24" customHeight="1">
      <c r="A3560" s="4" t="str">
        <f ca="1">IFERROR(__xludf.DUMMYFUNCTION("""COMPUTED_VALUE"""),"भ्रुवौ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॥नैषधीयचरितम्१०.८६ ॥")</f>
        <v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॥नैषधीयचरितम्१०.८६ ॥</v>
      </c>
      <c r="B3560" s="4" t="s">
        <v>5</v>
      </c>
      <c r="C3560" s="4"/>
    </row>
    <row r="3561" spans="1:3" ht="24" customHeight="1">
      <c r="A3561" s="4" t="str">
        <f ca="1">IFERROR(__xludf.DUMMYFUNCTION("""COMPUTED_VALUE"""),"द्विकुण्डली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॥नैषधीयचरितम्१०.८७ ॥")</f>
        <v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॥नैषधीयचरितम्१०.८७ ॥</v>
      </c>
      <c r="B3561" s="4" t="s">
        <v>0</v>
      </c>
      <c r="C3561" s="4"/>
    </row>
    <row r="3562" spans="1:3" ht="24" customHeight="1">
      <c r="A3562" s="4" t="str">
        <f ca="1">IFERROR(__xludf.DUMMYFUNCTION("""COMPUTED_VALUE"""),"या सोमसिद्धान्तमयाननेव शून्यात्मतावादमयोदरेव । विज्ञानसामस्त्यमयान्तरेव साकारतासिद्धिमयाखिलेव ॥नैषधीयचरितम्१०.८८ ॥")</f>
        <v>या सोमसिद्धान्तमयाननेव शून्यात्मतावादमयोदरेव । विज्ञानसामस्त्यमयान्तरेव साकारतासिद्धिमयाखिलेव ॥नैषधीयचरितम्१०.८८ ॥</v>
      </c>
      <c r="B3562" s="4" t="s">
        <v>4</v>
      </c>
      <c r="C3562" s="4"/>
    </row>
    <row r="3563" spans="1:3" ht="24" customHeight="1">
      <c r="A3563" s="4" t="str">
        <f ca="1">IFERROR(__xludf.DUMMYFUNCTION("""COMPUTED_VALUE"""),"भीमस्तयागद्यत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॥नैषधीयचरितम्१०.८९ ॥")</f>
        <v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॥नैषधीयचरितम्१०.८९ ॥</v>
      </c>
      <c r="B3563" s="4" t="s">
        <v>13</v>
      </c>
      <c r="C3563" s="4"/>
    </row>
    <row r="3564" spans="1:3" ht="24" customHeight="1">
      <c r="A3564" s="4" t="str">
        <f ca="1">IFERROR(__xludf.DUMMYFUNCTION("""COMPUTED_VALUE"""),"अविन्दतासौ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॥नैषधीयचरितम्१०.९ ॥")</f>
        <v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॥नैषधीयचरितम्१०.९ ॥</v>
      </c>
      <c r="B3564" s="4" t="s">
        <v>9</v>
      </c>
      <c r="C3564" s="4"/>
    </row>
    <row r="3565" spans="1:3" ht="24" customHeight="1">
      <c r="A3565" s="4" t="str">
        <f ca="1">IFERROR(__xludf.DUMMYFUNCTION("""COMPUTED_VALUE"""),"तत्कालवेद्यैः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॥नैषधीयचरितम्१०.९१ ॥")</f>
        <v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॥नैषधीयचरितम्१०.९१ ॥</v>
      </c>
      <c r="B3565" s="4" t="s">
        <v>8</v>
      </c>
      <c r="C3565" s="4"/>
    </row>
    <row r="3566" spans="1:3" ht="24" customHeight="1">
      <c r="A3566" s="4" t="str">
        <f ca="1">IFERROR(__xludf.DUMMYFUNCTION("""COMPUTED_VALUE"""),"दिगन्तरेभ्यः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॥नैषधीयचरितम्१०.९२ ॥")</f>
        <v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॥नैषधीयचरितम्१०.९२ ॥</v>
      </c>
      <c r="B3566" s="4" t="s">
        <v>4</v>
      </c>
      <c r="C3566" s="4"/>
    </row>
    <row r="3567" spans="1:3" ht="24" customHeight="1">
      <c r="A3567" s="4" t="str">
        <f ca="1">IFERROR(__xludf.DUMMYFUNCTION("""COMPUTED_VALUE"""),"दासीषु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॥नैषधीयचरितम्१०.९३ ॥")</f>
        <v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॥नैषधीयचरितम्१०.९३ ॥</v>
      </c>
      <c r="B3567" s="4" t="s">
        <v>1</v>
      </c>
      <c r="C3567" s="4"/>
    </row>
    <row r="3568" spans="1:3" ht="24" customHeight="1">
      <c r="A3568" s="4" t="str">
        <f ca="1">IFERROR(__xludf.DUMMYFUNCTION("""COMPUTED_VALUE"""),"स्निग्धत्वमायाजललेपलोपसयत्नरत्नांशुमृजांशुकाभाम्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॥नैषधीयचरितम्१०.९४ ॥")</f>
        <v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॥नैषधीयचरितम्१०.९४ ॥</v>
      </c>
      <c r="B3568" s="4" t="s">
        <v>11</v>
      </c>
      <c r="C3568" s="4"/>
    </row>
    <row r="3569" spans="1:3" ht="24" customHeight="1">
      <c r="A3569" s="4" t="str">
        <f ca="1">IFERROR(__xludf.DUMMYFUNCTION("""COMPUTED_VALUE"""),"विलेपनामोदमुदागतेन तत्कर्णपूरोत्पलसर्पिणा च । रतीशदूतेन मधुव्रतेन कर्णे रहः किंचिदिवोच्यमानाम् ॥नैषधीयचरितम्१०.९५ ॥")</f>
        <v>विलेपनामोदमुदागतेन तत्कर्णपूरोत्पलसर्पिणा च । रतीशदूतेन मधुव्रतेन कर्णे रहः किंचिदिवोच्यमानाम् ॥नैषधीयचरितम्१०.९५ ॥</v>
      </c>
      <c r="B3569" s="4" t="s">
        <v>1</v>
      </c>
      <c r="C3569" s="4"/>
    </row>
    <row r="3570" spans="1:3" ht="24" customHeight="1">
      <c r="A3570" s="4" t="str">
        <f ca="1">IFERROR(__xludf.DUMMYFUNCTION("""COMPUTED_VALUE"""),"विरोधिवर्णाभरणाश्मभासां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॥नैषधीयचरितम्१०.९६ ॥")</f>
        <v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॥नैषधीयचरितम्१०.९६ ॥</v>
      </c>
      <c r="B3570" s="4" t="s">
        <v>2</v>
      </c>
      <c r="C3570" s="4"/>
    </row>
    <row r="3571" spans="1:3" ht="24" customHeight="1">
      <c r="A3571" s="4" t="str">
        <f ca="1">IFERROR(__xludf.DUMMYFUNCTION("""COMPUTED_VALUE"""),"सामोदपुष्पाशुगवासिताङ्गीं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॥नैषधीयचरितम्१०.९७ ॥")</f>
        <v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॥नैषधीयचरितम्१०.९७ ॥</v>
      </c>
      <c r="B3571" s="4" t="s">
        <v>7</v>
      </c>
      <c r="C3571" s="4"/>
    </row>
    <row r="3572" spans="1:3" ht="24" customHeight="1">
      <c r="A3572" s="4" t="str">
        <f ca="1">IFERROR(__xludf.DUMMYFUNCTION("""COMPUTED_VALUE"""),"पीतावदातारुणनीलभासां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॥नैषधीयचरितम्१०.९८ ॥")</f>
        <v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॥नैषधीयचरितम्१०.९८ ॥</v>
      </c>
      <c r="B3572" s="4" t="s">
        <v>2</v>
      </c>
      <c r="C3572" s="4"/>
    </row>
    <row r="3573" spans="1:3" ht="24" customHeight="1">
      <c r="A3573" s="4" t="str">
        <f ca="1">IFERROR(__xludf.DUMMYFUNCTION("""COMPUTED_VALUE"""),"स्मरं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॥नैषधीयचरितम्१०.९९ ॥ ")</f>
        <v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॥नैषधीयचरितम्१०.९९ ॥ </v>
      </c>
      <c r="B3573" s="4" t="s">
        <v>2</v>
      </c>
      <c r="C3573" s="4"/>
    </row>
    <row r="3574" spans="1:3" ht="24" customHeight="1">
      <c r="A3574" s="4" t="str">
        <f ca="1">IFERROR(__xludf.DUMMYFUNCTION("""COMPUTED_VALUE"""),"विभूषाणेभ्योऽवरमंशुकेषु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॥नैषधीयचरितम्१०.१ ॥")</f>
        <v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॥नैषधीयचरितम्१०.१ ॥</v>
      </c>
      <c r="B3574" s="4" t="s">
        <v>8</v>
      </c>
      <c r="C3574" s="4"/>
    </row>
    <row r="3575" spans="1:3" ht="24" customHeight="1">
      <c r="A3575" s="4" t="str">
        <f ca="1">IFERROR(__xludf.DUMMYFUNCTION("""COMPUTED_VALUE"""),"प्राक्पुष्पवर्षैर्वियतः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॥नैषधीयचरितम्१०.१०१ ॥")</f>
        <v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॥नैषधीयचरितम्१०.१०१ ॥</v>
      </c>
      <c r="B3575" s="4" t="s">
        <v>1</v>
      </c>
      <c r="C3575" s="4"/>
    </row>
    <row r="3576" spans="1:3" ht="24" customHeight="1">
      <c r="A3576" s="4" t="str">
        <f ca="1">IFERROR(__xludf.DUMMYFUNCTION("""COMPUTED_VALUE"""),"एतद्वरं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॥नैषधीयचरितम्१०.१०२ ॥")</f>
        <v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॥नैषधीयचरितम्१०.१०२ ॥</v>
      </c>
      <c r="B3576" s="4" t="s">
        <v>24</v>
      </c>
      <c r="C3576" s="4"/>
    </row>
    <row r="3577" spans="1:3" ht="24" customHeight="1">
      <c r="A3577" s="4" t="str">
        <f ca="1">IFERROR(__xludf.DUMMYFUNCTION("""COMPUTED_VALUE"""),"स्मितेच्छुदन्तच्छदकम्पकिंचिद्दिगम्बरीभूतरदांशुवृन्दैः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॥नैषधीयचरितम्१०.१०३ ॥")</f>
        <v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॥नैषधीयचरितम्१०.१०३ ॥</v>
      </c>
      <c r="B3577" s="4" t="s">
        <v>1</v>
      </c>
      <c r="C3577" s="4"/>
    </row>
    <row r="3578" spans="1:3" ht="24" customHeight="1">
      <c r="A3578" s="4" t="str">
        <f ca="1">IFERROR(__xludf.DUMMYFUNCTION("""COMPUTED_VALUE"""),"प्रत्यङ्गभूषाच्छमणिच्छलेन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॥नैषधीयचरितम्१०.१०४ ॥")</f>
        <v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॥नैषधीयचरितम्१०.१०४ ॥</v>
      </c>
      <c r="B3578" s="4" t="s">
        <v>0</v>
      </c>
      <c r="C3578" s="4"/>
    </row>
    <row r="3579" spans="1:3" ht="24" customHeight="1">
      <c r="A3579" s="4" t="str">
        <f ca="1">IFERROR(__xludf.DUMMYFUNCTION("""COMPUTED_VALUE"""),"तद्गौरसारस्मितविस्मितेन्दुप्रभाशिरःकम्परुचोऽभिनेतुम्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॥नैषधीयचरितम्१०.१०५ ॥")</f>
        <v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॥नैषधीयचरितम्१०.१०५ ॥</v>
      </c>
      <c r="B3579" s="4" t="s">
        <v>11</v>
      </c>
      <c r="C3579" s="4"/>
    </row>
    <row r="3580" spans="1:3" ht="24" customHeight="1">
      <c r="A3580" s="4" t="str">
        <f ca="1">IFERROR(__xludf.DUMMYFUNCTION("""COMPUTED_VALUE"""),"तदङ्गभोगावलिगायनीनां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॥नैषधीयचरितम्१०.१०६ ॥")</f>
        <v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॥नैषधीयचरितम्१०.१०६ ॥</v>
      </c>
      <c r="B3580" s="4" t="s">
        <v>2</v>
      </c>
      <c r="C3580" s="4"/>
    </row>
    <row r="3581" spans="1:3" ht="24" customHeight="1">
      <c r="A3581" s="4" t="str">
        <f ca="1">IFERROR(__xludf.DUMMYFUNCTION("""COMPUTED_VALUE"""),"तारा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॥नैषधीयचरितम्१०.१०७ ॥")</f>
        <v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॥नैषधीयचरितम्१०.१०७ ॥</v>
      </c>
      <c r="B3581" s="4" t="s">
        <v>2</v>
      </c>
      <c r="C3581" s="4"/>
    </row>
    <row r="3582" spans="1:3" ht="24" customHeight="1">
      <c r="A3582" s="4" t="str">
        <f ca="1">IFERROR(__xludf.DUMMYFUNCTION("""COMPUTED_VALUE"""),"अलंकृताङ्गाद्भुतकेवलाङ्गीं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॥नैषधीयचरितम्१०.१०८ ॥")</f>
        <v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॥नैषधीयचरितम्१०.१०८ ॥</v>
      </c>
      <c r="B3582" s="4" t="s">
        <v>3</v>
      </c>
      <c r="C3582" s="4"/>
    </row>
    <row r="3583" spans="1:3" ht="24" customHeight="1">
      <c r="A3583" s="4" t="str">
        <f ca="1">IFERROR(__xludf.DUMMYFUNCTION("""COMPUTED_VALUE"""),"आसीदसौ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॥नैषधीयचरितम्१०.१०९ ॥")</f>
        <v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॥नैषधीयचरितम्१०.१०९ ॥</v>
      </c>
      <c r="B3583" s="4" t="s">
        <v>7</v>
      </c>
      <c r="C3583" s="4"/>
    </row>
    <row r="3584" spans="1:3" ht="24" customHeight="1">
      <c r="A3584" s="4" t="str">
        <f ca="1">IFERROR(__xludf.DUMMYFUNCTION("""COMPUTED_VALUE"""),"अङ्गुष्ठमूर्ध्ना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॥नैषधीयचरितम्१०.११ ॥")</f>
        <v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॥नैषधीयचरितम्१०.११ ॥</v>
      </c>
      <c r="B3584" s="4" t="s">
        <v>12</v>
      </c>
      <c r="C3584" s="4"/>
    </row>
    <row r="3585" spans="1:3" ht="24" customHeight="1">
      <c r="A3585" s="4" t="str">
        <f ca="1">IFERROR(__xludf.DUMMYFUNCTION("""COMPUTED_VALUE"""),"अस्मिन्समाजे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॥नैषधीयचरितम्१०.१११ ॥")</f>
        <v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॥नैषधीयचरितम्१०.१११ ॥</v>
      </c>
      <c r="B3585" s="4" t="s">
        <v>4</v>
      </c>
      <c r="C3585" s="4"/>
    </row>
    <row r="3586" spans="1:3" ht="24" customHeight="1">
      <c r="A3586" s="4" t="str">
        <f ca="1">IFERROR(__xludf.DUMMYFUNCTION("""COMPUTED_VALUE"""),"स्वयंवरस्याजिरमाजिहानां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॥नैषधीयचरितम्१०.११२ ॥")</f>
        <v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॥नैषधीयचरितम्१०.११२ ॥</v>
      </c>
      <c r="B3586" s="4" t="s">
        <v>4</v>
      </c>
      <c r="C3586" s="4"/>
    </row>
    <row r="3587" spans="1:3" ht="24" customHeight="1">
      <c r="A3587" s="4" t="str">
        <f ca="1">IFERROR(__xludf.DUMMYFUNCTION("""COMPUTED_VALUE"""),"रम्भादिलोभात्कृतकर्मभिर्मा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॥नैषधीयचरितम्१०.११३ ॥")</f>
        <v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॥नैषधीयचरितम्१०.११३ ॥</v>
      </c>
      <c r="B3587" s="4" t="s">
        <v>5</v>
      </c>
      <c r="C3587" s="4"/>
    </row>
    <row r="3588" spans="1:3" ht="24" customHeight="1">
      <c r="A3588" s="4" t="str">
        <f ca="1">IFERROR(__xludf.DUMMYFUNCTION("""COMPUTED_VALUE"""),"रूपं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॥नैषधीयचरितम्१०.११४ ॥")</f>
        <v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॥नैषधीयचरितम्१०.११४ ॥</v>
      </c>
      <c r="B3588" s="4" t="s">
        <v>5</v>
      </c>
      <c r="C3588" s="4"/>
    </row>
    <row r="3589" spans="1:3" ht="24" customHeight="1">
      <c r="A3589" s="4" t="str">
        <f ca="1">IFERROR(__xludf.DUMMYFUNCTION("""COMPUTED_VALUE"""),"रसस्य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॥नैषधीयचरितम्१०.११५ ॥")</f>
        <v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॥नैषधीयचरितम्१०.११५ ॥</v>
      </c>
      <c r="B3589" s="4" t="s">
        <v>20</v>
      </c>
      <c r="C3589" s="4"/>
    </row>
    <row r="3590" spans="1:3" ht="24" customHeight="1">
      <c r="A3590" s="4" t="str">
        <f ca="1">IFERROR(__xludf.DUMMYFUNCTION("""COMPUTED_VALUE"""),"साक्षात्सुधांशुर्मुखमेव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॥नैषधीयचरितम्१०.११६ ॥")</f>
        <v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॥नैषधीयचरितम्१०.११६ ॥</v>
      </c>
      <c r="B3590" s="4" t="s">
        <v>5</v>
      </c>
      <c r="C3590" s="4"/>
    </row>
    <row r="3591" spans="1:3" ht="24" customHeight="1">
      <c r="A3591" s="4" t="str">
        <f ca="1">IFERROR(__xludf.DUMMYFUNCTION("""COMPUTED_VALUE"""),"लक्ष्ये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॥नैषधीयचरितम्१०.११७ ॥")</f>
        <v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॥नैषधीयचरितम्१०.११७ ॥</v>
      </c>
      <c r="B3591" s="4" t="s">
        <v>4</v>
      </c>
      <c r="C3591" s="4"/>
    </row>
    <row r="3592" spans="1:3" ht="24" customHeight="1">
      <c r="A3592" s="4" t="str">
        <f ca="1">IFERROR(__xludf.DUMMYFUNCTION("""COMPUTED_VALUE"""),"तनोत्यकीर्तिं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॥नैषधीयचरितम्१०.११८ ॥")</f>
        <v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॥नैषधीयचरितम्१०.११८ ॥</v>
      </c>
      <c r="B3592" s="4" t="s">
        <v>5</v>
      </c>
      <c r="C3592" s="4"/>
    </row>
    <row r="3593" spans="1:3" ht="24" customHeight="1">
      <c r="A3593" s="4" t="str">
        <f ca="1">IFERROR(__xludf.DUMMYFUNCTION("""COMPUTED_VALUE"""),"रजःपदं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॥नैषधीयचरितम्१०.११९ ॥")</f>
        <v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॥नैषधीयचरितम्१०.११९ ॥</v>
      </c>
      <c r="B3593" s="4" t="s">
        <v>9</v>
      </c>
      <c r="C3593" s="4"/>
    </row>
    <row r="3594" spans="1:3" ht="24" customHeight="1">
      <c r="A3594" s="4" t="str">
        <f ca="1">IFERROR(__xludf.DUMMYFUNCTION("""COMPUTED_VALUE"""),"पद्मान्हिमे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॥नैषधीयचरितम्१०.१२ ॥")</f>
        <v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॥नैषधीयचरितम्१०.१२ ॥</v>
      </c>
      <c r="B3594" s="4" t="s">
        <v>5</v>
      </c>
      <c r="C3594" s="4"/>
    </row>
    <row r="3595" spans="1:3" ht="24" customHeight="1">
      <c r="A3595" s="4" t="str">
        <f ca="1">IFERROR(__xludf.DUMMYFUNCTION("""COMPUTED_VALUE"""),"एतादृशोरम्बुरुहैर्विशेषं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॥नैषधीयचरितम्१०.१२१ ॥")</f>
        <v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॥नैषधीयचरितम्१०.१२१ ॥</v>
      </c>
      <c r="B3595" s="4" t="s">
        <v>12</v>
      </c>
      <c r="C3595" s="4"/>
    </row>
    <row r="3596" spans="1:3" ht="24" customHeight="1">
      <c r="A3596" s="4" t="str">
        <f ca="1">IFERROR(__xludf.DUMMYFUNCTION("""COMPUTED_VALUE"""),"व्यधत्ते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॥नैषधीयचरितम्१०.१२२ ॥")</f>
        <v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॥नैषधीयचरितम्१०.१२२ ॥</v>
      </c>
      <c r="B3596" s="4" t="s">
        <v>19</v>
      </c>
      <c r="C3596" s="4"/>
    </row>
    <row r="3597" spans="1:3" ht="24" customHeight="1">
      <c r="A3597" s="4" t="str">
        <f ca="1">IFERROR(__xludf.DUMMYFUNCTION("""COMPUTED_VALUE"""),"अस्या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॥नैषधीयचरितम्१०.१२३ ॥")</f>
        <v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॥नैषधीयचरितम्१०.१२३ ॥</v>
      </c>
      <c r="B3597" s="4" t="s">
        <v>19</v>
      </c>
      <c r="C3597" s="4"/>
    </row>
    <row r="3598" spans="1:3" ht="24" customHeight="1">
      <c r="A3598" s="4" t="str">
        <f ca="1">IFERROR(__xludf.DUMMYFUNCTION("""COMPUTED_VALUE"""),"छद्मैव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॥नैषधीयचरितम्१०.१२४ ॥")</f>
        <v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॥नैषधीयचरितम्१०.१२४ ॥</v>
      </c>
      <c r="B3598" s="4" t="s">
        <v>5</v>
      </c>
      <c r="C3598" s="4"/>
    </row>
    <row r="3599" spans="1:3" ht="24" customHeight="1">
      <c r="A3599" s="4" t="str">
        <f ca="1">IFERROR(__xludf.DUMMYFUNCTION("""COMPUTED_VALUE"""),"जागर्ति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॥नैषधीयचरितम्१०.१२५ ॥")</f>
        <v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॥नैषधीयचरितम्१०.१२५ ॥</v>
      </c>
      <c r="B3599" s="4" t="s">
        <v>20</v>
      </c>
      <c r="C3599" s="4"/>
    </row>
    <row r="3600" spans="1:3" ht="24" customHeight="1">
      <c r="A3600" s="4" t="str">
        <f ca="1">IFERROR(__xludf.DUMMYFUNCTION("""COMPUTED_VALUE"""),"नमः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॥नैषधीयचरितम्१०.१२६ ॥")</f>
        <v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॥नैषधीयचरितम्१०.१२६ ॥</v>
      </c>
      <c r="B3600" s="4" t="s">
        <v>9</v>
      </c>
      <c r="C3600" s="4"/>
    </row>
    <row r="3601" spans="1:3" ht="24" customHeight="1">
      <c r="A3601" s="4" t="str">
        <f ca="1">IFERROR(__xludf.DUMMYFUNCTION("""COMPUTED_VALUE"""),"इमां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॥नैषधीयचरितम्१०.१२७ ॥")</f>
        <v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॥नैषधीयचरितम्१०.१२७ ॥</v>
      </c>
      <c r="B3601" s="4" t="s">
        <v>7</v>
      </c>
      <c r="C3601" s="4"/>
    </row>
    <row r="3602" spans="1:3" ht="24" customHeight="1">
      <c r="A3602" s="4" t="str">
        <f ca="1">IFERROR(__xludf.DUMMYFUNCTION("""COMPUTED_VALUE"""),"उल्लास्य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॥नैषधीयचरितम्१०.१२८ ॥")</f>
        <v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॥नैषधीयचरितम्१०.१२८ ॥</v>
      </c>
      <c r="B3602" s="4" t="s">
        <v>18</v>
      </c>
      <c r="C3602" s="4"/>
    </row>
    <row r="3603" spans="1:3" ht="24" customHeight="1">
      <c r="A3603" s="4" t="str">
        <f ca="1">IFERROR(__xludf.DUMMYFUNCTION("""COMPUTED_VALUE"""),"निजामृतोद्यन्नवनीतजाङ्गीमेतां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॥नैषधीयचरितम्१०.१२९ ॥")</f>
        <v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॥नैषधीयचरितम्१०.१२९ ॥</v>
      </c>
      <c r="B3603" s="4" t="s">
        <v>1</v>
      </c>
      <c r="C3603" s="4"/>
    </row>
    <row r="3604" spans="1:3" ht="24" customHeight="1">
      <c r="A3604" s="4" t="str">
        <f ca="1">IFERROR(__xludf.DUMMYFUNCTION("""COMPUTED_VALUE"""),"अस्याः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॥नैषधीयचरितम्१०.१३ ॥")</f>
        <v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॥नैषधीयचरितम्१०.१३ ॥</v>
      </c>
      <c r="B3604" s="4" t="s">
        <v>1</v>
      </c>
      <c r="C3604" s="4"/>
    </row>
    <row r="3605" spans="1:3" ht="24" customHeight="1">
      <c r="A3605" s="4" t="str">
        <f ca="1">IFERROR(__xludf.DUMMYFUNCTION("""COMPUTED_VALUE"""),"कृतिः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॥नैषधीयचरितम्१०.१३१ ॥")</f>
        <v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॥नैषधीयचरितम्१०.१३१ ॥</v>
      </c>
      <c r="B3605" s="4" t="s">
        <v>7</v>
      </c>
      <c r="C3605" s="4"/>
    </row>
    <row r="3606" spans="1:3" ht="24" customHeight="1">
      <c r="A3606" s="4" t="str">
        <f ca="1">IFERROR(__xludf.DUMMYFUNCTION("""COMPUTED_VALUE"""),"गुरोरपीमां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॥नैषधीयचरितम्१०.१३२ ॥")</f>
        <v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॥नैषधीयचरितम्१०.१३२ ॥</v>
      </c>
      <c r="B3606" s="4" t="s">
        <v>5</v>
      </c>
      <c r="C3606" s="4"/>
    </row>
    <row r="3607" spans="1:3" ht="24" customHeight="1">
      <c r="A3607" s="4" t="str">
        <f ca="1">IFERROR(__xludf.DUMMYFUNCTION("""COMPUTED_VALUE"""),"आख्यातुमक्षिव्रजसर्वपीतां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॥नैषधीयचरितम्१०.१३३ ॥")</f>
        <v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॥नैषधीयचरितम्१०.१३३ ॥</v>
      </c>
      <c r="B3607" s="4" t="s">
        <v>0</v>
      </c>
      <c r="C3607" s="4"/>
    </row>
    <row r="3608" spans="1:3" ht="24" customHeight="1">
      <c r="A3608" s="4" t="str">
        <f ca="1">IFERROR(__xludf.DUMMYFUNCTION("""COMPUTED_VALUE"""),"स्मितेन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॥नैषधीयचरितम्१०.१३४ ॥")</f>
        <v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॥नैषधीयचरितम्१०.१३४ ॥</v>
      </c>
      <c r="B3608" s="4" t="s">
        <v>9</v>
      </c>
      <c r="C3608" s="4"/>
    </row>
    <row r="3609" spans="1:3" ht="24" customHeight="1">
      <c r="A3609" s="4" t="str">
        <f ca="1">IFERROR(__xludf.DUMMYFUNCTION("""COMPUTED_VALUE"""),"इति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॥नैषधीयचरितम्१०.१३५ ॥")</f>
        <v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॥नैषधीयचरितम्१०.१३५ ॥</v>
      </c>
      <c r="B3609" s="4" t="s">
        <v>19</v>
      </c>
      <c r="C3609" s="4"/>
    </row>
    <row r="3610" spans="1:3" ht="24" customHeight="1">
      <c r="A3610" s="4" t="str">
        <f ca="1">IFERROR(__xludf.DUMMYFUNCTION("""COMPUTED_VALUE"""),"स्वं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॥नैषधीयचरितम्१०.१३६ ॥")</f>
        <v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॥नैषधीयचरितम्१०.१३६ ॥</v>
      </c>
      <c r="B3610" s="4" t="s">
        <v>18</v>
      </c>
      <c r="C3610" s="4"/>
    </row>
    <row r="3611" spans="1:3" ht="24" customHeight="1">
      <c r="A3611" s="4" t="str">
        <f ca="1">IFERROR(__xludf.DUMMYFUNCTION("""COMPUTED_VALUE"""),"इयमियमधिरथ्यं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॥नैषधीयचरितम्१०.१३७ ॥")</f>
        <v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॥नैषधीयचरितम्१०.१३७ ॥</v>
      </c>
      <c r="B3611" s="4" t="s">
        <v>2</v>
      </c>
      <c r="C3611" s="4"/>
    </row>
    <row r="3612" spans="1:3" ht="24" customHeight="1">
      <c r="A3612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॥नैषधीयचरितम्१०.१३८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॥नैषधीयचरितम्१०.१३८ ॥</v>
      </c>
      <c r="B3612" s="4" t="s">
        <v>11</v>
      </c>
      <c r="C3612" s="4"/>
    </row>
    <row r="3613" spans="1:3" ht="24" customHeight="1">
      <c r="A3613" s="4" t="str">
        <f ca="1">IFERROR(__xludf.DUMMYFUNCTION("""COMPUTED_VALUE"""),"तां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॥नैषधीयचरितम्११.१ ॥")</f>
        <v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॥नैषधीयचरितम्११.१ ॥</v>
      </c>
      <c r="B3613" s="4" t="s">
        <v>3</v>
      </c>
      <c r="C3613" s="4"/>
    </row>
    <row r="3614" spans="1:3" ht="24" customHeight="1">
      <c r="A3614" s="4" t="str">
        <f ca="1">IFERROR(__xludf.DUMMYFUNCTION("""COMPUTED_VALUE"""),"तन्निर्मलावयवभित्तिषु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॥नैषधीयचरितम्११.२ ॥")</f>
        <v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॥नैषधीयचरितम्११.२ ॥</v>
      </c>
      <c r="B3614" s="4" t="s">
        <v>3</v>
      </c>
      <c r="C3614" s="4"/>
    </row>
    <row r="3615" spans="1:3" ht="24" customHeight="1">
      <c r="A3615" s="4" t="str">
        <f ca="1">IFERROR(__xludf.DUMMYFUNCTION("""COMPUTED_VALUE"""),"द्यामन्तरा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॥नैषधीयचरितम्११.३ ॥")</f>
        <v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॥नैषधीयचरितम्११.३ ॥</v>
      </c>
      <c r="B3615" s="4" t="s">
        <v>1</v>
      </c>
      <c r="C3615" s="4"/>
    </row>
    <row r="3616" spans="1:3" ht="24" customHeight="1">
      <c r="A3616" s="4" t="str">
        <f ca="1">IFERROR(__xludf.DUMMYFUNCTION("""COMPUTED_VALUE"""),"कुर्वद्भिरात्मभवसौरभसंप्रदानं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॥नैषधीयचरितम्११.४ ॥")</f>
        <v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॥नैषधीयचरितम्११.४ ॥</v>
      </c>
      <c r="B3616" s="4" t="s">
        <v>9</v>
      </c>
      <c r="C3616" s="4"/>
    </row>
    <row r="3617" spans="1:3" ht="24" customHeight="1">
      <c r="A3617" s="4" t="str">
        <f ca="1">IFERROR(__xludf.DUMMYFUNCTION("""COMPUTED_VALUE"""),"तत्रावनीन्द्रचयचन्दनचन्द्रलेपनेपथ्यगन्धवहगन्धवहप्रवाहम्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॥नैषधीयचरितम्११.५ ॥")</f>
        <v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॥नैषधीयचरितम्११.५ ॥</v>
      </c>
      <c r="B3617" s="4" t="s">
        <v>15</v>
      </c>
      <c r="C3617" s="4"/>
    </row>
    <row r="3618" spans="1:3" ht="24" customHeight="1">
      <c r="A3618" s="4" t="str">
        <f ca="1">IFERROR(__xludf.DUMMYFUNCTION("""COMPUTED_VALUE"""),"उत्तुङ्गमङ्गलमृदङ्गनिनादभङ्गीसर्वानुवादविधिबोधितसाधुमेधाः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॥नैषधीयचरितम्११.६ ॥")</f>
        <v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॥नैषधीयचरितम्११.६ ॥</v>
      </c>
      <c r="B3618" s="4" t="s">
        <v>4</v>
      </c>
      <c r="C3618" s="4"/>
    </row>
    <row r="3619" spans="1:3" ht="24" customHeight="1">
      <c r="A3619" s="4" t="str">
        <f ca="1">IFERROR(__xludf.DUMMYFUNCTION("""COMPUTED_VALUE"""),"संभाषणं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॥नैषधीयचरितम्११.७ ॥")</f>
        <v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॥नैषधीयचरितम्११.७ ॥</v>
      </c>
      <c r="B3619" s="4" t="s">
        <v>5</v>
      </c>
      <c r="C3619" s="4"/>
    </row>
    <row r="3620" spans="1:3" ht="24" customHeight="1">
      <c r="A3620" s="4" t="str">
        <f ca="1">IFERROR(__xludf.DUMMYFUNCTION("""COMPUTED_VALUE"""),"अभ्यागमन्मुखभुजामिह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॥नैषधीयचरितम्११.८ ॥")</f>
        <v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॥नैषधीयचरितम्११.८ ॥</v>
      </c>
      <c r="B3620" s="4" t="s">
        <v>1</v>
      </c>
      <c r="C3620" s="4"/>
    </row>
    <row r="3621" spans="1:3" ht="24" customHeight="1">
      <c r="A3621" s="4" t="str">
        <f ca="1">IFERROR(__xludf.DUMMYFUNCTION("""COMPUTED_VALUE"""),"एषां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॥नैषधीयचरितम्११.९ ॥")</f>
        <v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॥नैषधीयचरितम्११.९ ॥</v>
      </c>
      <c r="B3621" s="4" t="s">
        <v>2</v>
      </c>
      <c r="C3621" s="4"/>
    </row>
    <row r="3622" spans="1:3" ht="24" customHeight="1">
      <c r="A3622" s="4" t="str">
        <f ca="1">IFERROR(__xludf.DUMMYFUNCTION("""COMPUTED_VALUE"""),"एषां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॥नैषधीयचरितम्११.१ ॥")</f>
        <v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॥नैषधीयचरितम्११.१ ॥</v>
      </c>
      <c r="B3622" s="4" t="s">
        <v>20</v>
      </c>
      <c r="C3622" s="4"/>
    </row>
    <row r="3623" spans="1:3" ht="24" customHeight="1">
      <c r="A3623" s="4" t="str">
        <f ca="1">IFERROR(__xludf.DUMMYFUNCTION("""COMPUTED_VALUE"""),"वक्त्रेन्दुसंनिधिनिमीलदलारविन्दद्वन्द्वभ्रमक्षममथाञ्जलिनात्ममौलौ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॥नैषधीयचरितम्११.११ ॥")</f>
        <v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॥नैषधीयचरितम्११.११ ॥</v>
      </c>
      <c r="B3623" s="4" t="s">
        <v>1</v>
      </c>
      <c r="C3623" s="4"/>
    </row>
    <row r="3624" spans="1:3" ht="24" customHeight="1">
      <c r="A3624" s="4" t="str">
        <f ca="1">IFERROR(__xludf.DUMMYFUNCTION("""COMPUTED_VALUE"""),"तत्तद्विरागमुदितं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॥नैषधीयचरितम्११.१२ ॥")</f>
        <v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॥नैषधीयचरितम्११.१२ ॥</v>
      </c>
      <c r="B3624" s="4" t="s">
        <v>25</v>
      </c>
      <c r="C3624" s="4"/>
    </row>
    <row r="3625" spans="1:3" ht="24" customHeight="1">
      <c r="A3625" s="4" t="str">
        <f ca="1">IFERROR(__xludf.DUMMYFUNCTION("""COMPUTED_VALUE"""),"रक्षःस्वरक्षणमवेक्ष्य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॥नैषधीयचरितम्११.१३ ॥")</f>
        <v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॥नैषधीयचरितम्११.१३ ॥</v>
      </c>
      <c r="B3625" s="4" t="s">
        <v>15</v>
      </c>
      <c r="C3625" s="4"/>
    </row>
    <row r="3626" spans="1:3" ht="24" customHeight="1">
      <c r="A3626" s="4" t="str">
        <f ca="1">IFERROR(__xludf.DUMMYFUNCTION("""COMPUTED_VALUE"""),"दीनेषु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॥नैषधीयचरितम्११.१४ ॥")</f>
        <v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॥नैषधीयचरितम्११.१४ ॥</v>
      </c>
      <c r="B3626" s="4" t="s">
        <v>7</v>
      </c>
      <c r="C3626" s="4"/>
    </row>
    <row r="3627" spans="1:3" ht="24" customHeight="1">
      <c r="A3627" s="4" t="str">
        <f ca="1">IFERROR(__xludf.DUMMYFUNCTION("""COMPUTED_VALUE"""),"जन्यास्ततः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॥नैषधीयचरितम्११.१५ ॥")</f>
        <v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॥नैषधीयचरितम्११.१५ ॥</v>
      </c>
      <c r="B3627" s="4" t="s">
        <v>4</v>
      </c>
      <c r="C3627" s="4"/>
    </row>
    <row r="3628" spans="1:3" ht="24" customHeight="1">
      <c r="A3628" s="4" t="str">
        <f ca="1">IFERROR(__xludf.DUMMYFUNCTION("""COMPUTED_VALUE"""),"यस्या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॥नैषधीयचरितम्११.१६ ॥")</f>
        <v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॥नैषधीयचरितम्११.१६ ॥</v>
      </c>
      <c r="B3628" s="4" t="s">
        <v>6</v>
      </c>
      <c r="C3628" s="4"/>
    </row>
    <row r="3629" spans="1:3" ht="24" customHeight="1">
      <c r="A3629" s="4" t="str">
        <f ca="1">IFERROR(__xludf.DUMMYFUNCTION("""COMPUTED_VALUE"""),"आश्लेषलग्नगिरिजाकुचकुङ्कुमेन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॥नैषधीयचरितम्११.१७ ॥")</f>
        <v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॥नैषधीयचरितम्११.१७ ॥</v>
      </c>
      <c r="B3629" s="4" t="s">
        <v>0</v>
      </c>
      <c r="C3629" s="4"/>
    </row>
    <row r="3630" spans="1:3" ht="24" customHeight="1">
      <c r="A3630" s="4" t="str">
        <f ca="1">IFERROR(__xludf.DUMMYFUNCTION("""COMPUTED_VALUE"""),"पाणौ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॥नैषधीयचरितम्११.१८ ॥")</f>
        <v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॥नैषधीयचरितम्११.१८ ॥</v>
      </c>
      <c r="B3630" s="4" t="s">
        <v>2</v>
      </c>
      <c r="C3630" s="4"/>
    </row>
    <row r="3631" spans="1:3" ht="24" customHeight="1">
      <c r="A3631" s="4" t="str">
        <f ca="1">IFERROR(__xludf.DUMMYFUNCTION("""COMPUTED_VALUE"""),"धृत्वैकया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॥नैषधीयचरितम्११.१९ ॥")</f>
        <v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॥नैषधीयचरितम्११.१९ ॥</v>
      </c>
      <c r="B3631" s="4" t="s">
        <v>5</v>
      </c>
      <c r="C3631" s="4"/>
    </row>
    <row r="3632" spans="1:3" ht="24" customHeight="1">
      <c r="A3632" s="4" t="str">
        <f ca="1">IFERROR(__xludf.DUMMYFUNCTION("""COMPUTED_VALUE"""),"आशीविषेण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॥नैषधीयचरितम्११.२ ॥")</f>
        <v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॥नैषधीयचरितम्११.२ ॥</v>
      </c>
      <c r="B3632" s="4" t="s">
        <v>2</v>
      </c>
      <c r="C3632" s="4"/>
    </row>
    <row r="3633" spans="1:3" ht="24" customHeight="1">
      <c r="A3633" s="4" t="str">
        <f ca="1">IFERROR(__xludf.DUMMYFUNCTION("""COMPUTED_VALUE"""),"तद्विस्फुरत्फणविलोकनभूतभीतेः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॥नैषधीयचरितम्११.२१ ॥")</f>
        <v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॥नैषधीयचरितम्११.२१ ॥</v>
      </c>
      <c r="B3633" s="4" t="s">
        <v>13</v>
      </c>
      <c r="C3633" s="4"/>
    </row>
    <row r="3634" spans="1:3" ht="24" customHeight="1">
      <c r="A3634" s="4" t="str">
        <f ca="1">IFERROR(__xludf.DUMMYFUNCTION("""COMPUTED_VALUE"""),"तद्दर्शिभिः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॥नैषधीयचरितम्११.२२ ॥")</f>
        <v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॥नैषधीयचरितम्११.२२ ॥</v>
      </c>
      <c r="B3634" s="4" t="s">
        <v>12</v>
      </c>
      <c r="C3634" s="4"/>
    </row>
    <row r="3635" spans="1:3" ht="24" customHeight="1">
      <c r="A3635" s="4" t="str">
        <f ca="1">IFERROR(__xludf.DUMMYFUNCTION("""COMPUTED_VALUE"""),"ह्रीसंकुचत्फणगणादुरगप्रधानात्तां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॥नैषधीयचरितम्११.२३ ॥")</f>
        <v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॥नैषधीयचरितम्११.२३ ॥</v>
      </c>
      <c r="B3635" s="4" t="s">
        <v>18</v>
      </c>
      <c r="C3635" s="4"/>
    </row>
    <row r="3636" spans="1:3" ht="24" customHeight="1">
      <c r="A3636" s="4" t="str">
        <f ca="1">IFERROR(__xludf.DUMMYFUNCTION("""COMPUTED_VALUE"""),"देव्याभ्यधायि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॥नैषधीयचरितम्११.२४ ॥")</f>
        <v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॥नैषधीयचरितम्११.२४ ॥</v>
      </c>
      <c r="B3636" s="4" t="s">
        <v>4</v>
      </c>
      <c r="C3636" s="4"/>
    </row>
    <row r="3637" spans="1:3" ht="24" customHeight="1">
      <c r="A3637" s="4" t="str">
        <f ca="1">IFERROR(__xludf.DUMMYFUNCTION("""COMPUTED_VALUE"""),"लोकेशकेशवशिवानपि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॥नैषधीयचरितम्११.२५ ॥")</f>
        <v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॥नैषधीयचरितम्११.२५ ॥</v>
      </c>
      <c r="B3637" s="4" t="s">
        <v>4</v>
      </c>
      <c r="C3637" s="4"/>
    </row>
    <row r="3638" spans="1:3" ht="24" customHeight="1">
      <c r="A3638" s="4" t="str">
        <f ca="1">IFERROR(__xludf.DUMMYFUNCTION("""COMPUTED_VALUE"""),"पुष्पेषुणा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॥नैषधीयचरितम्११.२६ ॥")</f>
        <v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॥नैषधीयचरितम्११.२६ ॥</v>
      </c>
      <c r="B3638" s="4" t="s">
        <v>4</v>
      </c>
      <c r="C3638" s="4"/>
    </row>
    <row r="3639" spans="1:3" ht="24" customHeight="1">
      <c r="A3639" s="4" t="str">
        <f ca="1">IFERROR(__xludf.DUMMYFUNCTION("""COMPUTED_VALUE"""),"स्वादूदके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॥नैषधीयचरितम्११.२७ ॥")</f>
        <v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॥नैषधीयचरितम्११.२७ ॥</v>
      </c>
      <c r="B3639" s="4" t="s">
        <v>13</v>
      </c>
      <c r="C3639" s="4"/>
    </row>
    <row r="3640" spans="1:3" ht="24" customHeight="1">
      <c r="A3640" s="4" t="str">
        <f ca="1">IFERROR(__xludf.DUMMYFUNCTION("""COMPUTED_VALUE"""),"सावर्तभावभवदद्भुतनाभिकूपे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॥नैषधीयचरितम्११.२८ ॥")</f>
        <v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॥नैषधीयचरितम्११.२८ ॥</v>
      </c>
      <c r="B3640" s="4" t="s">
        <v>18</v>
      </c>
      <c r="C3640" s="4"/>
    </row>
    <row r="3641" spans="1:3" ht="24" customHeight="1">
      <c r="A3641" s="4" t="str">
        <f ca="1">IFERROR(__xludf.DUMMYFUNCTION("""COMPUTED_VALUE"""),"देवः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॥नैषधीयचरितम्११.२९ ॥")</f>
        <v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॥नैषधीयचरितम्११.२९ ॥</v>
      </c>
      <c r="B3641" s="4" t="s">
        <v>9</v>
      </c>
      <c r="C3641" s="4"/>
    </row>
    <row r="3642" spans="1:3" ht="24" customHeight="1">
      <c r="A3642" s="4" t="str">
        <f ca="1">IFERROR(__xludf.DUMMYFUNCTION("""COMPUTED_VALUE"""),"न्यग्रोधनादिव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॥नैषधीयचरितम्११.३ ॥")</f>
        <v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॥नैषधीयचरितम्११.३ ॥</v>
      </c>
      <c r="B3642" s="4" t="s">
        <v>0</v>
      </c>
      <c r="C3642" s="4"/>
    </row>
    <row r="3643" spans="1:3" ht="24" customHeight="1">
      <c r="A3643" s="4" t="str">
        <f ca="1">IFERROR(__xludf.DUMMYFUNCTION("""COMPUTED_VALUE"""),"न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॥नैषधीयचरितम्११.३१ ॥ ")</f>
        <v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॥नैषधीयचरितम्११.३१ ॥ </v>
      </c>
      <c r="B3643" s="4" t="s">
        <v>2</v>
      </c>
      <c r="C3643" s="4"/>
    </row>
    <row r="3644" spans="1:3" ht="24" customHeight="1">
      <c r="A3644" s="4" t="str">
        <f ca="1">IFERROR(__xludf.DUMMYFUNCTION("""COMPUTED_VALUE"""),"शूरेऽपि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॥नैषधीयचरितम्११.३२ ॥ ")</f>
        <v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॥नैषधीयचरितम्११.३२ ॥ </v>
      </c>
      <c r="B3644" s="4" t="s">
        <v>12</v>
      </c>
      <c r="C3644" s="4"/>
    </row>
    <row r="3645" spans="1:3" ht="24" customHeight="1">
      <c r="A3645" s="4" t="str">
        <f ca="1">IFERROR(__xludf.DUMMYFUNCTION("""COMPUTED_VALUE"""),"भ्रूवल्लिवेल्लितमथाकृतिभङ्गिमेषा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॥नैषधीयचरितम्११.३३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भवत्यवसरः"&amp;" सति भव्यभृत्ये ॥ ११.३४ ॥ ")</f>
        <v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॥नैषधीयचरितम्११.३३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v>
      </c>
      <c r="B3645" s="4" t="s">
        <v>12</v>
      </c>
      <c r="C3645" s="4"/>
    </row>
    <row r="3646" spans="1:3" ht="24" customHeight="1">
      <c r="A3646" s="4" t="str">
        <f ca="1">IFERROR(__xludf.DUMMYFUNCTION("""COMPUTED_VALUE"""),"ऊचे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॥नैषधीयचरितम्११.३५ ॥ ")</f>
        <v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॥नैषधीयचरितम्११.३५ ॥ </v>
      </c>
      <c r="B3646" s="4" t="s">
        <v>26</v>
      </c>
      <c r="C3646" s="4"/>
    </row>
    <row r="3647" spans="1:3" ht="24" customHeight="1">
      <c r="A3647" s="4" t="str">
        <f ca="1">IFERROR(__xludf.DUMMYFUNCTION("""COMPUTED_VALUE"""),"एतत्पुरःपठदपश्रमबन्दिवृन्दवाग्डम्बरैरनवकाशतरेऽम्बरेऽस्मिन्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॥नैषधीयचरितम्११.३६ ॥")</f>
        <v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॥नैषधीयचरितम्११.३६ ॥</v>
      </c>
      <c r="B3647" s="4" t="s">
        <v>1</v>
      </c>
      <c r="C3647" s="4"/>
    </row>
    <row r="3648" spans="1:3" ht="24" customHeight="1">
      <c r="A3648" s="4" t="str">
        <f ca="1">IFERROR(__xludf.DUMMYFUNCTION("""COMPUTED_VALUE"""),"नन्वत्र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॥नैषधीयचरितम्११.३७ ॥")</f>
        <v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॥नैषधीयचरितम्११.३७ ॥</v>
      </c>
      <c r="B3648" s="4" t="s">
        <v>19</v>
      </c>
      <c r="C3648" s="4"/>
    </row>
    <row r="3649" spans="1:3" ht="24" customHeight="1">
      <c r="A3649" s="4" t="str">
        <f ca="1">IFERROR(__xludf.DUMMYFUNCTION("""COMPUTED_VALUE"""),"शुकच्छदसमच्छविपत्त्रमालभारी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॥नैषधीयचरितम्११.३८ ॥")</f>
        <v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॥नैषधीयचरितम्११.३८ ॥</v>
      </c>
      <c r="B3649" s="4" t="s">
        <v>2</v>
      </c>
      <c r="C3649" s="4"/>
    </row>
    <row r="3650" spans="1:3" ht="24" customHeight="1">
      <c r="A3650" s="4" t="str">
        <f ca="1">IFERROR(__xludf.DUMMYFUNCTION("""COMPUTED_VALUE"""),"स्पर्शेन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॥नैषधीयचरितम्११.३९ ॥")</f>
        <v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॥नैषधीयचरितम्११.३९ ॥</v>
      </c>
      <c r="B3650" s="4" t="s">
        <v>9</v>
      </c>
      <c r="C3650" s="4"/>
    </row>
    <row r="3651" spans="1:3" ht="24" customHeight="1">
      <c r="A3651" s="4" t="str">
        <f ca="1">IFERROR(__xludf.DUMMYFUNCTION("""COMPUTED_VALUE"""),"क्षीरार्णवस्तवकटाक्षरुचिच्छटानामन्वेतु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॥नैषधीयचरितम्११.४ ॥")</f>
        <v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॥नैषधीयचरितम्११.४ ॥</v>
      </c>
      <c r="B3651" s="4" t="s">
        <v>5</v>
      </c>
      <c r="C3651" s="4"/>
    </row>
    <row r="3652" spans="1:3" ht="24" customHeight="1">
      <c r="A3652" s="4" t="str">
        <f ca="1">IFERROR(__xludf.DUMMYFUNCTION("""COMPUTED_VALUE"""),"कल्लोलजालचलनोपनतेन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॥नैषधीयचरितम्११.४१ ॥")</f>
        <v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॥नैषधीयचरितम्११.४१ ॥</v>
      </c>
      <c r="B3652" s="4" t="s">
        <v>3</v>
      </c>
      <c r="C3652" s="4"/>
    </row>
    <row r="3653" spans="1:3" ht="24" customHeight="1">
      <c r="A3653" s="4" t="str">
        <f ca="1">IFERROR(__xludf.DUMMYFUNCTION("""COMPUTED_VALUE"""),"त्वद्रूपसंपदवलोकनजातशङ्का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॥नैषधीयचरितम्११.४२ ॥")</f>
        <v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॥नैषधीयचरितम्११.४२ ॥</v>
      </c>
      <c r="B3653" s="4" t="s">
        <v>5</v>
      </c>
      <c r="C3653" s="4"/>
    </row>
    <row r="3654" spans="1:3" ht="24" customHeight="1">
      <c r="A3654" s="4" t="str">
        <f ca="1">IFERROR(__xludf.DUMMYFUNCTION("""COMPUTED_VALUE"""),"बालातपैः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॥नैषधीयचरितम्११.४३ ॥")</f>
        <v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॥नैषधीयचरितम्११.४३ ॥</v>
      </c>
      <c r="B3654" s="4" t="s">
        <v>9</v>
      </c>
      <c r="C3654" s="4"/>
    </row>
    <row r="3655" spans="1:3" ht="24" customHeight="1">
      <c r="A3655" s="4" t="str">
        <f ca="1">IFERROR(__xludf.DUMMYFUNCTION("""COMPUTED_VALUE"""),"न्ṝणां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॥नैषधीयचरितम्११.४४ ॥")</f>
        <v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॥नैषधीयचरितम्११.४४ ॥</v>
      </c>
      <c r="B3655" s="4" t="s">
        <v>12</v>
      </c>
      <c r="C3655" s="4"/>
    </row>
    <row r="3656" spans="1:3" ht="24" customHeight="1">
      <c r="A3656" s="4" t="str">
        <f ca="1">IFERROR(__xludf.DUMMYFUNCTION("""COMPUTED_VALUE"""),"एतेन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॥नैषधीयचरितम्११.४५ ॥")</f>
        <v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॥नैषधीयचरितम्११.४५ ॥</v>
      </c>
      <c r="B3656" s="4" t="s">
        <v>2</v>
      </c>
      <c r="C3656" s="4"/>
    </row>
    <row r="3657" spans="1:3" ht="24" customHeight="1">
      <c r="A3657" s="4" t="str">
        <f ca="1">IFERROR(__xludf.DUMMYFUNCTION("""COMPUTED_VALUE"""),"लक्ष्मीलतासमवलम्बभुजद्रुमेऽपि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॥नैषधीयचरितम्११.४६ ॥")</f>
        <v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॥नैषधीयचरितम्११.४६ ॥</v>
      </c>
      <c r="B3657" s="4" t="s">
        <v>4</v>
      </c>
      <c r="C3657" s="4"/>
    </row>
    <row r="3658" spans="1:3" ht="24" customHeight="1">
      <c r="A3658" s="4" t="str">
        <f ca="1">IFERROR(__xludf.DUMMYFUNCTION("""COMPUTED_VALUE"""),"लक्ष्मीविलासवसतेः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॥नैषधीयचरितम्११.४७ ॥")</f>
        <v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॥नैषधीयचरितम्११.४७ ॥</v>
      </c>
      <c r="B3658" s="4" t="s">
        <v>24</v>
      </c>
      <c r="C3658" s="4"/>
    </row>
    <row r="3659" spans="1:3" ht="24" customHeight="1">
      <c r="A3659" s="4" t="str">
        <f ca="1">IFERROR(__xludf.DUMMYFUNCTION("""COMPUTED_VALUE"""),"भूयस्ततो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॥नैषधीयचरितम्११.४८ ॥")</f>
        <v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॥नैषधीयचरितम्११.४८ ॥</v>
      </c>
      <c r="B3659" s="4" t="s">
        <v>2</v>
      </c>
      <c r="C3659" s="4"/>
    </row>
    <row r="3660" spans="1:3" ht="24" customHeight="1">
      <c r="A3660" s="4" t="str">
        <f ca="1">IFERROR(__xludf.DUMMYFUNCTION("""COMPUTED_VALUE"""),"द्वीपस्य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॥नैषधीयचरितम्११.४९ ॥")</f>
        <v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॥नैषधीयचरितम्११.४९ ॥</v>
      </c>
      <c r="B3660" s="4" t="s">
        <v>0</v>
      </c>
      <c r="C3660" s="4"/>
    </row>
    <row r="3661" spans="1:3" ht="24" customHeight="1">
      <c r="A3661" s="4" t="str">
        <f ca="1">IFERROR(__xludf.DUMMYFUNCTION("""COMPUTED_VALUE"""),"तत्राद्रिरस्ति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॥नैषधीयचरितम्११.५ ॥")</f>
        <v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॥नैषधीयचरितम्११.५ ॥</v>
      </c>
      <c r="B3661" s="4" t="s">
        <v>12</v>
      </c>
      <c r="C3661" s="4"/>
    </row>
    <row r="3662" spans="1:3" ht="24" customHeight="1">
      <c r="A3662" s="4" t="str">
        <f ca="1">IFERROR(__xludf.DUMMYFUNCTION("""COMPUTED_VALUE"""),"वैदर्भि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॥नैषधीयचरितम्११.५१ ॥")</f>
        <v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॥नैषधीयचरितम्११.५१ ॥</v>
      </c>
      <c r="B3662" s="4" t="s">
        <v>8</v>
      </c>
      <c r="C3662" s="4"/>
    </row>
    <row r="3663" spans="1:3" ht="24" customHeight="1">
      <c r="A3663" s="4" t="str">
        <f ca="1">IFERROR(__xludf.DUMMYFUNCTION("""COMPUTED_VALUE"""),"चूडाग्रचुम्बिमिहिरोदयशैलशीलस्तेनाः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॥नैषधीयचरितम्११.५२ ॥")</f>
        <v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॥नैषधीयचरितम्११.५२ ॥</v>
      </c>
      <c r="B3663" s="4" t="s">
        <v>18</v>
      </c>
      <c r="C3663" s="4"/>
    </row>
    <row r="3664" spans="1:3" ht="24" customHeight="1">
      <c r="A3664" s="4" t="str">
        <f ca="1">IFERROR(__xludf.DUMMYFUNCTION("""COMPUTED_VALUE"""),"तस्मिन्मलिम्लुच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॥नैषधीयचरितम्११.५३ ॥")</f>
        <v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॥नैषधीयचरितम्११.५३ ॥</v>
      </c>
      <c r="B3664" s="4" t="s">
        <v>2</v>
      </c>
      <c r="C3664" s="4"/>
    </row>
    <row r="3665" spans="1:3" ht="24" customHeight="1">
      <c r="A3665" s="4" t="str">
        <f ca="1">IFERROR(__xludf.DUMMYFUNCTION("""COMPUTED_VALUE"""),"एतद्यशो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॥नैषधीयचरितम्११.५४ ॥")</f>
        <v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॥नैषधीयचरितम्११.५४ ॥</v>
      </c>
      <c r="B3665" s="4" t="s">
        <v>2</v>
      </c>
      <c r="C3665" s="4"/>
    </row>
    <row r="3666" spans="1:3" ht="24" customHeight="1">
      <c r="A3666" s="4" t="str">
        <f ca="1">IFERROR(__xludf.DUMMYFUNCTION("""COMPUTED_VALUE"""),"तस्मिन्गुणैरपि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॥नैषधीयचरितम्११.५५ ॥")</f>
        <v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॥नैषधीयचरितम्११.५५ ॥</v>
      </c>
      <c r="B3666" s="4" t="s">
        <v>7</v>
      </c>
      <c r="C3666" s="4"/>
    </row>
    <row r="3667" spans="1:3" ht="24" customHeight="1">
      <c r="A3667" s="4" t="str">
        <f ca="1">IFERROR(__xludf.DUMMYFUNCTION("""COMPUTED_VALUE"""),"ते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॥नैषधीयचरितम्११.५६ ॥")</f>
        <v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॥नैषधीयचरितम्११.५६ ॥</v>
      </c>
      <c r="B3667" s="4" t="s">
        <v>15</v>
      </c>
      <c r="C3667" s="4"/>
    </row>
    <row r="3668" spans="1:3" ht="24" customHeight="1">
      <c r="A3668" s="4" t="str">
        <f ca="1">IFERROR(__xludf.DUMMYFUNCTION("""COMPUTED_VALUE"""),"एकैकमद्भुतगुणं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॥नैषधीयचरितम्११.५७ ॥")</f>
        <v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॥नैषधीयचरितम्११.५७ ॥</v>
      </c>
      <c r="B3668" s="4" t="s">
        <v>18</v>
      </c>
      <c r="C3668" s="4"/>
    </row>
    <row r="3669" spans="1:3" ht="24" customHeight="1">
      <c r="A3669" s="4" t="str">
        <f ca="1">IFERROR(__xludf.DUMMYFUNCTION("""COMPUTED_VALUE"""),"ईशः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॥नैषधीयचरितम्११.५८ ॥")</f>
        <v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॥नैषधीयचरितम्११.५८ ॥</v>
      </c>
      <c r="B3669" s="4" t="s">
        <v>2</v>
      </c>
      <c r="C3669" s="4"/>
    </row>
    <row r="3670" spans="1:3" ht="24" customHeight="1">
      <c r="A3670" s="4" t="str">
        <f ca="1">IFERROR(__xludf.DUMMYFUNCTION("""COMPUTED_VALUE"""),"वातोर्मिदोलनचलद्दलमण्डलाग्रभिन्नाभ्रमण्डलगलज्जलजातसेकः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॥नैषधीयचरितम्११.५९ ॥")</f>
        <v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॥नैषधीयचरितम्११.५९ ॥</v>
      </c>
      <c r="B3670" s="4" t="s">
        <v>1</v>
      </c>
      <c r="C3670" s="4"/>
    </row>
    <row r="3671" spans="1:3" ht="24" customHeight="1">
      <c r="A3671" s="4" t="str">
        <f ca="1">IFERROR(__xludf.DUMMYFUNCTION("""COMPUTED_VALUE"""),"पाथोधिमाथसमयोत्थितसिन्धुपुत्रीपत्पङ्कजार्पणपवित्रशिलासु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॥नैषधीयचरितम्११.६ ॥")</f>
        <v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॥नैषधीयचरितम्११.६ ॥</v>
      </c>
      <c r="B3671" s="4" t="s">
        <v>18</v>
      </c>
      <c r="C3671" s="4"/>
    </row>
    <row r="3672" spans="1:3" ht="24" customHeight="1">
      <c r="A3672" s="4" t="str">
        <f ca="1">IFERROR(__xludf.DUMMYFUNCTION("""COMPUTED_VALUE"""),"आरोहणाय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॥नैषधीयचरितम्११.६१ ॥")</f>
        <v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॥नैषधीयचरितम्११.६१ ॥</v>
      </c>
      <c r="B3672" s="4" t="s">
        <v>0</v>
      </c>
      <c r="C3672" s="4"/>
    </row>
    <row r="3673" spans="1:3" ht="24" customHeight="1">
      <c r="A3673" s="4" t="str">
        <f ca="1">IFERROR(__xludf.DUMMYFUNCTION("""COMPUTED_VALUE"""),"मन्था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॥नैषधीयचरितम्११.६२ ॥")</f>
        <v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॥नैषधीयचरितम्११.६२ ॥</v>
      </c>
      <c r="B3673" s="4" t="s">
        <v>2</v>
      </c>
      <c r="C3673" s="4"/>
    </row>
    <row r="3674" spans="1:3" ht="24" customHeight="1">
      <c r="A3674" s="4" t="str">
        <f ca="1">IFERROR(__xludf.DUMMYFUNCTION("""COMPUTED_VALUE"""),"एतेन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॥नैषधीयचरितम्११.६३ ॥")</f>
        <v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॥नैषधीयचरितम्११.६३ ॥</v>
      </c>
      <c r="B3674" s="4" t="s">
        <v>0</v>
      </c>
      <c r="C3674" s="4"/>
    </row>
    <row r="3675" spans="1:3" ht="24" customHeight="1">
      <c r="A3675" s="4" t="str">
        <f ca="1">IFERROR(__xludf.DUMMYFUNCTION("""COMPUTED_VALUE"""),"वेदैर्वचोभिरखिलैः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॥नैषधीयचरितम्११.६४ ॥")</f>
        <v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॥नैषधीयचरितम्११.६४ ॥</v>
      </c>
      <c r="B3675" s="4" t="s">
        <v>3</v>
      </c>
      <c r="C3675" s="4"/>
    </row>
    <row r="3676" spans="1:3" ht="24" customHeight="1">
      <c r="A3676" s="4" t="str">
        <f ca="1">IFERROR(__xludf.DUMMYFUNCTION("""COMPUTED_VALUE"""),"तस्मादिमां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॥नैषधीयचरितम्११.६५ ॥")</f>
        <v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॥नैषधीयचरितम्११.६५ ॥</v>
      </c>
      <c r="B3676" s="4" t="s">
        <v>2</v>
      </c>
      <c r="C3676" s="4"/>
    </row>
    <row r="3677" spans="1:3" ht="24" customHeight="1">
      <c r="A3677" s="4" t="str">
        <f ca="1">IFERROR(__xludf.DUMMYFUNCTION("""COMPUTED_VALUE"""),"देवी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॥नैषधीयचरितम्११.६६ ॥")</f>
        <v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॥नैषधीयचरितम्११.६६ ॥</v>
      </c>
      <c r="B3677" s="4" t="s">
        <v>1</v>
      </c>
      <c r="C3677" s="4"/>
    </row>
    <row r="3678" spans="1:3" ht="24" customHeight="1">
      <c r="A3678" s="4" t="str">
        <f ca="1">IFERROR(__xludf.DUMMYFUNCTION("""COMPUTED_VALUE"""),"द्वीपस्य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॥नैषधीयचरितम्११.६७ ॥")</f>
        <v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॥नैषधीयचरितम्११.६७ ॥</v>
      </c>
      <c r="B3678" s="4" t="s">
        <v>4</v>
      </c>
      <c r="C3678" s="4"/>
    </row>
    <row r="3679" spans="1:3" ht="24" customHeight="1">
      <c r="A3679" s="4" t="str">
        <f ca="1">IFERROR(__xludf.DUMMYFUNCTION("""COMPUTED_VALUE"""),"विप्रे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॥नैषधीयचरितम्११.६८ ॥")</f>
        <v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॥नैषधीयचरितम्११.६८ ॥</v>
      </c>
      <c r="B3679" s="4" t="s">
        <v>11</v>
      </c>
      <c r="C3679" s="4"/>
    </row>
    <row r="3680" spans="1:3" ht="24" customHeight="1">
      <c r="A3680" s="4" t="str">
        <f ca="1">IFERROR(__xludf.DUMMYFUNCTION("""COMPUTED_VALUE"""),"द्रोणः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॥नैषधीयचरितम्११.६९ ॥ ")</f>
        <v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॥नैषधीयचरितम्११.६९ ॥ </v>
      </c>
      <c r="B3680" s="4" t="s">
        <v>5</v>
      </c>
      <c r="C3680" s="4"/>
    </row>
    <row r="3681" spans="1:3" ht="24" customHeight="1">
      <c r="A3681" s="4" t="str">
        <f ca="1">IFERROR(__xludf.DUMMYFUNCTION("""COMPUTED_VALUE"""),"तद्वीपलक्ष्मपृथुशाल्मलितूलजालैः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॥नैषधीयचरितम्११.७ ॥")</f>
        <v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॥नैषधीयचरितम्११.७ ॥</v>
      </c>
      <c r="B3681" s="4" t="s">
        <v>4</v>
      </c>
      <c r="C3681" s="4"/>
    </row>
    <row r="3682" spans="1:3" ht="24" customHeight="1">
      <c r="A3682" s="4" t="str">
        <f ca="1">IFERROR(__xludf.DUMMYFUNCTION("""COMPUTED_VALUE"""),"एतद्गुणश्रवणकालविजृम्भमाणतल्लोचनाञ्चलनिकोचनसूचितस्य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॥नैषधीयचरितम्११.७१ ॥")</f>
        <v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॥नैषधीयचरितम्११.७१ ॥</v>
      </c>
      <c r="B3682" s="4" t="s">
        <v>2</v>
      </c>
      <c r="C3682" s="4"/>
    </row>
    <row r="3683" spans="1:3" ht="24" customHeight="1">
      <c r="A3683" s="4" t="str">
        <f ca="1">IFERROR(__xludf.DUMMYFUNCTION("""COMPUTED_VALUE"""),"तां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॥नैषधीयचरितम्११.७२ ॥")</f>
        <v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॥नैषधीयचरितम्११.७२ ॥</v>
      </c>
      <c r="B3683" s="4" t="s">
        <v>4</v>
      </c>
      <c r="C3683" s="4"/>
    </row>
    <row r="3684" spans="1:3" ht="24" customHeight="1">
      <c r="A3684" s="4" t="str">
        <f ca="1">IFERROR(__xludf.DUMMYFUNCTION("""COMPUTED_VALUE"""),"द्वीपं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॥नैषधीयचरितम्११.७३ ॥")</f>
        <v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॥नैषधीयचरितम्११.७३ ॥</v>
      </c>
      <c r="B3684" s="4" t="s">
        <v>0</v>
      </c>
      <c r="C3684" s="4"/>
    </row>
    <row r="3685" spans="1:3" ht="24" customHeight="1">
      <c r="A3685" s="4" t="str">
        <f ca="1">IFERROR(__xludf.DUMMYFUNCTION("""COMPUTED_VALUE"""),"प्लक्षे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॥नैषधीयचरितम्११.७४ ॥")</f>
        <v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॥नैषधीयचरितम्११.७४ ॥</v>
      </c>
      <c r="B3685" s="4" t="s">
        <v>15</v>
      </c>
      <c r="C3685" s="4"/>
    </row>
    <row r="3686" spans="1:3" ht="24" customHeight="1">
      <c r="A3686" s="4" t="str">
        <f ca="1">IFERROR(__xludf.DUMMYFUNCTION("""COMPUTED_VALUE"""),"पीत्वा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॥नैषधीयचरितम्११.७५ ॥")</f>
        <v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॥नैषधीयचरितम्११.७५ ॥</v>
      </c>
      <c r="B3686" s="4" t="s">
        <v>13</v>
      </c>
      <c r="C3686" s="4"/>
    </row>
    <row r="3687" spans="1:3" ht="24" customHeight="1">
      <c r="A3687" s="4" t="str">
        <f ca="1">IFERROR(__xludf.DUMMYFUNCTION("""COMPUTED_VALUE"""),"सूरं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॥नैषधीयचरितम्११.७६ ॥")</f>
        <v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॥नैषधीयचरितम्११.७६ ॥</v>
      </c>
      <c r="B3687" s="4" t="s">
        <v>4</v>
      </c>
      <c r="C3687" s="4"/>
    </row>
    <row r="3688" spans="1:3" ht="24" customHeight="1">
      <c r="A3688" s="4" t="str">
        <f ca="1">IFERROR(__xludf.DUMMYFUNCTION("""COMPUTED_VALUE"""),"उत्सर्पिणी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॥नैषधीयचरितम्११.७७ ॥")</f>
        <v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॥नैषधीयचरितम्११.७७ ॥</v>
      </c>
      <c r="B3688" s="4" t="s">
        <v>1</v>
      </c>
      <c r="C3688" s="4"/>
    </row>
    <row r="3689" spans="1:3" ht="24" customHeight="1">
      <c r="A3689" s="4" t="str">
        <f ca="1">IFERROR(__xludf.DUMMYFUNCTION("""COMPUTED_VALUE"""),"एतद्यशोभिरखिलेऽम्बुनि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॥नैषधीयचरितम्११.७८ ॥")</f>
        <v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॥नैषधीयचरितम्११.७८ ॥</v>
      </c>
      <c r="B3689" s="4" t="s">
        <v>2</v>
      </c>
      <c r="C3689" s="4"/>
    </row>
    <row r="3690" spans="1:3" ht="24" customHeight="1">
      <c r="A3690" s="4" t="str">
        <f ca="1">IFERROR(__xludf.DUMMYFUNCTION("""COMPUTED_VALUE"""),"ब्रूमः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॥नैषधीयचरितम्११.७९ ॥")</f>
        <v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॥नैषधीयचरितम्११.७९ ॥</v>
      </c>
      <c r="B3690" s="4" t="s">
        <v>7</v>
      </c>
      <c r="C3690" s="4"/>
    </row>
    <row r="3691" spans="1:3" ht="24" customHeight="1">
      <c r="A3691" s="4" t="str">
        <f ca="1">IFERROR(__xludf.DUMMYFUNCTION("""COMPUTED_VALUE"""),"अम्भोजगर्भरुचिराथ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॥नैषधीयचरितम्११.८ ॥")</f>
        <v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॥नैषधीयचरितम्११.८ ॥</v>
      </c>
      <c r="B3691" s="4" t="s">
        <v>9</v>
      </c>
      <c r="C3691" s="4"/>
    </row>
    <row r="3692" spans="1:3" ht="24" customHeight="1">
      <c r="A3692" s="4" t="str">
        <f ca="1">IFERROR(__xludf.DUMMYFUNCTION("""COMPUTED_VALUE"""),"ते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॥नैषधीयचरितम्११.८१ ॥")</f>
        <v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॥नैषधीयचरितम्११.८१ ॥</v>
      </c>
      <c r="B3692" s="4" t="s">
        <v>24</v>
      </c>
      <c r="C3692" s="4"/>
    </row>
    <row r="3693" spans="1:3" ht="24" customHeight="1">
      <c r="A3693" s="4" t="str">
        <f ca="1">IFERROR(__xludf.DUMMYFUNCTION("""COMPUTED_VALUE"""),"भूपेषु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॥नैषधीयचरितम्११.८२ ॥")</f>
        <v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॥नैषधीयचरितम्११.८२ ॥</v>
      </c>
      <c r="B3693" s="4" t="s">
        <v>18</v>
      </c>
      <c r="C3693" s="4"/>
    </row>
    <row r="3694" spans="1:3" ht="24" customHeight="1">
      <c r="A3694" s="4" t="str">
        <f ca="1">IFERROR(__xludf.DUMMYFUNCTION("""COMPUTED_VALUE"""),"यन्मौलिरत्नमुदितासि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॥नैषधीयचरितम्११.८३ ॥")</f>
        <v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॥नैषधीयचरितम्११.८३ ॥</v>
      </c>
      <c r="B3694" s="4" t="s">
        <v>4</v>
      </c>
      <c r="C3694" s="4"/>
    </row>
    <row r="3695" spans="1:3" ht="24" customHeight="1">
      <c r="A3695" s="4" t="str">
        <f ca="1">IFERROR(__xludf.DUMMYFUNCTION("""COMPUTED_VALUE"""),"विष्वग्वृतः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॥नैषधीयचरितम्११.८४ ॥")</f>
        <v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॥नैषधीयचरितम्११.८४ ॥</v>
      </c>
      <c r="B3695" s="4" t="s">
        <v>1</v>
      </c>
      <c r="C3695" s="4"/>
    </row>
    <row r="3696" spans="1:3" ht="24" customHeight="1">
      <c r="A3696" s="4" t="str">
        <f ca="1">IFERROR(__xludf.DUMMYFUNCTION("""COMPUTED_VALUE"""),"एतत्तरुस्तरुणि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॥नैषधीयचरितम्११.८५ ॥")</f>
        <v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॥नैषधीयचरितम्११.८५ ॥</v>
      </c>
      <c r="B3696" s="4" t="s">
        <v>2</v>
      </c>
      <c r="C3696" s="4"/>
    </row>
    <row r="3697" spans="1:3" ht="24" customHeight="1">
      <c r="A3697" s="4" t="str">
        <f ca="1">IFERROR(__xludf.DUMMYFUNCTION("""COMPUTED_VALUE"""),"जाम्बूनदं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॥नैषधीयचरितम्११.८६ ॥")</f>
        <v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॥नैषधीयचरितम्११.८६ ॥</v>
      </c>
      <c r="B3697" s="4" t="s">
        <v>22</v>
      </c>
      <c r="C3697" s="4"/>
    </row>
    <row r="3698" spans="1:3" ht="24" customHeight="1">
      <c r="A3698" s="4" t="str">
        <f ca="1">IFERROR(__xludf.DUMMYFUNCTION("""COMPUTED_VALUE"""),"अस्मिञ्जयन्ति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॥नैषधीयचरितम्११.८७ ॥")</f>
        <v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॥नैषधीयचरितम्११.८७ ॥</v>
      </c>
      <c r="B3698" s="4" t="s">
        <v>12</v>
      </c>
      <c r="C3698" s="4"/>
    </row>
    <row r="3699" spans="1:3" ht="24" customHeight="1">
      <c r="A3699" s="4" t="str">
        <f ca="1">IFERROR(__xludf.DUMMYFUNCTION("""COMPUTED_VALUE"""),"प्रत्यर्थियौवतवतंसतमालमालोन्मीलत्तमःप्रकरतस्करशौर्यसूर्ये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॥नैषधीयचरितम्११.८८ ॥")</f>
        <v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॥नैषधीयचरितम्११.८८ ॥</v>
      </c>
      <c r="B3699" s="4" t="s">
        <v>2</v>
      </c>
      <c r="C3699" s="4"/>
    </row>
    <row r="3700" spans="1:3" ht="24" customHeight="1">
      <c r="A3700" s="4" t="str">
        <f ca="1">IFERROR(__xludf.DUMMYFUNCTION("""COMPUTED_VALUE"""),"तत्रानुतीरवनवासितपस्विविप्रा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॥नैषधीयचरितम्११.८९ ॥")</f>
        <v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॥नैषधीयचरितम्११.८९ ॥</v>
      </c>
      <c r="B3700" s="4" t="s">
        <v>5</v>
      </c>
      <c r="C3700" s="4"/>
    </row>
    <row r="3701" spans="1:3" ht="24" customHeight="1">
      <c r="A3701" s="4" t="str">
        <f ca="1">IFERROR(__xludf.DUMMYFUNCTION("""COMPUTED_VALUE"""),"अस्याधिशय्य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॥नैषधीयचरितम्११.९ ॥")</f>
        <v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॥नैषधीयचरितम्११.९ ॥</v>
      </c>
      <c r="B3701" s="4" t="s">
        <v>9</v>
      </c>
      <c r="C3701" s="4"/>
    </row>
    <row r="3702" spans="1:3" ht="24" customHeight="1">
      <c r="A3702" s="4" t="str">
        <f ca="1">IFERROR(__xludf.DUMMYFUNCTION("""COMPUTED_VALUE"""),"निःशङ्कमङ्कुरिततां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॥नैषधीयचरितम्११.९१ ॥")</f>
        <v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॥नैषधीयचरितम्११.९१ ॥</v>
      </c>
      <c r="B3702" s="4" t="s">
        <v>12</v>
      </c>
      <c r="C3702" s="4"/>
    </row>
    <row r="3703" spans="1:3" ht="24" customHeight="1">
      <c r="A3703" s="4" t="str">
        <f ca="1">IFERROR(__xludf.DUMMYFUNCTION("""COMPUTED_VALUE"""),"आगश्शतं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॥नैषधीयचरितम्११.९२ ॥")</f>
        <v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॥नैषधीयचरितम्११.९२ ॥</v>
      </c>
      <c r="B3703" s="4" t="s">
        <v>14</v>
      </c>
      <c r="C3703" s="4"/>
    </row>
    <row r="3704" spans="1:3" ht="24" customHeight="1">
      <c r="A3704" s="4" t="str">
        <f ca="1">IFERROR(__xludf.DUMMYFUNCTION("""COMPUTED_VALUE"""),"भूपं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॥नैषधीयचरितम्११.९३ ॥")</f>
        <v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॥नैषधीयचरितम्११.९३ ॥</v>
      </c>
      <c r="B3704" s="4" t="s">
        <v>5</v>
      </c>
      <c r="C3704" s="4"/>
    </row>
    <row r="3705" spans="1:3" ht="24" customHeight="1">
      <c r="A3705" s="4" t="str">
        <f ca="1">IFERROR(__xludf.DUMMYFUNCTION("""COMPUTED_VALUE"""),"भैमीङ्गितानि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॥नैषधीयचरितम्११.९४ ॥")</f>
        <v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॥नैषधीयचरितम्११.९४ ॥</v>
      </c>
      <c r="B3705" s="4" t="s">
        <v>1</v>
      </c>
      <c r="C3705" s="4"/>
    </row>
    <row r="3706" spans="1:3" ht="24" customHeight="1">
      <c r="A3706" s="4" t="str">
        <f ca="1">IFERROR(__xludf.DUMMYFUNCTION("""COMPUTED_VALUE"""),"भैमीमवापयत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॥नैषधीयचरितम्११.९५ ॥")</f>
        <v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॥नैषधीयचरितम्११.९५ ॥</v>
      </c>
      <c r="B3706" s="4" t="s">
        <v>16</v>
      </c>
      <c r="C3706" s="4"/>
    </row>
    <row r="3707" spans="1:3" ht="24" customHeight="1">
      <c r="A3707" s="4" t="str">
        <f ca="1">IFERROR(__xludf.DUMMYFUNCTION("""COMPUTED_VALUE"""),"तां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॥नैषधीयचरितम्११.९६ ॥")</f>
        <v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॥नैषधीयचरितम्११.९६ ॥</v>
      </c>
      <c r="B3707" s="4" t="s">
        <v>24</v>
      </c>
      <c r="C3707" s="4"/>
    </row>
    <row r="3708" spans="1:3" ht="24" customHeight="1">
      <c r="A3708" s="4" t="str">
        <f ca="1">IFERROR(__xludf.DUMMYFUNCTION("""COMPUTED_VALUE"""),"एतद्यशोभिरमलानि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॥नैषधीयचरितम्११.९७ ॥")</f>
        <v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॥नैषधीयचरितम्११.९७ ॥</v>
      </c>
      <c r="B3708" s="4" t="s">
        <v>13</v>
      </c>
      <c r="C3708" s="4"/>
    </row>
    <row r="3709" spans="1:3" ht="24" customHeight="1">
      <c r="A3709" s="4" t="str">
        <f ca="1">IFERROR(__xludf.DUMMYFUNCTION("""COMPUTED_VALUE"""),"आलिङ्गितः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॥नैषधीयचरितम्११.९८ ॥")</f>
        <v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॥नैषधीयचरितम्११.९८ ॥</v>
      </c>
      <c r="B3709" s="4" t="s">
        <v>2</v>
      </c>
      <c r="C3709" s="4"/>
    </row>
    <row r="3710" spans="1:3" ht="24" customHeight="1">
      <c r="A3710" s="4" t="str">
        <f ca="1">IFERROR(__xludf.DUMMYFUNCTION("""COMPUTED_VALUE"""),"एतेन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॥नैषधीयचरितम्११.९९ ॥")</f>
        <v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॥नैषधीयचरितम्११.९९ ॥</v>
      </c>
      <c r="B3710" s="4" t="s">
        <v>5</v>
      </c>
      <c r="C3710" s="4"/>
    </row>
    <row r="3711" spans="1:3" ht="24" customHeight="1">
      <c r="A3711" s="4" t="str">
        <f ca="1">IFERROR(__xludf.DUMMYFUNCTION("""COMPUTED_VALUE"""),"आश्चर्यमस्य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॥नैषधीयचरितम्११.१ ॥")</f>
        <v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॥नैषधीयचरितम्११.१ ॥</v>
      </c>
      <c r="B3711" s="4" t="s">
        <v>16</v>
      </c>
      <c r="C3711" s="4"/>
    </row>
    <row r="3712" spans="1:3" ht="24" customHeight="1">
      <c r="A3712" s="4" t="str">
        <f ca="1">IFERROR(__xludf.DUMMYFUNCTION("""COMPUTED_VALUE"""),"औदास्यसंविदवलम्बितशून्यमुद्रामस्मिन्दृशोर्निपतितामवगम्य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॥नैषधीयचरितम्११.१०१ ॥")</f>
        <v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॥नैषधीयचरितम्११.१०१ ॥</v>
      </c>
      <c r="B3712" s="4" t="s">
        <v>16</v>
      </c>
      <c r="C3712" s="4"/>
    </row>
    <row r="3713" spans="1:3" ht="24" customHeight="1">
      <c r="A3713" s="4" t="str">
        <f ca="1">IFERROR(__xludf.DUMMYFUNCTION("""COMPUTED_VALUE"""),"एतां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॥नैषधीयचरितम्११.१०२ ॥")</f>
        <v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॥नैषधीयचरितम्११.१०२ ॥</v>
      </c>
      <c r="B3713" s="4" t="s">
        <v>1</v>
      </c>
      <c r="C3713" s="4"/>
    </row>
    <row r="3714" spans="1:3" ht="24" customHeight="1">
      <c r="A3714" s="4" t="str">
        <f ca="1">IFERROR(__xludf.DUMMYFUNCTION("""COMPUTED_VALUE"""),"प्रत्यर्थिपार्थिवपयोनिधिमाथमन्थपृथ्वीधरः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॥नैषधीयचरितम्११.१०३ ॥")</f>
        <v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॥नैषधीयचरितम्११.१०३ ॥</v>
      </c>
      <c r="B3714" s="4" t="s">
        <v>5</v>
      </c>
      <c r="C3714" s="4"/>
    </row>
    <row r="3715" spans="1:3" ht="24" customHeight="1">
      <c r="A3715" s="4" t="str">
        <f ca="1">IFERROR(__xludf.DUMMYFUNCTION("""COMPUTED_VALUE"""),"बालेऽधराधरितनैकविधप्रवाले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॥नैषधीयचरितम्११.१०४ ॥")</f>
        <v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॥नैषधीयचरितम्११.१०४ ॥</v>
      </c>
      <c r="B3715" s="4" t="s">
        <v>1</v>
      </c>
      <c r="C3715" s="4"/>
    </row>
    <row r="3716" spans="1:3" ht="24" customHeight="1">
      <c r="A3716" s="4" t="str">
        <f ca="1">IFERROR(__xludf.DUMMYFUNCTION("""COMPUTED_VALUE"""),"एतद्भुजारणिसमुद्भवविक्रमाग्निचिह्नं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॥नैषधीयचरितम्११.१०५ ॥")</f>
        <v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॥नैषधीयचरितम्११.१०५ ॥</v>
      </c>
      <c r="B3716" s="4" t="s">
        <v>5</v>
      </c>
      <c r="C3716" s="4"/>
    </row>
    <row r="3717" spans="1:3" ht="24" customHeight="1">
      <c r="A3717" s="4" t="str">
        <f ca="1">IFERROR(__xludf.DUMMYFUNCTION("""COMPUTED_VALUE"""),"श्यामीकृता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॥नैषधीयचरितम्११.१०६ ॥")</f>
        <v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॥नैषधीयचरितम्११.१०६ ॥</v>
      </c>
      <c r="B3717" s="4" t="s">
        <v>12</v>
      </c>
      <c r="C3717" s="4"/>
    </row>
    <row r="3718" spans="1:3" ht="24" customHeight="1">
      <c r="A3718" s="4" t="str">
        <f ca="1">IFERROR(__xludf.DUMMYFUNCTION("""COMPUTED_VALUE"""),"गोवर्धनाचलकलापिचयप्रचारनिर्वासिताहिनि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॥नैषधीयचरितम्११.१०७ ॥")</f>
        <v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॥नैषधीयचरितम्११.१०७ ॥</v>
      </c>
      <c r="B3718" s="4" t="s">
        <v>1</v>
      </c>
      <c r="C3718" s="4"/>
    </row>
    <row r="3719" spans="1:3" ht="24" customHeight="1">
      <c r="A3719" s="4" t="str">
        <f ca="1">IFERROR(__xludf.DUMMYFUNCTION("""COMPUTED_VALUE"""),"भावी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॥नैषधीयचरितम्११.१०८ ॥")</f>
        <v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॥नैषधीयचरितम्११.१०८ ॥</v>
      </c>
      <c r="B3719" s="4" t="s">
        <v>19</v>
      </c>
      <c r="C3719" s="4"/>
    </row>
    <row r="3720" spans="1:3" ht="24" customHeight="1">
      <c r="A3720" s="4" t="str">
        <f ca="1">IFERROR(__xludf.DUMMYFUNCTION("""COMPUTED_VALUE"""),"तज्जः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॥नैषधीयचरितम्११.१०९ ॥")</f>
        <v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॥नैषधीयचरितम्११.१०९ ॥</v>
      </c>
      <c r="B3720" s="4" t="s">
        <v>19</v>
      </c>
      <c r="C3720" s="4"/>
    </row>
    <row r="3721" spans="1:3" ht="24" customHeight="1">
      <c r="A3721" s="4" t="str">
        <f ca="1">IFERROR(__xludf.DUMMYFUNCTION("""COMPUTED_VALUE"""),"पूजाविधौ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॥नैषधीयचरितम्११.११ ॥")</f>
        <v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॥नैषधीयचरितम्११.११ ॥</v>
      </c>
      <c r="B3721" s="4" t="s">
        <v>6</v>
      </c>
      <c r="C3721" s="4"/>
    </row>
    <row r="3722" spans="1:3" ht="24" customHeight="1">
      <c r="A3722" s="4" t="str">
        <f ca="1">IFERROR(__xludf.DUMMYFUNCTION("""COMPUTED_VALUE"""),"वैरिश्रियं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॥नैषधीयचरितम्११.१११ ॥")</f>
        <v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॥नैषधीयचरितम्११.१११ ॥</v>
      </c>
      <c r="B3722" s="4" t="s">
        <v>5</v>
      </c>
      <c r="C3722" s="4"/>
    </row>
    <row r="3723" spans="1:3" ht="24" customHeight="1">
      <c r="A3723" s="4" t="str">
        <f ca="1">IFERROR(__xludf.DUMMYFUNCTION("""COMPUTED_VALUE"""),"तस्मादियं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॥नैषधीयचरितम्११.११२ ॥")</f>
        <v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॥नैषधीयचरितम्११.११२ ॥</v>
      </c>
      <c r="B3723" s="4" t="s">
        <v>2</v>
      </c>
      <c r="C3723" s="4"/>
    </row>
    <row r="3724" spans="1:3" ht="24" customHeight="1">
      <c r="A3724" s="4" t="str">
        <f ca="1">IFERROR(__xludf.DUMMYFUNCTION("""COMPUTED_VALUE"""),"भूयोऽपि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॥नैषधीयचरितम्११.११३ ॥")</f>
        <v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॥नैषधीयचरितम्११.११३ ॥</v>
      </c>
      <c r="B3724" s="4" t="s">
        <v>0</v>
      </c>
      <c r="C3724" s="4"/>
    </row>
    <row r="3725" spans="1:3" ht="24" customHeight="1">
      <c r="A3725" s="4" t="str">
        <f ca="1">IFERROR(__xludf.DUMMYFUNCTION("""COMPUTED_VALUE"""),"एतस्य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॥नैषधीयचरितम्११.११४ ॥")</f>
        <v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॥नैषधीयचरितम्११.११४ ॥</v>
      </c>
      <c r="B3725" s="4" t="s">
        <v>2</v>
      </c>
      <c r="C3725" s="4"/>
    </row>
    <row r="3726" spans="1:3" ht="24" customHeight="1">
      <c r="A3726" s="4" t="str">
        <f ca="1">IFERROR(__xludf.DUMMYFUNCTION("""COMPUTED_VALUE"""),"आलोक्य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॥नैषधीयचरितम्११.११५ ॥")</f>
        <v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॥नैषधीयचरितम्११.११५ ॥</v>
      </c>
      <c r="B3726" s="4" t="s">
        <v>18</v>
      </c>
      <c r="C3726" s="4"/>
    </row>
    <row r="3727" spans="1:3" ht="24" customHeight="1">
      <c r="A3727" s="4" t="str">
        <f ca="1">IFERROR(__xludf.DUMMYFUNCTION("""COMPUTED_VALUE"""),"वाराणसी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॥नैषधीयचरितम्११.११६ ॥")</f>
        <v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॥नैषधीयचरितम्११.११६ ॥</v>
      </c>
      <c r="B3727" s="4" t="s">
        <v>17</v>
      </c>
      <c r="C3727" s="4"/>
    </row>
    <row r="3728" spans="1:3" ht="24" customHeight="1">
      <c r="A3728" s="4" t="str">
        <f ca="1">IFERROR(__xludf.DUMMYFUNCTION("""COMPUTED_VALUE"""),"सायुज्यमृच्छति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॥नैषधीयचरितम्११.११७ ॥")</f>
        <v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॥नैषधीयचरितम्११.११७ ॥</v>
      </c>
      <c r="B3728" s="4" t="s">
        <v>2</v>
      </c>
      <c r="C3728" s="4"/>
    </row>
    <row r="3729" spans="1:3" ht="24" customHeight="1">
      <c r="A3729" s="4" t="str">
        <f ca="1">IFERROR(__xludf.DUMMYFUNCTION("""COMPUTED_VALUE"""),"निर्विश्य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॥नैषधीयचरितम्११.११८ ॥")</f>
        <v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॥नैषधीयचरितम्११.११८ ॥</v>
      </c>
      <c r="B3729" s="4" t="s">
        <v>5</v>
      </c>
      <c r="C3729" s="4"/>
    </row>
    <row r="3730" spans="1:3" ht="24" customHeight="1">
      <c r="A3730" s="4" t="str">
        <f ca="1">IFERROR(__xludf.DUMMYFUNCTION("""COMPUTED_VALUE"""),"न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॥नैषधीयचरितम्११.११९ ॥")</f>
        <v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॥नैषधीयचरितम्११.११९ ॥</v>
      </c>
      <c r="B3730" s="4" t="s">
        <v>6</v>
      </c>
      <c r="C3730" s="4"/>
    </row>
    <row r="3731" spans="1:3" ht="24" customHeight="1">
      <c r="A3731" s="4" t="str">
        <f ca="1">IFERROR(__xludf.DUMMYFUNCTION("""COMPUTED_VALUE"""),"ज्ञानाधिकासि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॥नैषधीयचरितम्११.१२ ॥")</f>
        <v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॥नैषधीयचरितम्११.१२ ॥</v>
      </c>
      <c r="B3731" s="4" t="s">
        <v>10</v>
      </c>
      <c r="C3731" s="4"/>
    </row>
    <row r="3732" spans="1:3" ht="24" customHeight="1">
      <c r="A3732" s="4" t="str">
        <f ca="1">IFERROR(__xludf.DUMMYFUNCTION("""COMPUTED_VALUE"""),"भूभर्तुरस्य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॥नैषधीयचरितम्११.१२१ ॥")</f>
        <v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॥नैषधीयचरितम्११.१२१ ॥</v>
      </c>
      <c r="B3732" s="4" t="s">
        <v>0</v>
      </c>
      <c r="C3732" s="4"/>
    </row>
    <row r="3733" spans="1:3" ht="24" customHeight="1">
      <c r="A3733" s="4" t="str">
        <f ca="1">IFERROR(__xludf.DUMMYFUNCTION("""COMPUTED_VALUE"""),"कामानुशासनशते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॥नैषधीयचरितम्११.१२२ ॥")</f>
        <v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॥नैषधीयचरितम्११.१२२ ॥</v>
      </c>
      <c r="B3733" s="4" t="s">
        <v>0</v>
      </c>
      <c r="C3733" s="4"/>
    </row>
    <row r="3734" spans="1:3" ht="24" customHeight="1">
      <c r="A3734" s="4" t="str">
        <f ca="1">IFERROR(__xludf.DUMMYFUNCTION("""COMPUTED_VALUE"""),"पृथ्वीश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॥नैषधीयचरितम्११.१२३ ॥")</f>
        <v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॥नैषधीयचरितम्११.१२३ ॥</v>
      </c>
      <c r="B3734" s="4" t="s">
        <v>9</v>
      </c>
      <c r="C3734" s="4"/>
    </row>
    <row r="3735" spans="1:3" ht="24" customHeight="1">
      <c r="A3735" s="4" t="str">
        <f ca="1">IFERROR(__xludf.DUMMYFUNCTION("""COMPUTED_VALUE"""),"वक्षस्त्वदुग्रविरहादपि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॥नैषधीयचरितम्११.१२४ ॥")</f>
        <v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॥नैषधीयचरितम्११.१२४ ॥</v>
      </c>
      <c r="B3735" s="4" t="s">
        <v>9</v>
      </c>
      <c r="C3735" s="4"/>
    </row>
    <row r="3736" spans="1:3" ht="24" customHeight="1">
      <c r="A3736" s="4" t="str">
        <f ca="1">IFERROR(__xludf.DUMMYFUNCTION("""COMPUTED_VALUE"""),"किं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॥नैषधीयचरितम्११.१२५ ॥")</f>
        <v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॥नैषधीयचरितम्११.१२५ ॥</v>
      </c>
      <c r="B3736" s="4" t="s">
        <v>2</v>
      </c>
      <c r="C3736" s="4"/>
    </row>
    <row r="3737" spans="1:3" ht="24" customHeight="1">
      <c r="A3737" s="4" t="str">
        <f ca="1">IFERROR(__xludf.DUMMYFUNCTION("""COMPUTED_VALUE"""),"अस्मै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॥नैषधीयचरितम्११.१२६ ॥")</f>
        <v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॥नैषधीयचरितम्११.१२६ ॥</v>
      </c>
      <c r="B3737" s="4" t="s">
        <v>5</v>
      </c>
      <c r="C3737" s="4"/>
    </row>
    <row r="3738" spans="1:3" ht="24" customHeight="1">
      <c r="A3738" s="4" t="str">
        <f ca="1">IFERROR(__xludf.DUMMYFUNCTION("""COMPUTED_VALUE"""),"एतद्बलैः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॥नैषधीयचरितम्११.१२७ ॥")</f>
        <v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॥नैषधीयचरितम्११.१२७ ॥</v>
      </c>
      <c r="B3738" s="4" t="s">
        <v>4</v>
      </c>
      <c r="C3738" s="4"/>
    </row>
    <row r="3739" spans="1:3" ht="24" customHeight="1">
      <c r="A3739" s="4" t="str">
        <f ca="1">IFERROR(__xludf.DUMMYFUNCTION("""COMPUTED_VALUE"""),"तद्वर्णनासमय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॥नैषधीयचरितम्११.१२८ ॥")</f>
        <v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॥नैषधीयचरितम्११.१२८ ॥</v>
      </c>
      <c r="B3739" s="4" t="s">
        <v>11</v>
      </c>
      <c r="C3739" s="4"/>
    </row>
    <row r="3740" spans="1:3" ht="24" customHeight="1">
      <c r="A3740" s="4" t="str">
        <f ca="1">IFERROR(__xludf.DUMMYFUNCTION("""COMPUTED_VALUE"""),"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॥नैषधीयचरितम्११.१२९ ॥")</f>
        <v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॥नैषधीयचरितम्११.१२९ ॥</v>
      </c>
      <c r="B3740" s="4" t="s">
        <v>5</v>
      </c>
      <c r="C3740" s="4"/>
    </row>
    <row r="3741" spans="1:3" ht="24" customHeight="1">
      <c r="A3741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॥नैषधीयचरितम्११.१३ ॥")</f>
        <v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॥नैषधीयचरितम्११.१३ ॥</v>
      </c>
      <c r="B3741" s="4" t="s">
        <v>11</v>
      </c>
      <c r="C3741" s="4"/>
    </row>
    <row r="3742" spans="1:3" ht="24" customHeight="1">
      <c r="A3742" s="4" t="str">
        <f ca="1">IFERROR(__xludf.DUMMYFUNCTION("""COMPUTED_VALUE"""),"प्रियाह्रियालम्ब्य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॥नैषधीयचरितम्१२.१ ॥")</f>
        <v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॥नैषधीयचरितम्१२.१ ॥</v>
      </c>
      <c r="B3742" s="4" t="s">
        <v>9</v>
      </c>
      <c r="C3742" s="4"/>
    </row>
    <row r="3743" spans="1:3" ht="24" customHeight="1">
      <c r="A3743" s="4" t="str">
        <f ca="1">IFERROR(__xludf.DUMMYFUNCTION("""COMPUTED_VALUE"""),"ततः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॥नैषधीयचरितम्१२.२ ॥")</f>
        <v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॥नैषधीयचरितम्१२.२ ॥</v>
      </c>
      <c r="B3743" s="4" t="s">
        <v>4</v>
      </c>
      <c r="C3743" s="4"/>
    </row>
    <row r="3744" spans="1:3" ht="24" customHeight="1">
      <c r="A3744" s="4" t="str">
        <f ca="1">IFERROR(__xludf.DUMMYFUNCTION("""COMPUTED_VALUE"""),"चलत्पदस्तत्पदयन्त्रणेङ्गितस्फुटाशयामासयति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॥नैषधीयचरितम्१२.३ ॥")</f>
        <v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॥नैषधीयचरितम्१२.३ ॥</v>
      </c>
      <c r="B3744" s="4" t="s">
        <v>1</v>
      </c>
      <c r="C3744" s="4"/>
    </row>
    <row r="3745" spans="1:3" ht="24" customHeight="1">
      <c r="A3745" s="4" t="str">
        <f ca="1">IFERROR(__xludf.DUMMYFUNCTION("""COMPUTED_VALUE"""),"नृपानुपक्रम्य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॥नैषधीयचरितम्१२.४ ॥")</f>
        <v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॥नैषधीयचरितम्१२.४ ॥</v>
      </c>
      <c r="B3745" s="4" t="s">
        <v>2</v>
      </c>
      <c r="C3745" s="4"/>
    </row>
    <row r="3746" spans="1:3" ht="24" customHeight="1">
      <c r="A3746" s="4" t="str">
        <f ca="1">IFERROR(__xludf.DUMMYFUNCTION("""COMPUTED_VALUE"""),"वृणीष्व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॥नैषधीयचरितम्१२.५ ॥")</f>
        <v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॥नैषधीयचरितम्१२.५ ॥</v>
      </c>
      <c r="B3746" s="4" t="s">
        <v>2</v>
      </c>
      <c r="C3746" s="4"/>
    </row>
    <row r="3747" spans="1:3" ht="24" customHeight="1">
      <c r="A3747" s="4" t="str">
        <f ca="1">IFERROR(__xludf.DUMMYFUNCTION("""COMPUTED_VALUE"""),"न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॥नैषधीयचरितम्१२.६ ॥")</f>
        <v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॥नैषधीयचरितम्१२.६ ॥</v>
      </c>
      <c r="B3747" s="4" t="s">
        <v>8</v>
      </c>
      <c r="C3747" s="4"/>
    </row>
    <row r="3748" spans="1:3" ht="24" customHeight="1">
      <c r="A3748" s="4" t="str">
        <f ca="1">IFERROR(__xludf.DUMMYFUNCTION("""COMPUTED_VALUE"""),"अपां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॥नैषधीयचरितम्१२.७ ॥")</f>
        <v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॥नैषधीयचरितम्१२.७ ॥</v>
      </c>
      <c r="B3748" s="4" t="s">
        <v>3</v>
      </c>
      <c r="C3748" s="4"/>
    </row>
    <row r="3749" spans="1:3" ht="24" customHeight="1">
      <c r="A3749" s="4" t="str">
        <f ca="1">IFERROR(__xludf.DUMMYFUNCTION("""COMPUTED_VALUE"""),"अखानि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॥नैषधीयचरितम्१२.८ ॥")</f>
        <v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॥नैषधीयचरितम्१२.८ ॥</v>
      </c>
      <c r="B3749" s="4" t="s">
        <v>13</v>
      </c>
      <c r="C3749" s="4"/>
    </row>
    <row r="3750" spans="1:3" ht="24" customHeight="1">
      <c r="A3750" s="4" t="str">
        <f ca="1">IFERROR(__xludf.DUMMYFUNCTION("""COMPUTED_VALUE"""),"एतद्यशःक्षीरधिपूरगाहि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॥नैषधीयचरितम्१२.९ ॥")</f>
        <v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॥नैषधीयचरितम्१२.९ ॥</v>
      </c>
      <c r="B3750" s="4" t="s">
        <v>2</v>
      </c>
      <c r="C3750" s="4"/>
    </row>
    <row r="3751" spans="1:3" ht="24" customHeight="1">
      <c r="A3751" s="4" t="str">
        <f ca="1">IFERROR(__xludf.DUMMYFUNCTION("""COMPUTED_VALUE"""),"भास्वद्वंशकरीरतां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॥नैषधीयचरितम्१२.१ ॥")</f>
        <v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॥नैषधीयचरितम्१२.१ ॥</v>
      </c>
      <c r="B3751" s="4" t="s">
        <v>18</v>
      </c>
      <c r="C3751" s="4"/>
    </row>
    <row r="3752" spans="1:3" ht="24" customHeight="1">
      <c r="A3752" s="4" t="str">
        <f ca="1">IFERROR(__xludf.DUMMYFUNCTION("""COMPUTED_VALUE"""),"तादृग्दीर्घविरिञ्चिवासरविधौ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॥नैषधीयचरितम्१२.११ ॥")</f>
        <v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॥नैषधीयचरितम्१२.११ ॥</v>
      </c>
      <c r="B3752" s="4" t="s">
        <v>2</v>
      </c>
      <c r="C3752" s="4"/>
    </row>
    <row r="3753" spans="1:3" ht="24" customHeight="1">
      <c r="A3753" s="4" t="str">
        <f ca="1">IFERROR(__xludf.DUMMYFUNCTION("""COMPUTED_VALUE"""),"द्वेष्याकीर्तिकलिन्दशैलसुतया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॥नैषधीयचरितम्१२.१२ ॥")</f>
        <v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॥नैषधीयचरितम्१२.१२ ॥</v>
      </c>
      <c r="B3753" s="4" t="s">
        <v>0</v>
      </c>
      <c r="C3753" s="4"/>
    </row>
    <row r="3754" spans="1:3" ht="24" customHeight="1">
      <c r="A3754" s="4" t="str">
        <f ca="1">IFERROR(__xludf.DUMMYFUNCTION("""COMPUTED_VALUE"""),"इति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॥नैषधीयचरितम्१२.१३ ॥")</f>
        <v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॥नैषधीयचरितम्१२.१३ ॥</v>
      </c>
      <c r="B3754" s="4" t="s">
        <v>2</v>
      </c>
      <c r="C3754" s="4"/>
    </row>
    <row r="3755" spans="1:3" ht="24" customHeight="1">
      <c r="A3755" s="4" t="str">
        <f ca="1">IFERROR(__xludf.DUMMYFUNCTION("""COMPUTED_VALUE"""),"युवान्तरं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॥नैषधीयचरितम्१२.१४ ॥")</f>
        <v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॥नैषधीयचरितम्१२.१४ ॥</v>
      </c>
      <c r="B3755" s="4" t="s">
        <v>2</v>
      </c>
      <c r="C3755" s="4"/>
    </row>
    <row r="3756" spans="1:3" ht="24" customHeight="1">
      <c r="A3756" s="4" t="str">
        <f ca="1">IFERROR(__xludf.DUMMYFUNCTION("""COMPUTED_VALUE"""),"न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॥नैषधीयचरितम्१२.१५ ॥")</f>
        <v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॥नैषधीयचरितम्१२.१५ ॥</v>
      </c>
      <c r="B3756" s="4" t="s">
        <v>13</v>
      </c>
      <c r="C3756" s="4"/>
    </row>
    <row r="3757" spans="1:3" ht="24" customHeight="1">
      <c r="A3757" s="4" t="str">
        <f ca="1">IFERROR(__xludf.DUMMYFUNCTION("""COMPUTED_VALUE"""),"भुवि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॥नैषधीयचरितम्१२.१६ ॥")</f>
        <v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॥नैषधीयचरितम्१२.१६ ॥</v>
      </c>
      <c r="B3757" s="4" t="s">
        <v>19</v>
      </c>
      <c r="C3757" s="4"/>
    </row>
    <row r="3758" spans="1:3" ht="24" customHeight="1">
      <c r="A3758" s="4" t="str">
        <f ca="1">IFERROR(__xludf.DUMMYFUNCTION("""COMPUTED_VALUE"""),"इतो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॥नैषधीयचरितम्१२.१७ ॥")</f>
        <v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॥नैषधीयचरितम्१२.१७ ॥</v>
      </c>
      <c r="B3758" s="4" t="s">
        <v>0</v>
      </c>
      <c r="C3758" s="4"/>
    </row>
    <row r="3759" spans="1:3" ht="24" customHeight="1">
      <c r="A3759" s="4" t="str">
        <f ca="1">IFERROR(__xludf.DUMMYFUNCTION("""COMPUTED_VALUE"""),"आसीदासीमभूमीवलयमलयजालेपनेपथ्यकीर्तिः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॥नैषधीयचरितम्१२.१८ ॥")</f>
        <v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॥नैषधीयचरितम्१२.१८ ॥</v>
      </c>
      <c r="B3759" s="4" t="s">
        <v>17</v>
      </c>
      <c r="C3759" s="4"/>
    </row>
    <row r="3760" spans="1:3" ht="24" customHeight="1">
      <c r="A3760" s="4" t="str">
        <f ca="1">IFERROR(__xludf.DUMMYFUNCTION("""COMPUTED_VALUE"""),"भङ्गाकीर्तिमषीमलीमसतमप्रत्यर्थिसेनाभटश्रेणीतिन्दुककाननेषु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॥नैषधीयचरितम्१२.१९ ॥")</f>
        <v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॥नैषधीयचरितम्१२.१९ ॥</v>
      </c>
      <c r="B3760" s="4" t="s">
        <v>5</v>
      </c>
      <c r="C3760" s="4"/>
    </row>
    <row r="3761" spans="1:3" ht="24" customHeight="1">
      <c r="A3761" s="4" t="str">
        <f ca="1">IFERROR(__xludf.DUMMYFUNCTION("""COMPUTED_VALUE"""),"एतद्दन्तिबलैर्विलोक्य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॥नैषधीयचरितम्१२.२ ॥")</f>
        <v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॥नैषधीयचरितम्१२.२ ॥</v>
      </c>
      <c r="B3761" s="4" t="s">
        <v>5</v>
      </c>
      <c r="C3761" s="4"/>
    </row>
    <row r="3762" spans="1:3" ht="24" customHeight="1">
      <c r="A3762" s="4" t="str">
        <f ca="1">IFERROR(__xludf.DUMMYFUNCTION("""COMPUTED_VALUE"""),"शशंस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॥नैषधीयचरितम्१२.२१ ॥")</f>
        <v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॥नैषधीयचरितम्१२.२१ ॥</v>
      </c>
      <c r="B3762" s="4" t="s">
        <v>24</v>
      </c>
      <c r="C3762" s="4"/>
    </row>
    <row r="3763" spans="1:3" ht="24" customHeight="1">
      <c r="A3763" s="4" t="str">
        <f ca="1">IFERROR(__xludf.DUMMYFUNCTION("""COMPUTED_VALUE"""),"ततस्तदप्रस्तुतभाषितोत्थितैः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॥नैषधीयचरितम्१२.२२ ॥")</f>
        <v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॥नैषधीयचरितम्१२.२२ ॥</v>
      </c>
      <c r="B3763" s="4" t="s">
        <v>2</v>
      </c>
      <c r="C3763" s="4"/>
    </row>
    <row r="3764" spans="1:3" ht="24" customHeight="1">
      <c r="A3764" s="4" t="str">
        <f ca="1">IFERROR(__xludf.DUMMYFUNCTION("""COMPUTED_VALUE"""),"ततोऽनु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॥नैषधीयचरितम्१२.२३ ॥")</f>
        <v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॥नैषधीयचरितम्१२.२३ ॥</v>
      </c>
      <c r="B3764" s="4" t="s">
        <v>2</v>
      </c>
      <c r="C3764" s="4"/>
    </row>
    <row r="3765" spans="1:3" ht="24" customHeight="1">
      <c r="A3765" s="4" t="str">
        <f ca="1">IFERROR(__xludf.DUMMYFUNCTION("""COMPUTED_VALUE"""),"स्वयंवरोद्वाहमहे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॥नैषधीयचरितम्१२.२४ ॥")</f>
        <v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॥नैषधीयचरितम्१२.२४ ॥</v>
      </c>
      <c r="B3765" s="4" t="s">
        <v>5</v>
      </c>
      <c r="C3765" s="4"/>
    </row>
    <row r="3766" spans="1:3" ht="24" customHeight="1">
      <c r="A3766" s="4" t="str">
        <f ca="1">IFERROR(__xludf.DUMMYFUNCTION("""COMPUTED_VALUE"""),"अयं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॥नैषधीयचरितम्१२.२५ ॥")</f>
        <v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॥नैषधीयचरितम्१२.२५ ॥</v>
      </c>
      <c r="B3766" s="4" t="s">
        <v>18</v>
      </c>
      <c r="C3766" s="4"/>
    </row>
    <row r="3767" spans="1:3" ht="24" customHeight="1">
      <c r="A3767" s="4" t="str">
        <f ca="1">IFERROR(__xludf.DUMMYFUNCTION("""COMPUTED_VALUE"""),"इतस्त्रसद्विद्रुतभूभृदुज्झिता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॥नैषधीयचरितम्१२.२६ ॥")</f>
        <v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॥नैषधीयचरितम्१२.२६ ॥</v>
      </c>
      <c r="B3767" s="4" t="s">
        <v>11</v>
      </c>
      <c r="C3767" s="4"/>
    </row>
    <row r="3768" spans="1:3" ht="24" customHeight="1">
      <c r="A3768" s="4" t="str">
        <f ca="1">IFERROR(__xludf.DUMMYFUNCTION("""COMPUTED_VALUE"""),"इतोऽपि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॥नैषधीयचरितम्१२.२७ ॥")</f>
        <v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॥नैषधीयचरितम्१२.२७ ॥</v>
      </c>
      <c r="B3768" s="4" t="s">
        <v>8</v>
      </c>
      <c r="C3768" s="4"/>
    </row>
    <row r="3769" spans="1:3" ht="24" customHeight="1">
      <c r="A3769" s="4" t="str">
        <f ca="1">IFERROR(__xludf.DUMMYFUNCTION("""COMPUTED_VALUE"""),"एतद्भीतारिनारी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॥नैषधीयचरितम्१२.२८ ॥")</f>
        <v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॥नैषधीयचरितम्१२.२८ ॥</v>
      </c>
      <c r="B3769" s="4" t="s">
        <v>16</v>
      </c>
      <c r="C3769" s="4"/>
    </row>
    <row r="3770" spans="1:3" ht="24" customHeight="1">
      <c r="A3770" s="4" t="str">
        <f ca="1">IFERROR(__xludf.DUMMYFUNCTION("""COMPUTED_VALUE"""),"अस्मिन्दिग्विजयोद्यते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॥नैषधीयचरितम्१२.२९ ॥")</f>
        <v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॥नैषधीयचरितम्१२.२९ ॥</v>
      </c>
      <c r="B3770" s="4" t="s">
        <v>4</v>
      </c>
      <c r="C3770" s="4"/>
    </row>
    <row r="3771" spans="1:3" ht="24" customHeight="1">
      <c r="A3771" s="4" t="str">
        <f ca="1">IFERROR(__xludf.DUMMYFUNCTION("""COMPUTED_VALUE"""),"विद्राणे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॥नैषधीयचरितम्१२.३ ॥")</f>
        <v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॥नैषधीयचरितम्१२.३ ॥</v>
      </c>
      <c r="B3771" s="4" t="s">
        <v>0</v>
      </c>
      <c r="C3771" s="4"/>
    </row>
    <row r="3772" spans="1:3" ht="24" customHeight="1">
      <c r="A3772" s="4" t="str">
        <f ca="1">IFERROR(__xludf.DUMMYFUNCTION("""COMPUTED_VALUE"""),"ततस्तदुर्वीन्द्रगुणाद्भुतादिव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॥नैषधीयचरितम्१२.३१ ॥")</f>
        <v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॥नैषधीयचरितम्१२.३१ ॥</v>
      </c>
      <c r="B3772" s="4" t="s">
        <v>2</v>
      </c>
      <c r="C3772" s="4"/>
    </row>
    <row r="3773" spans="1:3" ht="24" customHeight="1">
      <c r="A3773" s="4" t="str">
        <f ca="1">IFERROR(__xludf.DUMMYFUNCTION("""COMPUTED_VALUE"""),"अनन्तरं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॥नैषधीयचरितम्१२.३२ ॥ ")</f>
        <v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॥नैषधीयचरितम्१२.३२ ॥ </v>
      </c>
      <c r="B3773" s="4" t="s">
        <v>11</v>
      </c>
      <c r="C3773" s="4"/>
    </row>
    <row r="3774" spans="1:3" ht="24" customHeight="1">
      <c r="A3774" s="4" t="str">
        <f ca="1">IFERROR(__xludf.DUMMYFUNCTION("""COMPUTED_VALUE"""),"तदेव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॥नैषधीयचरितम्१२.३३ ॥")</f>
        <v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॥नैषधीयचरितम्१२.३३ ॥</v>
      </c>
      <c r="B3774" s="4" t="s">
        <v>0</v>
      </c>
      <c r="C3774" s="4"/>
    </row>
    <row r="3775" spans="1:3" ht="24" customHeight="1">
      <c r="A3775" s="4" t="str">
        <f ca="1">IFERROR(__xludf.DUMMYFUNCTION("""COMPUTED_VALUE"""),"मयि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॥नैषधीयचरितम्१२.३४ ॥")</f>
        <v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॥नैषधीयचरितम्१२.३४ ॥</v>
      </c>
      <c r="B3775" s="4" t="s">
        <v>13</v>
      </c>
      <c r="C3775" s="4"/>
    </row>
    <row r="3776" spans="1:3" ht="24" customHeight="1">
      <c r="A3776" s="4" t="str">
        <f ca="1">IFERROR(__xludf.DUMMYFUNCTION("""COMPUTED_VALUE"""),"अदःसमित्संमुखवीरयौवतत्रुटद्भुजाकम्बुमृणालहारिणी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")</f>
        <v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v>
      </c>
      <c r="B3776" s="4" t="s">
        <v>2</v>
      </c>
      <c r="C3776" s="4"/>
    </row>
    <row r="3777" spans="1:3" ht="24" customHeight="1">
      <c r="A3777" s="4" t="str">
        <f ca="1">IFERROR(__xludf.DUMMYFUNCTION("""COMPUTED_VALUE"""),"सिन्दूरद्युतिमुग्धमूर्धनि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॥नैषधीयचरितम्१२.३६ ॥")</f>
        <v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॥नैषधीयचरितम्१२.३६ ॥</v>
      </c>
      <c r="B3777" s="4" t="s">
        <v>4</v>
      </c>
      <c r="C3777" s="4"/>
    </row>
    <row r="3778" spans="1:3" ht="24" customHeight="1">
      <c r="A3778" s="4" t="str">
        <f ca="1">IFERROR(__xludf.DUMMYFUNCTION("""COMPUTED_VALUE"""),"हित्वा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॥नैषधीयचरितम्१२.३७ ॥")</f>
        <v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॥नैषधीयचरितम्१२.३७ ॥</v>
      </c>
      <c r="B3778" s="4" t="s">
        <v>2</v>
      </c>
      <c r="C3778" s="4"/>
    </row>
    <row r="3779" spans="1:3" ht="24" customHeight="1">
      <c r="A3779" s="4" t="str">
        <f ca="1">IFERROR(__xludf.DUMMYFUNCTION("""COMPUTED_VALUE"""),"सिन्धोर्जैत्रमयं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॥नैषधीयचरितम्१२.३८ ॥")</f>
        <v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॥नैषधीयचरितम्१२.३८ ॥</v>
      </c>
      <c r="B3779" s="4" t="s">
        <v>0</v>
      </c>
      <c r="C3779" s="4"/>
    </row>
    <row r="3780" spans="1:3" ht="24" customHeight="1">
      <c r="A3780" s="4" t="str">
        <f ca="1">IFERROR(__xludf.DUMMYFUNCTION("""COMPUTED_VALUE"""),"अन्तःसंतोषबाष्पैः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॥नैषधीयचरितम्१२.३९ ॥")</f>
        <v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॥नैषधीयचरितम्१२.३९ ॥</v>
      </c>
      <c r="B3780" s="4" t="s">
        <v>2</v>
      </c>
      <c r="C3780" s="4"/>
    </row>
    <row r="3781" spans="1:3" ht="24" customHeight="1">
      <c r="A3781" s="4" t="str">
        <f ca="1">IFERROR(__xludf.DUMMYFUNCTION("""COMPUTED_VALUE"""),"आचूडाग्रममज्जयज्जयपटुर्यच्छल्यदण्डानयं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॥नैषधीयचरितम्१२.४ ॥")</f>
        <v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॥नैषधीयचरितम्१२.४ ॥</v>
      </c>
      <c r="B3781" s="4" t="s">
        <v>9</v>
      </c>
      <c r="C3781" s="4"/>
    </row>
    <row r="3782" spans="1:3" ht="24" customHeight="1">
      <c r="A3782" s="4" t="str">
        <f ca="1">IFERROR(__xludf.DUMMYFUNCTION("""COMPUTED_VALUE"""),"स्मितश्रिया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॥नैषधीयचरितम्१२.४१ ॥")</f>
        <v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॥नैषधीयचरितम्१२.४१ ॥</v>
      </c>
      <c r="B3782" s="4" t="s">
        <v>4</v>
      </c>
      <c r="C3782" s="4"/>
    </row>
    <row r="3783" spans="1:3" ht="24" customHeight="1">
      <c r="A3783" s="4" t="str">
        <f ca="1">IFERROR(__xludf.DUMMYFUNCTION("""COMPUTED_VALUE"""),"निजाक्षिलक्ष्मीहसितैणशावकामसावभाणीदपरं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॥नैषधीयचरितम्१२.४२ ॥")</f>
        <v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॥नैषधीयचरितम्१२.४२ ॥</v>
      </c>
      <c r="B3783" s="4" t="s">
        <v>2</v>
      </c>
      <c r="C3783" s="4"/>
    </row>
    <row r="3784" spans="1:3" ht="24" customHeight="1">
      <c r="A3784" s="4" t="str">
        <f ca="1">IFERROR(__xludf.DUMMYFUNCTION("""COMPUTED_VALUE"""),"कृपा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॥नैषधीयचरितम्१२.४३ ॥")</f>
        <v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॥नैषधीयचरितम्१२.४३ ॥</v>
      </c>
      <c r="B3784" s="4" t="s">
        <v>5</v>
      </c>
      <c r="C3784" s="4"/>
    </row>
    <row r="3785" spans="1:3" ht="24" customHeight="1">
      <c r="A3785" s="4" t="str">
        <f ca="1">IFERROR(__xludf.DUMMYFUNCTION("""COMPUTED_VALUE"""),"ऋजुत्वमौनश्रुतिपारगामिता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॥नैषधीयचरितम्१२.४४ ॥")</f>
        <v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॥नैषधीयचरितम्१२.४४ ॥</v>
      </c>
      <c r="B3785" s="4" t="s">
        <v>19</v>
      </c>
      <c r="C3785" s="4"/>
    </row>
    <row r="3786" spans="1:3" ht="24" customHeight="1">
      <c r="A3786" s="4" t="str">
        <f ca="1">IFERROR(__xludf.DUMMYFUNCTION("""COMPUTED_VALUE"""),"शरः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॥नैषधीयचरितम्१२.४५ ॥")</f>
        <v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॥नैषधीयचरितम्१२.४५ ॥</v>
      </c>
      <c r="B3786" s="4" t="s">
        <v>20</v>
      </c>
      <c r="C3786" s="4"/>
    </row>
    <row r="3787" spans="1:3" ht="24" customHeight="1">
      <c r="A3787" s="4" t="str">
        <f ca="1">IFERROR(__xludf.DUMMYFUNCTION("""COMPUTED_VALUE"""),"पतत्येतत्तेजोहुतभुजि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॥नैषधीयचरितम्१२.४६ ॥")</f>
        <v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॥नैषधीयचरितम्१२.४६ ॥</v>
      </c>
      <c r="B3787" s="4" t="s">
        <v>20</v>
      </c>
      <c r="C3787" s="4"/>
    </row>
    <row r="3788" spans="1:3" ht="24" customHeight="1">
      <c r="A3788" s="4" t="str">
        <f ca="1">IFERROR(__xludf.DUMMYFUNCTION("""COMPUTED_VALUE"""),"यावत्पौलस्त्यवास्तूभवदुभयहरिल्लोमलेखोत्तरीये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॥नैषधीयचरितम्१२.४७ ॥")</f>
        <v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॥नैषधीयचरितम्१२.४७ ॥</v>
      </c>
      <c r="B3788" s="4" t="s">
        <v>16</v>
      </c>
      <c r="C3788" s="4"/>
    </row>
    <row r="3789" spans="1:3" ht="24" customHeight="1">
      <c r="A3789" s="4" t="str">
        <f ca="1">IFERROR(__xludf.DUMMYFUNCTION("""COMPUTED_VALUE"""),"युद्ध्वा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॥नैषधीयचरितम्१२.४८ ॥")</f>
        <v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॥नैषधीयचरितम्१२.४८ ॥</v>
      </c>
      <c r="B3789" s="4" t="s">
        <v>0</v>
      </c>
      <c r="C3789" s="4"/>
    </row>
    <row r="3790" spans="1:3" ht="24" customHeight="1">
      <c r="A3790" s="4" t="str">
        <f ca="1">IFERROR(__xludf.DUMMYFUNCTION("""COMPUTED_VALUE"""),"न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॥नैषधीयचरितम्१२.४९ ॥")</f>
        <v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॥नैषधीयचरितम्१२.४९ ॥</v>
      </c>
      <c r="B3790" s="4" t="s">
        <v>2</v>
      </c>
      <c r="C3790" s="4"/>
    </row>
    <row r="3791" spans="1:3" ht="24" customHeight="1">
      <c r="A3791" s="4" t="str">
        <f ca="1">IFERROR(__xludf.DUMMYFUNCTION("""COMPUTED_VALUE"""),"दमस्वसुश्चित्तमवेत्य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॥नैषधीयचरितम्१२.५ ॥")</f>
        <v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॥नैषधीयचरितम्१२.५ ॥</v>
      </c>
      <c r="B3791" s="4" t="s">
        <v>1</v>
      </c>
      <c r="C3791" s="4"/>
    </row>
    <row r="3792" spans="1:3" ht="24" customHeight="1">
      <c r="A3792" s="4" t="str">
        <f ca="1">IFERROR(__xludf.DUMMYFUNCTION("""COMPUTED_VALUE"""),"ब्रवीति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॥नैषधीयचरितम्१२.५१ ॥")</f>
        <v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॥नैषधीयचरितम्१२.५१ ॥</v>
      </c>
      <c r="B3792" s="4" t="s">
        <v>1</v>
      </c>
      <c r="C3792" s="4"/>
    </row>
    <row r="3793" spans="1:3" ht="24" customHeight="1">
      <c r="A3793" s="4" t="str">
        <f ca="1">IFERROR(__xludf.DUMMYFUNCTION("""COMPUTED_VALUE"""),"अथान्यमुद्दिश्य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॥नैषधीयचरितम्१२.५२ ॥")</f>
        <v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॥नैषधीयचरितम्१२.५२ ॥</v>
      </c>
      <c r="B3793" s="4" t="s">
        <v>5</v>
      </c>
      <c r="C3793" s="4"/>
    </row>
    <row r="3794" spans="1:3" ht="24" customHeight="1">
      <c r="A3794" s="4" t="str">
        <f ca="1">IFERROR(__xludf.DUMMYFUNCTION("""COMPUTED_VALUE"""),"विलोचनेन्दीवरवासवासितैः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॥नैषधीयचरितम्१२.५३ ॥")</f>
        <v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॥नैषधीयचरितम्१२.५३ ॥</v>
      </c>
      <c r="B3794" s="4" t="s">
        <v>16</v>
      </c>
      <c r="C3794" s="4"/>
    </row>
    <row r="3795" spans="1:3" ht="24" customHeight="1">
      <c r="A3795" s="4" t="str">
        <f ca="1">IFERROR(__xludf.DUMMYFUNCTION("""COMPUTED_VALUE"""),"इमं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॥नैषधीयचरितम्१२.५४ ॥")</f>
        <v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॥नैषधीयचरितम्१२.५४ ॥</v>
      </c>
      <c r="B3795" s="4" t="s">
        <v>2</v>
      </c>
      <c r="C3795" s="4"/>
    </row>
    <row r="3796" spans="1:3" ht="24" customHeight="1">
      <c r="A3796" s="4" t="str">
        <f ca="1">IFERROR(__xludf.DUMMYFUNCTION("""COMPUTED_VALUE"""),"अनेन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॥नैषधीयचरितम्१२.५५ ॥")</f>
        <v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॥नैषधीयचरितम्१२.५५ ॥</v>
      </c>
      <c r="B3796" s="4" t="s">
        <v>2</v>
      </c>
      <c r="C3796" s="4"/>
    </row>
    <row r="3797" spans="1:3" ht="24" customHeight="1">
      <c r="A3797" s="4" t="str">
        <f ca="1">IFERROR(__xludf.DUMMYFUNCTION("""COMPUTED_VALUE"""),"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॥नैषधीयचरितम्१२.५६ ॥")</f>
        <v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॥नैषधीयचरितम्१२.५६ ॥</v>
      </c>
      <c r="B3797" s="4" t="s">
        <v>2</v>
      </c>
      <c r="C3797" s="4"/>
    </row>
    <row r="3798" spans="1:3" ht="24" customHeight="1">
      <c r="A3798" s="4" t="str">
        <f ca="1">IFERROR(__xludf.DUMMYFUNCTION("""COMPUTED_VALUE"""),"अध्याहारः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॥नैषधीयचरितम्१२.५७ ॥")</f>
        <v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॥नैषधीयचरितम्१२.५७ ॥</v>
      </c>
      <c r="B3798" s="4" t="s">
        <v>0</v>
      </c>
      <c r="C3798" s="4"/>
    </row>
    <row r="3799" spans="1:3" ht="24" customHeight="1">
      <c r="A3799" s="4" t="str">
        <f ca="1">IFERROR(__xludf.DUMMYFUNCTION("""COMPUTED_VALUE"""),"राज्ञामस्य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॥नैषधीयचरितम्१२.५८ ॥")</f>
        <v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॥नैषधीयचरितम्१२.५८ ॥</v>
      </c>
      <c r="B3799" s="4" t="s">
        <v>13</v>
      </c>
      <c r="C3799" s="4"/>
    </row>
    <row r="3800" spans="1:3" ht="24" customHeight="1">
      <c r="A3800" s="4" t="str">
        <f ca="1">IFERROR(__xludf.DUMMYFUNCTION("""COMPUTED_VALUE"""),"वयस्ययाकूतविदा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॥नैषधीयचरितम्१२.५९ ॥")</f>
        <v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॥नैषधीयचरितम्१२.५९ ॥</v>
      </c>
      <c r="B3800" s="4" t="s">
        <v>0</v>
      </c>
      <c r="C3800" s="4"/>
    </row>
    <row r="3801" spans="1:3" ht="24" customHeight="1">
      <c r="A3801" s="4" t="str">
        <f ca="1">IFERROR(__xludf.DUMMYFUNCTION("""COMPUTED_VALUE"""),"कृतात्र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॥नैषधीयचरितम्१२.६ ॥")</f>
        <v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॥नैषधीयचरितम्१२.६ ॥</v>
      </c>
      <c r="B3801" s="4" t="s">
        <v>5</v>
      </c>
      <c r="C3801" s="4"/>
    </row>
    <row r="3802" spans="1:3" ht="24" customHeight="1">
      <c r="A3802" s="4" t="str">
        <f ca="1">IFERROR(__xludf.DUMMYFUNCTION("""COMPUTED_VALUE"""),"धराधिराजं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॥नैषधीयचरितम्१२.६१ ॥")</f>
        <v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॥नैषधीयचरितम्१२.६१ ॥</v>
      </c>
      <c r="B3802" s="4" t="s">
        <v>2</v>
      </c>
      <c r="C3802" s="4"/>
    </row>
    <row r="3803" spans="1:3" ht="24" customHeight="1">
      <c r="A3803" s="4" t="str">
        <f ca="1">IFERROR(__xludf.DUMMYFUNCTION("""COMPUTED_VALUE"""),"कुतः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॥नैषधीयचरितम्१२.६२ ॥")</f>
        <v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॥नैषधीयचरितम्१२.६२ ॥</v>
      </c>
      <c r="B3803" s="4" t="s">
        <v>0</v>
      </c>
      <c r="C3803" s="4"/>
    </row>
    <row r="3804" spans="1:3" ht="24" customHeight="1">
      <c r="A3804" s="4" t="str">
        <f ca="1">IFERROR(__xludf.DUMMYFUNCTION("""COMPUTED_VALUE"""),"न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॥नैषधीयचरितम्१२.६३ ॥")</f>
        <v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॥नैषधीयचरितम्१२.६३ ॥</v>
      </c>
      <c r="B3804" s="4" t="s">
        <v>2</v>
      </c>
      <c r="C3804" s="4"/>
    </row>
    <row r="3805" spans="1:3" ht="24" customHeight="1">
      <c r="A3805" s="4" t="str">
        <f ca="1">IFERROR(__xludf.DUMMYFUNCTION("""COMPUTED_VALUE"""),"भुजेऽपसर्पत्यपि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॥नैषधीयचरितम्१२.६४ ॥")</f>
        <v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॥नैषधीयचरितम्१२.६४ ॥</v>
      </c>
      <c r="B3805" s="4" t="s">
        <v>4</v>
      </c>
      <c r="C3805" s="4"/>
    </row>
    <row r="3806" spans="1:3" ht="24" customHeight="1">
      <c r="A3806" s="4" t="str">
        <f ca="1">IFERROR(__xludf.DUMMYFUNCTION("""COMPUTED_VALUE"""),"अस्योर्वीरमणस्य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॥नैषधीयचरितम्१२.६५ ॥")</f>
        <v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॥नैषधीयचरितम्१२.६५ ॥</v>
      </c>
      <c r="B3806" s="4" t="s">
        <v>12</v>
      </c>
      <c r="C3806" s="4"/>
    </row>
    <row r="3807" spans="1:3" ht="24" customHeight="1">
      <c r="A3807" s="4" t="str">
        <f ca="1">IFERROR(__xludf.DUMMYFUNCTION("""COMPUTED_VALUE"""),"निस्त्रिंशत्रुटितारिवारणघटाकुम्भास्तिकूटावटस्थानस्थायुकमौक्तिकोत्करकिरः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॥नैषधीयचरितम्१२.६६ ॥")</f>
        <v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॥नैषधीयचरितम्१२.६६ ॥</v>
      </c>
      <c r="B3807" s="4" t="s">
        <v>3</v>
      </c>
      <c r="C3807" s="4"/>
    </row>
    <row r="3808" spans="1:3" ht="24" customHeight="1">
      <c r="A3808" s="4" t="str">
        <f ca="1">IFERROR(__xludf.DUMMYFUNCTION("""COMPUTED_VALUE"""),"अर्थिभ्रंशबहूभवत्फलभरव्याजेन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॥नैषधीयचरितम्१२.६७ ॥")</f>
        <v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॥नैषधीयचरितम्१२.६७ ॥</v>
      </c>
      <c r="B3808" s="4" t="s">
        <v>11</v>
      </c>
      <c r="C3808" s="4"/>
    </row>
    <row r="3809" spans="1:3" ht="24" customHeight="1">
      <c r="A3809" s="4" t="str">
        <f ca="1">IFERROR(__xludf.DUMMYFUNCTION("""COMPUTED_VALUE"""),"सृजामि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॥नैषधीयचरितम्१२.६८ ॥")</f>
        <v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॥नैषधीयचरितम्१२.६८ ॥</v>
      </c>
      <c r="B3809" s="4" t="s">
        <v>9</v>
      </c>
      <c r="C3809" s="4"/>
    </row>
    <row r="3810" spans="1:3" ht="24" customHeight="1">
      <c r="A3810" s="4" t="str">
        <f ca="1">IFERROR(__xludf.DUMMYFUNCTION("""COMPUTED_VALUE"""),"दृशास्य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॥नैषधीयचरितम्१२.६९ ॥")</f>
        <v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॥नैषधीयचरितम्१२.६९ ॥</v>
      </c>
      <c r="B3810" s="4" t="s">
        <v>6</v>
      </c>
      <c r="C3810" s="4"/>
    </row>
    <row r="3811" spans="1:3" ht="24" customHeight="1">
      <c r="A3811" s="4" t="str">
        <f ca="1">IFERROR(__xludf.DUMMYFUNCTION("""COMPUTED_VALUE"""),"स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॥नैषधीयचरितम्१२.७ ॥")</f>
        <v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॥नैषधीयचरितम्१२.७ ॥</v>
      </c>
      <c r="B3811" s="4" t="s">
        <v>0</v>
      </c>
      <c r="C3811" s="4"/>
    </row>
    <row r="3812" spans="1:3" ht="24" customHeight="1">
      <c r="A3812" s="4" t="str">
        <f ca="1">IFERROR(__xludf.DUMMYFUNCTION("""COMPUTED_VALUE"""),"अकर्णधाराशुगसंभृशाङ्गतां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॥नैषधीयचरितम्१२.७१ ॥")</f>
        <v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॥नैषधीयचरितम्१२.७१ ॥</v>
      </c>
      <c r="B3812" s="4" t="s">
        <v>4</v>
      </c>
      <c r="C3812" s="4"/>
    </row>
    <row r="3813" spans="1:3" ht="24" customHeight="1">
      <c r="A3813" s="4" t="str">
        <f ca="1">IFERROR(__xludf.DUMMYFUNCTION("""COMPUTED_VALUE"""),"यदस्य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॥नैषधीयचरितम्१२.७२ ॥")</f>
        <v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॥नैषधीयचरितम्१२.७२ ॥</v>
      </c>
      <c r="B3813" s="4" t="s">
        <v>11</v>
      </c>
      <c r="C3813" s="4"/>
    </row>
    <row r="3814" spans="1:3" ht="24" customHeight="1">
      <c r="A3814" s="4" t="str">
        <f ca="1">IFERROR(__xludf.DUMMYFUNCTION("""COMPUTED_VALUE"""),"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॥नैषधीयचरितम्१२.७३ ॥")</f>
        <v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॥नैषधीयचरितम्१२.७३ ॥</v>
      </c>
      <c r="B3814" s="4" t="s">
        <v>13</v>
      </c>
      <c r="C3814" s="4"/>
    </row>
    <row r="3815" spans="1:3" ht="24" customHeight="1">
      <c r="A3815" s="4" t="str">
        <f ca="1">IFERROR(__xludf.DUMMYFUNCTION("""COMPUTED_VALUE"""),"क्षीरोदन्वदपाः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॥नैषधीयचरितम्१२.७४ ॥")</f>
        <v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॥नैषधीयचरितम्१२.७४ ॥</v>
      </c>
      <c r="B3815" s="4" t="s">
        <v>4</v>
      </c>
      <c r="C3815" s="4"/>
    </row>
    <row r="3816" spans="1:3" ht="24" customHeight="1">
      <c r="A3816" s="4" t="str">
        <f ca="1">IFERROR(__xludf.DUMMYFUNCTION("""COMPUTED_VALUE"""),"सभिति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॥नैषधीयचरितम्१२.७५ ॥")</f>
        <v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॥नैषधीयचरितम्१२.७५ ॥</v>
      </c>
      <c r="B3816" s="4" t="s">
        <v>2</v>
      </c>
      <c r="C3816" s="4"/>
    </row>
    <row r="3817" spans="1:3" ht="24" customHeight="1">
      <c r="A3817" s="4" t="str">
        <f ca="1">IFERROR(__xludf.DUMMYFUNCTION("""COMPUTED_VALUE"""),"विधाय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॥नैषधीयचरितम्१२.७६ ॥")</f>
        <v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॥नैषधीयचरितम्१२.७६ ॥</v>
      </c>
      <c r="B3817" s="4" t="s">
        <v>12</v>
      </c>
      <c r="C3817" s="4"/>
    </row>
    <row r="3818" spans="1:3" ht="24" customHeight="1">
      <c r="A3818" s="4" t="str">
        <f ca="1">IFERROR(__xludf.DUMMYFUNCTION("""COMPUTED_VALUE"""),"समुन्मुखीकृत्य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॥नैषधीयचरितम्१२.७७ ॥")</f>
        <v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॥नैषधीयचरितम्१२.७७ ॥</v>
      </c>
      <c r="B3818" s="4" t="s">
        <v>1</v>
      </c>
      <c r="C3818" s="4"/>
    </row>
    <row r="3819" spans="1:3" ht="24" customHeight="1">
      <c r="A3819" s="4" t="str">
        <f ca="1">IFERROR(__xludf.DUMMYFUNCTION("""COMPUTED_VALUE"""),"अयं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॥नैषधीयचरितम्१२.७८ ॥")</f>
        <v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॥नैषधीयचरितम्१२.७८ ॥</v>
      </c>
      <c r="B3819" s="4" t="s">
        <v>5</v>
      </c>
      <c r="C3819" s="4"/>
    </row>
    <row r="3820" spans="1:3" ht="24" customHeight="1">
      <c r="A3820" s="4" t="str">
        <f ca="1">IFERROR(__xludf.DUMMYFUNCTION("""COMPUTED_VALUE"""),"अनेन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॥नैषधीयचरितम्१२.७९ ॥")</f>
        <v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॥नैषधीयचरितम्१२.७९ ॥</v>
      </c>
      <c r="B3820" s="4" t="s">
        <v>2</v>
      </c>
      <c r="C3820" s="4"/>
    </row>
    <row r="3821" spans="1:3" ht="24" customHeight="1">
      <c r="A3821" s="4" t="str">
        <f ca="1">IFERROR(__xludf.DUMMYFUNCTION("""COMPUTED_VALUE"""),"नृपः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॥नैषधीयचरितम्१२.८ ॥")</f>
        <v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॥नैषधीयचरितम्१२.८ ॥</v>
      </c>
      <c r="B3821" s="4" t="s">
        <v>1</v>
      </c>
      <c r="C3821" s="4"/>
    </row>
    <row r="3822" spans="1:3" ht="24" customHeight="1">
      <c r="A3822" s="4" t="str">
        <f ca="1">IFERROR(__xludf.DUMMYFUNCTION("""COMPUTED_VALUE"""),"यत्कस्यामपि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॥नैषधीयचरितम्१२.८१ ॥")</f>
        <v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॥नैषधीयचरितम्१२.८१ ॥</v>
      </c>
      <c r="B3822" s="4" t="s">
        <v>1</v>
      </c>
      <c r="C3822" s="4"/>
    </row>
    <row r="3823" spans="1:3" ht="24" customHeight="1">
      <c r="A3823" s="4" t="str">
        <f ca="1">IFERROR(__xludf.DUMMYFUNCTION("""COMPUTED_VALUE"""),"अमुष्योर्वीभर्तुः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॥नैषधीयचरितम्१२.८२ ॥")</f>
        <v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॥नैषधीयचरितम्१२.८२ ॥</v>
      </c>
      <c r="B3823" s="4" t="s">
        <v>18</v>
      </c>
      <c r="C3823" s="4"/>
    </row>
    <row r="3824" spans="1:3" ht="24" customHeight="1">
      <c r="A3824" s="4" t="str">
        <f ca="1">IFERROR(__xludf.DUMMYFUNCTION("""COMPUTED_VALUE"""),"आत्मन्यस्य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॥नैषधीयचरितम्१२.८३ ॥")</f>
        <v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॥नैषधीयचरितम्१२.८३ ॥</v>
      </c>
      <c r="B3824" s="4" t="s">
        <v>3</v>
      </c>
      <c r="C3824" s="4"/>
    </row>
    <row r="3825" spans="1:3" ht="24" customHeight="1">
      <c r="A3825" s="4" t="str">
        <f ca="1">IFERROR(__xludf.DUMMYFUNCTION("""COMPUTED_VALUE"""),"दूरं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॥नैषधीयचरितम्१२.८४ ॥")</f>
        <v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॥नैषधीयचरितम्१२.८४ ॥</v>
      </c>
      <c r="B3825" s="4" t="s">
        <v>2</v>
      </c>
      <c r="C3825" s="4"/>
    </row>
    <row r="3826" spans="1:3" ht="24" customHeight="1">
      <c r="A3826" s="4" t="str">
        <f ca="1">IFERROR(__xludf.DUMMYFUNCTION("""COMPUTED_VALUE"""),"एतद्गन्धगजस्तृषाम्भसि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॥नैषधीयचरितम्१२.८५ ॥")</f>
        <v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॥नैषधीयचरितम्१२.८५ ॥</v>
      </c>
      <c r="B3826" s="4" t="s">
        <v>20</v>
      </c>
      <c r="C3826" s="4"/>
    </row>
    <row r="3827" spans="1:3" ht="24" customHeight="1">
      <c r="A3827" s="4" t="str">
        <f ca="1">IFERROR(__xludf.DUMMYFUNCTION("""COMPUTED_VALUE"""),"अथैतदुर्वीपतिवर्णनाद्भुतं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॥नैषधीयचरितम्१२.८६ ॥")</f>
        <v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॥नैषधीयचरितम्१२.८६ ॥</v>
      </c>
      <c r="B3827" s="4" t="s">
        <v>11</v>
      </c>
      <c r="C3827" s="4"/>
    </row>
    <row r="3828" spans="1:3" ht="24" customHeight="1">
      <c r="A3828" s="4" t="str">
        <f ca="1">IFERROR(__xludf.DUMMYFUNCTION("""COMPUTED_VALUE"""),"प्रशंसितुं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॥नैषधीयचरितम्१२.८७ ॥")</f>
        <v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॥नैषधीयचरितम्१२.८७ ॥</v>
      </c>
      <c r="B3828" s="4" t="s">
        <v>2</v>
      </c>
      <c r="C3828" s="4"/>
    </row>
    <row r="3829" spans="1:3" ht="24" customHeight="1">
      <c r="A3829" s="4" t="str">
        <f ca="1">IFERROR(__xludf.DUMMYFUNCTION("""COMPUTED_VALUE"""),"तथाधिकुर्या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॥नैषधीयचरितम्१२.८८ ॥")</f>
        <v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॥नैषधीयचरितम्१२.८८ ॥</v>
      </c>
      <c r="B3829" s="4" t="s">
        <v>9</v>
      </c>
      <c r="C3829" s="4"/>
    </row>
    <row r="3830" spans="1:3" ht="24" customHeight="1">
      <c r="A3830" s="4" t="str">
        <f ca="1">IFERROR(__xludf.DUMMYFUNCTION("""COMPUTED_VALUE"""),"इदंयशांसि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॥नैषधीयचरितम्१२.८९ ॥")</f>
        <v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॥नैषधीयचरितम्१२.८९ ॥</v>
      </c>
      <c r="B3830" s="4" t="s">
        <v>18</v>
      </c>
      <c r="C3830" s="4"/>
    </row>
    <row r="3831" spans="1:3" ht="24" customHeight="1">
      <c r="A3831" s="4" t="str">
        <f ca="1">IFERROR(__xludf.DUMMYFUNCTION("""COMPUTED_VALUE"""),"इदंनृपप्रार्थिभिरुज्झितोऽर्थिभिर्मणिप्ररोहेण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॥नैषधीयचरितम्१२.९ ॥")</f>
        <v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॥नैषधीयचरितम्१२.९ ॥</v>
      </c>
      <c r="B3831" s="4" t="s">
        <v>0</v>
      </c>
      <c r="C3831" s="4"/>
    </row>
    <row r="3832" spans="1:3" ht="24" customHeight="1">
      <c r="A3832" s="4" t="str">
        <f ca="1">IFERROR(__xludf.DUMMYFUNCTION("""COMPUTED_VALUE"""),"भूशक्रस्य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॥नैषधीयचरितम्१२.९१ ॥")</f>
        <v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॥नैषधीयचरितम्१२.९१ ॥</v>
      </c>
      <c r="B3832" s="4" t="s">
        <v>2</v>
      </c>
      <c r="C3832" s="4"/>
    </row>
    <row r="3833" spans="1:3" ht="24" customHeight="1">
      <c r="A3833" s="4" t="str">
        <f ca="1">IFERROR(__xludf.DUMMYFUNCTION("""COMPUTED_VALUE"""),"यद्भर्तुः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॥नैषधीयचरितम्१२.९२ ॥")</f>
        <v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॥नैषधीयचरितम्१२.९२ ॥</v>
      </c>
      <c r="B3833" s="4" t="s">
        <v>5</v>
      </c>
      <c r="C3833" s="4"/>
    </row>
    <row r="3834" spans="1:3" ht="24" customHeight="1">
      <c r="A3834" s="4" t="str">
        <f ca="1">IFERROR(__xludf.DUMMYFUNCTION("""COMPUTED_VALUE"""),"प्रागेतद्वपुरामुखेन्दु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॥नैषधीयचरितम्१२.९३ ॥")</f>
        <v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॥नैषधीयचरितम्१२.९३ ॥</v>
      </c>
      <c r="B3834" s="4" t="s">
        <v>2</v>
      </c>
      <c r="C3834" s="4"/>
    </row>
    <row r="3835" spans="1:3" ht="24" customHeight="1">
      <c r="A3835" s="4" t="str">
        <f ca="1">IFERROR(__xludf.DUMMYFUNCTION("""COMPUTED_VALUE"""),"तत्तद्दिग्जैत्रयात्रोद्धुरतुरगखुराग्रोद्धतैरन्धकारं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॥नैषधीयचरितम्१२.९४ ॥")</f>
        <v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॥नैषधीयचरितम्१२.९४ ॥</v>
      </c>
      <c r="B3835" s="4" t="s">
        <v>1</v>
      </c>
      <c r="C3835" s="4"/>
    </row>
    <row r="3836" spans="1:3" ht="24" customHeight="1">
      <c r="A3836" s="4" t="str">
        <f ca="1">IFERROR(__xludf.DUMMYFUNCTION("""COMPUTED_VALUE"""),"आस्ते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॥नैषधीयचरितम्१२.९५ ॥")</f>
        <v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॥नैषधीयचरितम्१२.९५ ॥</v>
      </c>
      <c r="B3836" s="4" t="s">
        <v>1</v>
      </c>
      <c r="C3836" s="4"/>
    </row>
    <row r="3837" spans="1:3" ht="24" customHeight="1">
      <c r="A3837" s="4" t="str">
        <f ca="1">IFERROR(__xludf.DUMMYFUNCTION("""COMPUTED_VALUE"""),"अस्यासिर्भुजगः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॥नैषधीयचरितम्१२.९६ ॥")</f>
        <v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॥नैषधीयचरितम्१२.९६ ॥</v>
      </c>
      <c r="B3837" s="4" t="s">
        <v>2</v>
      </c>
      <c r="C3837" s="4"/>
    </row>
    <row r="3838" spans="1:3" ht="24" customHeight="1">
      <c r="A3838" s="4" t="str">
        <f ca="1">IFERROR(__xludf.DUMMYFUNCTION("""COMPUTED_VALUE"""),"यः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॥नैषधीयचरितम्१२.९७ ॥")</f>
        <v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॥नैषधीयचरितम्१२.९७ ॥</v>
      </c>
      <c r="B3838" s="4" t="s">
        <v>7</v>
      </c>
      <c r="C3838" s="4"/>
    </row>
    <row r="3839" spans="1:3" ht="24" customHeight="1">
      <c r="A3839" s="4" t="str">
        <f ca="1">IFERROR(__xludf.DUMMYFUNCTION("""COMPUTED_VALUE"""),"अस्यारिप्रकरः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॥नैषधीयचरितम्१२.९८ ॥")</f>
        <v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॥नैषधीयचरितम्१२.९८ ॥</v>
      </c>
      <c r="B3839" s="4" t="s">
        <v>2</v>
      </c>
      <c r="C3839" s="4"/>
    </row>
    <row r="3840" spans="1:3" ht="24" customHeight="1">
      <c r="A3840" s="4" t="str">
        <f ca="1">IFERROR(__xludf.DUMMYFUNCTION("""COMPUTED_VALUE"""),"धूलीभिर्दिवमन्धयन्बधिरयन्नाशाः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॥नैषधीयचरितम्१२.९९ ॥")</f>
        <v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॥नैषधीयचरितम्१२.९९ ॥</v>
      </c>
      <c r="B3840" s="4" t="s">
        <v>15</v>
      </c>
      <c r="C3840" s="4"/>
    </row>
    <row r="3841" spans="1:3" ht="24" customHeight="1">
      <c r="A3841" s="4" t="str">
        <f ca="1">IFERROR(__xludf.DUMMYFUNCTION("""COMPUTED_VALUE"""),"एतेनोत्कृत्तकण्ठप्रतिसुभटनटारब्धनाट्याद्भुतानां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॥नैषधीयचरितम्१२.१ ॥")</f>
        <v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॥नैषधीयचरितम्१२.१ ॥</v>
      </c>
      <c r="B3841" s="4" t="s">
        <v>0</v>
      </c>
      <c r="C3841" s="4"/>
    </row>
    <row r="3842" spans="1:3" ht="24" customHeight="1">
      <c r="A3842" s="4" t="str">
        <f ca="1">IFERROR(__xludf.DUMMYFUNCTION("""COMPUTED_VALUE"""),"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॥नैषधीयचरितम्१२.१०१ ॥")</f>
        <v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॥नैषधीयचरितम्१२.१०१ ॥</v>
      </c>
      <c r="B3842" s="4" t="s">
        <v>15</v>
      </c>
      <c r="C3842" s="4"/>
    </row>
    <row r="3843" spans="1:3" ht="24" customHeight="1">
      <c r="A3843" s="4" t="str">
        <f ca="1">IFERROR(__xludf.DUMMYFUNCTION("""COMPUTED_VALUE"""),"वृद्धो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॥नैषधीयचरितम्१२.१०२ ॥")</f>
        <v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॥नैषधीयचरितम्१२.१०२ ॥</v>
      </c>
      <c r="B3843" s="4" t="s">
        <v>2</v>
      </c>
      <c r="C3843" s="4"/>
    </row>
    <row r="3844" spans="1:3" ht="24" customHeight="1">
      <c r="A3844" s="4" t="str">
        <f ca="1">IFERROR(__xludf.DUMMYFUNCTION("""COMPUTED_VALUE"""),"तस्मिन्नेतेन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॥नैषधीयचरितम्१२.१०३ ॥")</f>
        <v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॥नैषधीयचरितम्१२.१०३ ॥</v>
      </c>
      <c r="B3844" s="4" t="s">
        <v>19</v>
      </c>
      <c r="C3844" s="4"/>
    </row>
    <row r="3845" spans="1:3" ht="24" customHeight="1">
      <c r="A3845" s="4" t="str">
        <f ca="1">IFERROR(__xludf.DUMMYFUNCTION("""COMPUTED_VALUE"""),"एतत्कीर्तिविवर्तधौतनिखिलत्रैलोक्यनिर्वासितैर्विश्रान्तिः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॥नैषधीयचरितम्१२.१०४ ॥")</f>
        <v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॥नैषधीयचरितम्१२.१०४ ॥</v>
      </c>
      <c r="B3845" s="4" t="s">
        <v>2</v>
      </c>
      <c r="C3845" s="4"/>
    </row>
    <row r="3846" spans="1:3" ht="24" customHeight="1">
      <c r="A3846" s="4" t="str">
        <f ca="1">IFERROR(__xludf.DUMMYFUNCTION("""COMPUTED_VALUE"""),"अथावदद्भीमसुतेङ्गितात्सखी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॥नैषधीयचरितम्१२.१०५ ॥")</f>
        <v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॥नैषधीयचरितम्१२.१०५ ॥</v>
      </c>
      <c r="B3846" s="4" t="s">
        <v>2</v>
      </c>
      <c r="C3846" s="4"/>
    </row>
    <row r="3847" spans="1:3" ht="24" customHeight="1">
      <c r="A3847" s="4" t="str">
        <f ca="1">IFERROR(__xludf.DUMMYFUNCTION("""COMPUTED_VALUE"""),"अस्य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॥नैषधीयचरितम्१२.१०६ ॥")</f>
        <v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॥नैषधीयचरितम्१२.१०६ ॥</v>
      </c>
      <c r="B3847" s="4" t="s">
        <v>18</v>
      </c>
      <c r="C3847" s="4"/>
    </row>
    <row r="3848" spans="1:3" ht="24" customHeight="1">
      <c r="A3848" s="4" t="str">
        <f ca="1">IFERROR(__xludf.DUMMYFUNCTION("""COMPUTED_VALUE"""),"तदक्षरैः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॥नैषधीयचरितम्१२.१०७ ॥")</f>
        <v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॥नैषधीयचरितम्१२.१०७ ॥</v>
      </c>
      <c r="B3848" s="4" t="s">
        <v>5</v>
      </c>
      <c r="C3848" s="4"/>
    </row>
    <row r="3849" spans="1:3" ht="24" customHeight="1">
      <c r="A3849" s="4" t="str">
        <f ca="1">IFERROR(__xludf.DUMMYFUNCTION("""COMPUTED_VALUE"""),"नलान्यवीक्षां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॥नैषधीयचरितम्१२.१०८ ॥")</f>
        <v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॥नैषधीयचरितम्१२.१०८ ॥</v>
      </c>
      <c r="B3849" s="4" t="s">
        <v>20</v>
      </c>
      <c r="C3849" s="4"/>
    </row>
    <row r="3850" spans="1:3" ht="24" customHeight="1">
      <c r="A3850" s="4" t="str">
        <f ca="1">IFERROR(__xludf.DUMMYFUNCTION("""COMPUTED_VALUE"""),"दृशा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॥नैषधीयचरितम्१२.१०९ ॥")</f>
        <v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॥नैषधीयचरितम्१२.१०९ ॥</v>
      </c>
      <c r="B3850" s="4" t="s">
        <v>2</v>
      </c>
      <c r="C3850" s="4"/>
    </row>
    <row r="3851" spans="1:3" ht="24" customHeight="1">
      <c r="A3851" s="4" t="str">
        <f ca="1">IFERROR(__xludf.DUMMYFUNCTION("""COMPUTED_VALUE"""),"उत्कण्टका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॥नैषधीयचरितम्१२.११ ॥")</f>
        <v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॥नैषधीयचरितम्१२.११ ॥</v>
      </c>
      <c r="B3851" s="4" t="s">
        <v>4</v>
      </c>
      <c r="C3851" s="4"/>
    </row>
    <row r="3852" spans="1:3" ht="24" customHeight="1">
      <c r="A3852" s="4" t="str">
        <f ca="1">IFERROR(__xludf.DUMMYFUNCTION("""COMPUTED_VALUE"""),"तन्नालीकनले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॥नैषधीयचरितम्१२.१११ ॥")</f>
        <v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॥नैषधीयचरितम्१२.१११ ॥</v>
      </c>
      <c r="B3852" s="4" t="s">
        <v>12</v>
      </c>
      <c r="C3852" s="4"/>
    </row>
    <row r="3853" spans="1:3" ht="24" customHeight="1">
      <c r="A3853" s="4" t="str">
        <f ca="1">IFERROR(__xludf.DUMMYFUNCTION("""COMPUTED_VALUE"""),"सर्वस्वं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॥नैषधीयचरितम्१२.११२ ॥")</f>
        <v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॥नैषधीयचरितम्१२.११२ ॥</v>
      </c>
      <c r="B3853" s="4" t="s">
        <v>30</v>
      </c>
      <c r="C3853" s="4"/>
    </row>
    <row r="3854" spans="1:3" ht="24" customHeight="1">
      <c r="A3854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॥नैषधीयचरितम्१२.११३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॥नैषधीयचरितम्१२.११३ ॥</v>
      </c>
      <c r="B3854" s="4" t="s">
        <v>11</v>
      </c>
      <c r="C3854" s="4"/>
    </row>
    <row r="3855" spans="1:3" ht="24" customHeight="1">
      <c r="A3855" s="4" t="str">
        <f ca="1">IFERROR(__xludf.DUMMYFUNCTION("""COMPUTED_VALUE"""),"कल्पद्रुमान्परिमला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॥नैषधीयचरितम्१३.१ ॥")</f>
        <v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॥नैषधीयचरितम्१३.१ ॥</v>
      </c>
      <c r="B3855" s="4" t="s">
        <v>0</v>
      </c>
      <c r="C3855" s="4"/>
    </row>
    <row r="3856" spans="1:3" ht="24" customHeight="1">
      <c r="A3856" s="4" t="str">
        <f ca="1">IFERROR(__xludf.DUMMYFUNCTION("""COMPUTED_VALUE"""),"साक्षात्कृताखिलजगज्जनताचरित्रा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॥नैषधीयचरितम्१३.२ ॥")</f>
        <v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॥नैषधीयचरितम्१३.२ ॥</v>
      </c>
      <c r="B3856" s="4" t="s">
        <v>5</v>
      </c>
      <c r="C3856" s="4"/>
    </row>
    <row r="3857" spans="1:3" ht="24" customHeight="1">
      <c r="A3857" s="4" t="str">
        <f ca="1">IFERROR(__xludf.DUMMYFUNCTION("""COMPUTED_VALUE"""),"ब्रूमः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॥नैषधीयचरितम्१३.३ ॥")</f>
        <v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॥नैषधीयचरितम्१३.३ ॥</v>
      </c>
      <c r="B3857" s="4" t="s">
        <v>0</v>
      </c>
      <c r="C3857" s="4"/>
    </row>
    <row r="3858" spans="1:3" ht="24" customHeight="1">
      <c r="A3858" s="4" t="str">
        <f ca="1">IFERROR(__xludf.DUMMYFUNCTION("""COMPUTED_VALUE"""),"शुभ्रांशुहारगणहारिपयोधराङ्कचुम्बीन्द्रचापखचितद्युमणिप्रभाभिः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॥नैषधीयचरितम्१३.४ ॥")</f>
        <v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॥नैषधीयचरितम्१३.४ ॥</v>
      </c>
      <c r="B3858" s="4" t="s">
        <v>6</v>
      </c>
      <c r="C3858" s="4"/>
    </row>
    <row r="3859" spans="1:3" ht="24" customHeight="1">
      <c r="A3859" s="4" t="str">
        <f ca="1">IFERROR(__xludf.DUMMYFUNCTION("""COMPUTED_VALUE"""),"क्षोणीभृतामतुलकर्कशविग्रहाणामुद्दामदर्पहरिकुञ्जरकोटिभाजाम्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॥नैषधीयचरितम्१३.५ ॥")</f>
        <v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॥नैषधीयचरितम्१३.५ ॥</v>
      </c>
      <c r="B3859" s="4" t="s">
        <v>0</v>
      </c>
      <c r="C3859" s="4"/>
    </row>
    <row r="3860" spans="1:3" ht="24" customHeight="1">
      <c r="A3860" s="4" t="str">
        <f ca="1">IFERROR(__xludf.DUMMYFUNCTION("""COMPUTED_VALUE"""),"भूमीभृतः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॥नैषधीयचरितम्१३.६ ॥")</f>
        <v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॥नैषधीयचरितम्१३.६ ॥</v>
      </c>
      <c r="B3860" s="4" t="s">
        <v>5</v>
      </c>
      <c r="C3860" s="4"/>
    </row>
    <row r="3861" spans="1:3" ht="24" customHeight="1">
      <c r="A3861" s="4" t="str">
        <f ca="1">IFERROR(__xludf.DUMMYFUNCTION("""COMPUTED_VALUE"""),"लेखा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॥नैषधीयचरितम्१३.७ ॥")</f>
        <v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॥नैषधीयचरितम्१३.७ ॥</v>
      </c>
      <c r="B3861" s="4" t="s">
        <v>4</v>
      </c>
      <c r="C3861" s="4"/>
    </row>
    <row r="3862" spans="1:3" ht="24" customHeight="1">
      <c r="A3862" s="4" t="str">
        <f ca="1">IFERROR(__xludf.DUMMYFUNCTION("""COMPUTED_VALUE"""),"आकर्ण्य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॥नैषधीयचरितम्१३.८ ॥")</f>
        <v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॥नैषधीयचरितम्१३.८ ॥</v>
      </c>
      <c r="B3862" s="4" t="s">
        <v>0</v>
      </c>
      <c r="C3862" s="4"/>
    </row>
    <row r="3863" spans="1:3" ht="24" customHeight="1">
      <c r="A3863" s="4" t="str">
        <f ca="1">IFERROR(__xludf.DUMMYFUNCTION("""COMPUTED_VALUE"""),"शक्रः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॥नैषधीयचरितम्१३.९ ॥")</f>
        <v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॥नैषधीयचरितम्१३.९ ॥</v>
      </c>
      <c r="B3863" s="4" t="s">
        <v>18</v>
      </c>
      <c r="C3863" s="4"/>
    </row>
    <row r="3864" spans="1:3" ht="24" customHeight="1">
      <c r="A3864" s="4" t="str">
        <f ca="1">IFERROR(__xludf.DUMMYFUNCTION("""COMPUTED_VALUE"""),"एष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॥नैषधीयचरितम्१३.१ ॥")</f>
        <v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॥नैषधीयचरितम्१३.१ ॥</v>
      </c>
      <c r="B3864" s="4" t="s">
        <v>9</v>
      </c>
      <c r="C3864" s="4"/>
    </row>
    <row r="3865" spans="1:3" ht="24" customHeight="1">
      <c r="A3865" s="4" t="str">
        <f ca="1">IFERROR(__xludf.DUMMYFUNCTION("""COMPUTED_VALUE"""),"अस्यर्थहेतिपटुताकवलीभवत्तत्तत्पार्थिवाधिकरणप्रभवाऽस्य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॥नैषधीयचरितम्१३.११ ॥")</f>
        <v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॥नैषधीयचरितम्१३.११ ॥</v>
      </c>
      <c r="B3865" s="4" t="s">
        <v>9</v>
      </c>
      <c r="C3865" s="4"/>
    </row>
    <row r="3866" spans="1:3" ht="24" customHeight="1">
      <c r="A3866" s="4" t="str">
        <f ca="1">IFERROR(__xludf.DUMMYFUNCTION("""COMPUTED_VALUE"""),"एतन्मुखा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॥नैषधीयचरितम्१३.१२ ॥")</f>
        <v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॥नैषधीयचरितम्१३.१२ ॥</v>
      </c>
      <c r="B3866" s="4" t="s">
        <v>0</v>
      </c>
      <c r="C3866" s="4"/>
    </row>
    <row r="3867" spans="1:3" ht="24" customHeight="1">
      <c r="A3867" s="4" t="str">
        <f ca="1">IFERROR(__xludf.DUMMYFUNCTION("""COMPUTED_VALUE"""),"नैवाल्पमेधसि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॥नैषधीयचरितम्१३.१३ ॥")</f>
        <v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॥नैषधीयचरितम्१३.१३ ॥</v>
      </c>
      <c r="B3867" s="4" t="s">
        <v>5</v>
      </c>
      <c r="C3867" s="4"/>
    </row>
    <row r="3868" spans="1:3" ht="24" customHeight="1">
      <c r="A3868" s="4" t="str">
        <f ca="1">IFERROR(__xludf.DUMMYFUNCTION("""COMPUTED_VALUE"""),"साधारणीं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॥नैषधीयचरितम्१३.१४ ॥")</f>
        <v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॥नैषधीयचरितम्१३.१४ ॥</v>
      </c>
      <c r="B3868" s="4" t="s">
        <v>5</v>
      </c>
      <c r="C3868" s="4"/>
    </row>
    <row r="3869" spans="1:3" ht="24" customHeight="1">
      <c r="A3869" s="4" t="str">
        <f ca="1">IFERROR(__xludf.DUMMYFUNCTION("""COMPUTED_VALUE"""),"एतादृशीमथ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॥नैषधीयचरितम्१३.१५ ॥")</f>
        <v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॥नैषधीयचरितम्१३.१५ ॥</v>
      </c>
      <c r="B3869" s="4" t="s">
        <v>0</v>
      </c>
      <c r="C3869" s="4"/>
    </row>
    <row r="3870" spans="1:3" ht="24" customHeight="1">
      <c r="A3870" s="4" t="str">
        <f ca="1">IFERROR(__xludf.DUMMYFUNCTION("""COMPUTED_VALUE"""),"दण्डं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॥नैषधीयचरितम्१३.१६ ॥")</f>
        <v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॥नैषधीयचरितम्१३.१६ ॥</v>
      </c>
      <c r="B3870" s="4" t="s">
        <v>2</v>
      </c>
      <c r="C3870" s="4"/>
    </row>
    <row r="3871" spans="1:3" ht="24" customHeight="1">
      <c r="A3871" s="4" t="str">
        <f ca="1">IFERROR(__xludf.DUMMYFUNCTION("""COMPUTED_VALUE"""),"मित्त्रप्रियोपजननं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॥नैषधीयचरितम्१३.१७ ॥")</f>
        <v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॥नैषधीयचरितम्१३.१७ ॥</v>
      </c>
      <c r="B3871" s="4" t="s">
        <v>4</v>
      </c>
      <c r="C3871" s="4"/>
    </row>
    <row r="3872" spans="1:3" ht="24" customHeight="1">
      <c r="A3872" s="4" t="str">
        <f ca="1">IFERROR(__xludf.DUMMYFUNCTION("""COMPUTED_VALUE"""),"किंच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॥नैषधीयचरितम्१३.१८ ॥")</f>
        <v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॥नैषधीयचरितम्१३.१८ ॥</v>
      </c>
      <c r="B3872" s="4" t="s">
        <v>2</v>
      </c>
      <c r="C3872" s="4"/>
    </row>
    <row r="3873" spans="1:3" ht="24" customHeight="1">
      <c r="A3873" s="4" t="str">
        <f ca="1">IFERROR(__xludf.DUMMYFUNCTION("""COMPUTED_VALUE"""),"एकः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॥नैषधीयचरितम्१३.१९ ॥")</f>
        <v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॥नैषधीयचरितम्१३.१९ ॥</v>
      </c>
      <c r="B3873" s="4" t="s">
        <v>5</v>
      </c>
      <c r="C3873" s="4"/>
    </row>
    <row r="3874" spans="1:3" ht="24" customHeight="1">
      <c r="A3874" s="4" t="str">
        <f ca="1">IFERROR(__xludf.DUMMYFUNCTION("""COMPUTED_VALUE"""),"गुम्फो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॥नैषधीयचरितम्१३.२ ॥")</f>
        <v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॥नैषधीयचरितम्१३.२ ॥</v>
      </c>
      <c r="B3874" s="4" t="s">
        <v>23</v>
      </c>
      <c r="C3874" s="4"/>
    </row>
    <row r="3875" spans="1:3" ht="24" customHeight="1">
      <c r="A3875" s="4" t="str">
        <f ca="1">IFERROR(__xludf.DUMMYFUNCTION("""COMPUTED_VALUE"""),"तत्रापि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॥नैषधीयचरितम्१३.२१ ॥")</f>
        <v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॥नैषधीयचरितम्१३.२१ ॥</v>
      </c>
      <c r="B3875" s="4" t="s">
        <v>2</v>
      </c>
      <c r="C3875" s="4"/>
    </row>
    <row r="3876" spans="1:3" ht="24" customHeight="1">
      <c r="A3876" s="4" t="str">
        <f ca="1">IFERROR(__xludf.DUMMYFUNCTION("""COMPUTED_VALUE"""),"या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॥नैषधीयचरितम्१३.२२ ॥")</f>
        <v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॥नैषधीयचरितम्१३.२२ ॥</v>
      </c>
      <c r="B3876" s="4" t="s">
        <v>20</v>
      </c>
      <c r="C3876" s="4"/>
    </row>
    <row r="3877" spans="1:3" ht="24" customHeight="1">
      <c r="A3877" s="4" t="str">
        <f ca="1">IFERROR(__xludf.DUMMYFUNCTION("""COMPUTED_VALUE"""),"नासीरसीमनि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॥नैषधीयचरितम्१३.२३ ॥")</f>
        <v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॥नैषधीयचरितम्१३.२३ ॥</v>
      </c>
      <c r="B3877" s="4" t="s">
        <v>1</v>
      </c>
      <c r="C3877" s="4"/>
    </row>
    <row r="3878" spans="1:3" ht="24" customHeight="1">
      <c r="A3878" s="4" t="str">
        <f ca="1">IFERROR(__xludf.DUMMYFUNCTION("""COMPUTED_VALUE"""),"सस्यन्दनैः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॥नैषधीयचरितम्१३.२४ ॥")</f>
        <v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॥नैषधीयचरितम्१३.२४ ॥</v>
      </c>
      <c r="B3878" s="4" t="s">
        <v>2</v>
      </c>
      <c r="C3878" s="4"/>
    </row>
    <row r="3879" spans="1:3" ht="24" customHeight="1">
      <c r="A3879" s="4" t="str">
        <f ca="1">IFERROR(__xludf.DUMMYFUNCTION("""COMPUTED_VALUE"""),"शोणं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॥नैषधीयचरितम्१३.२५ ॥")</f>
        <v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॥नैषधीयचरितम्१३.२५ ॥</v>
      </c>
      <c r="B3879" s="4" t="s">
        <v>1</v>
      </c>
      <c r="C3879" s="4"/>
    </row>
    <row r="3880" spans="1:3" ht="24" customHeight="1">
      <c r="A3880" s="4" t="str">
        <f ca="1">IFERROR(__xludf.DUMMYFUNCTION("""COMPUTED_VALUE"""),"शङ्कालताततिमनेकनलावलम्बां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॥नैषधीयचरितम्१३.२६ ॥")</f>
        <v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॥नैषधीयचरितम्१३.२६ ॥</v>
      </c>
      <c r="B3880" s="4" t="s">
        <v>0</v>
      </c>
      <c r="C3880" s="4"/>
    </row>
    <row r="3881" spans="1:3" ht="24" customHeight="1">
      <c r="A3881" s="4" t="str">
        <f ca="1">IFERROR(__xludf.DUMMYFUNCTION("""COMPUTED_VALUE"""),"बालां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॥नैषधीयचरितम्१३.२७ ॥")</f>
        <v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॥नैषधीयचरितम्१३.२७ ॥</v>
      </c>
      <c r="B3881" s="4" t="s">
        <v>3</v>
      </c>
      <c r="C3881" s="4"/>
    </row>
    <row r="3882" spans="1:3" ht="24" customHeight="1">
      <c r="A3882" s="4" t="str">
        <f ca="1">IFERROR(__xludf.DUMMYFUNCTION("""COMPUTED_VALUE"""),"अत्याजिलब्धविजयप्रसरस्त्वया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॥नैषधीयचरितम्१३.२८ ॥")</f>
        <v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॥नैषधीयचरितम्१३.२८ ॥</v>
      </c>
      <c r="B3882" s="4" t="s">
        <v>5</v>
      </c>
      <c r="C3882" s="4"/>
    </row>
    <row r="3883" spans="1:3" ht="24" customHeight="1">
      <c r="A3883" s="4" t="str">
        <f ca="1">IFERROR(__xludf.DUMMYFUNCTION("""COMPUTED_VALUE"""),"येनामुना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॥नैषधीयचरितम्१३.२९ ॥")</f>
        <v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॥नैषधीयचरितम्१३.२९ ॥</v>
      </c>
      <c r="B3883" s="4" t="s">
        <v>0</v>
      </c>
      <c r="C3883" s="4"/>
    </row>
    <row r="3884" spans="1:3" ht="24" customHeight="1">
      <c r="A3884" s="4" t="str">
        <f ca="1">IFERROR(__xludf.DUMMYFUNCTION("""COMPUTED_VALUE"""),"यच्चण्डिमारणविधिव्यसनं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॥नैषधीयचरितम्१३.३ ॥")</f>
        <v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॥नैषधीयचरितम्१३.३ ॥</v>
      </c>
      <c r="B3884" s="4" t="s">
        <v>3</v>
      </c>
      <c r="C3884" s="4"/>
    </row>
    <row r="3885" spans="1:3" ht="24" customHeight="1">
      <c r="A3885" s="4" t="str">
        <f ca="1">IFERROR(__xludf.DUMMYFUNCTION("""COMPUTED_VALUE"""),"किं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॥नैषधीयचरितम्१३.३१ ॥")</f>
        <v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॥नैषधीयचरितम्१३.३१ ॥</v>
      </c>
      <c r="B3885" s="4" t="s">
        <v>2</v>
      </c>
      <c r="C3885" s="4"/>
    </row>
    <row r="3886" spans="1:3" ht="24" customHeight="1">
      <c r="A3886" s="4" t="str">
        <f ca="1">IFERROR(__xludf.DUMMYFUNCTION("""COMPUTED_VALUE"""),"श्लोकादिह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॥नैषधीयचरितम्१३.३२ ॥")</f>
        <v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॥नैषधीयचरितम्१३.३२ ॥</v>
      </c>
      <c r="B3886" s="4" t="s">
        <v>20</v>
      </c>
      <c r="C3886" s="4"/>
    </row>
    <row r="3887" spans="1:3" ht="24" customHeight="1">
      <c r="A3887" s="4" t="str">
        <f ca="1">IFERROR(__xludf.DUMMYFUNCTION("""COMPUTED_VALUE"""),"त्वं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॥नैषधीयचरितम्१३.३३ ॥")</f>
        <v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॥नैषधीयचरितम्१३.३३ ॥</v>
      </c>
      <c r="B3887" s="4" t="s">
        <v>1</v>
      </c>
      <c r="C3887" s="4"/>
    </row>
    <row r="3888" spans="1:3" ht="24" customHeight="1">
      <c r="A3888" s="4" t="str">
        <f ca="1">IFERROR(__xludf.DUMMYFUNCTION("""COMPUTED_VALUE"""),"देवः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॥नैषधीयचरितम्१३.३४ ॥")</f>
        <v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॥नैषधीयचरितम्१३.३४ ॥</v>
      </c>
      <c r="B3888" s="4" t="s">
        <v>2</v>
      </c>
      <c r="C3888" s="4"/>
    </row>
    <row r="3889" spans="1:3" ht="24" customHeight="1">
      <c r="A3889" s="4" t="str">
        <f ca="1">IFERROR(__xludf.DUMMYFUNCTION("""COMPUTED_VALUE"""),"इन्द्राग्निदक्षिणदिगीश्वरपाशिभिस्तां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॥नैषधीयचरितम्१३.३५ ॥")</f>
        <v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॥नैषधीयचरितम्१३.३५ ॥</v>
      </c>
      <c r="B3889" s="4" t="s">
        <v>9</v>
      </c>
      <c r="C3889" s="4"/>
    </row>
    <row r="3890" spans="1:3" ht="24" customHeight="1">
      <c r="A3890" s="4" t="str">
        <f ca="1">IFERROR(__xludf.DUMMYFUNCTION("""COMPUTED_VALUE"""),"साप्तुं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॥नैषधीयचरितम्१३.३६ ॥")</f>
        <v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॥नैषधीयचरितम्१३.३६ ॥</v>
      </c>
      <c r="B3890" s="4" t="s">
        <v>19</v>
      </c>
      <c r="C3890" s="4"/>
    </row>
    <row r="3891" spans="1:3" ht="24" customHeight="1">
      <c r="A3891" s="4" t="str">
        <f ca="1">IFERROR(__xludf.DUMMYFUNCTION("""COMPUTED_VALUE"""),"कारिष्यते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॥नैषधीयचरितम्१३.३७ ॥")</f>
        <v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॥नैषधीयचरितम्१३.३७ ॥</v>
      </c>
      <c r="B3891" s="4" t="s">
        <v>5</v>
      </c>
      <c r="C3891" s="4"/>
    </row>
    <row r="3892" spans="1:3" ht="24" customHeight="1">
      <c r="A3892" s="4" t="str">
        <f ca="1">IFERROR(__xludf.DUMMYFUNCTION("""COMPUTED_VALUE"""),"उत्कण्ठयन्पृथगिमां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॥नैषधीयचरितम्१३.३८ ॥")</f>
        <v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॥नैषधीयचरितम्१३.३८ ॥</v>
      </c>
      <c r="B3892" s="4" t="s">
        <v>7</v>
      </c>
      <c r="C3892" s="4"/>
    </row>
    <row r="3893" spans="1:3" ht="24" customHeight="1">
      <c r="A3893" s="4" t="str">
        <f ca="1">IFERROR(__xludf.DUMMYFUNCTION("""COMPUTED_VALUE"""),"देवानियं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॥नैषधीयचरितम्१३.३९ ॥")</f>
        <v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॥नैषधीयचरितम्१३.३९ ॥</v>
      </c>
      <c r="B3893" s="4" t="s">
        <v>15</v>
      </c>
      <c r="C3893" s="4"/>
    </row>
    <row r="3894" spans="1:3" ht="24" customHeight="1">
      <c r="A3894" s="4" t="str">
        <f ca="1">IFERROR(__xludf.DUMMYFUNCTION("""COMPUTED_VALUE"""),"क्व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॥नैषधीयचरितम्१३.४ ॥")</f>
        <v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॥नैषधीयचरितम्१३.४ ॥</v>
      </c>
      <c r="B3894" s="4" t="s">
        <v>8</v>
      </c>
      <c r="C3894" s="4"/>
    </row>
    <row r="3895" spans="1:3" ht="24" customHeight="1">
      <c r="A3895" s="4" t="str">
        <f ca="1">IFERROR(__xludf.DUMMYFUNCTION("""COMPUTED_VALUE"""),"एकैकमैक्षत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॥नैषधीयचरितम्१३.४१ ॥")</f>
        <v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॥नैषधीयचरितम्१३.४१ ॥</v>
      </c>
      <c r="B3895" s="4" t="s">
        <v>24</v>
      </c>
      <c r="C3895" s="4"/>
    </row>
    <row r="3896" spans="1:3" ht="24" customHeight="1">
      <c r="A3896" s="4" t="str">
        <f ca="1">IFERROR(__xludf.DUMMYFUNCTION("""COMPUTED_VALUE"""),"अस्ति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॥नैषधीयचरितम्१३.४२ ॥")</f>
        <v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॥नैषधीयचरितम्१३.४२ ॥</v>
      </c>
      <c r="B3896" s="4" t="s">
        <v>2</v>
      </c>
      <c r="C3896" s="4"/>
    </row>
    <row r="3897" spans="1:3" ht="24" customHeight="1">
      <c r="A3897" s="4" t="str">
        <f ca="1">IFERROR(__xludf.DUMMYFUNCTION("""COMPUTED_VALUE"""),"किं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॥नैषधीयचरितम्१३.४३ ॥")</f>
        <v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॥नैषधीयचरितम्१३.४३ ॥</v>
      </c>
      <c r="B3897" s="4" t="s">
        <v>4</v>
      </c>
      <c r="C3897" s="4"/>
    </row>
    <row r="3898" spans="1:3" ht="24" customHeight="1">
      <c r="A3898" s="4" t="str">
        <f ca="1">IFERROR(__xludf.DUMMYFUNCTION("""COMPUTED_VALUE"""),"एको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॥नैषधीयचरितम्१३.४४ ॥")</f>
        <v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॥नैषधीयचरितम्१३.४४ ॥</v>
      </c>
      <c r="B3898" s="4" t="s">
        <v>4</v>
      </c>
      <c r="C3898" s="4"/>
    </row>
    <row r="3899" spans="1:3" ht="24" customHeight="1">
      <c r="A3899" s="4" t="str">
        <f ca="1">IFERROR(__xludf.DUMMYFUNCTION("""COMPUTED_VALUE"""),"पूर्वं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॥नैषधीयचरितम्१३.४५ ॥")</f>
        <v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॥नैषधीयचरितम्१३.४५ ॥</v>
      </c>
      <c r="B3899" s="4" t="s">
        <v>19</v>
      </c>
      <c r="C3899" s="4"/>
    </row>
    <row r="3900" spans="1:3" ht="24" customHeight="1">
      <c r="A3900" s="4" t="str">
        <f ca="1">IFERROR(__xludf.DUMMYFUNCTION("""COMPUTED_VALUE"""),"मुग्धा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॥नैषधीयचरितम्१३.४६ ॥")</f>
        <v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॥नैषधीयचरितम्१३.४६ ॥</v>
      </c>
      <c r="B3900" s="4" t="s">
        <v>2</v>
      </c>
      <c r="C3900" s="4"/>
    </row>
    <row r="3901" spans="1:3" ht="24" customHeight="1">
      <c r="A3901" s="4" t="str">
        <f ca="1">IFERROR(__xludf.DUMMYFUNCTION("""COMPUTED_VALUE"""),"एतन्मदीयमतिवञ्चकपञ्चकस्थे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॥नैषधीयचरितम्१३.४७ ॥")</f>
        <v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॥नैषधीयचरितम्१३.४७ ॥</v>
      </c>
      <c r="B3901" s="4" t="s">
        <v>1</v>
      </c>
      <c r="C3901" s="4"/>
    </row>
    <row r="3902" spans="1:3" ht="24" customHeight="1">
      <c r="A3902" s="4" t="str">
        <f ca="1">IFERROR(__xludf.DUMMYFUNCTION("""COMPUTED_VALUE"""),"याचे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॥नैषधीयचरितम्१३.४८ ॥")</f>
        <v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॥नैषधीयचरितम्१३.४८ ॥</v>
      </c>
      <c r="B3902" s="4" t="s">
        <v>2</v>
      </c>
      <c r="C3902" s="4"/>
    </row>
    <row r="3903" spans="1:3" ht="24" customHeight="1">
      <c r="A3903" s="4" t="str">
        <f ca="1">IFERROR(__xludf.DUMMYFUNCTION("""COMPUTED_VALUE"""),"ईशा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॥नैषधीयचरितम्१३.४९ ॥")</f>
        <v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॥नैषधीयचरितम्१३.४९ ॥</v>
      </c>
      <c r="B3903" s="4" t="s">
        <v>4</v>
      </c>
      <c r="C3903" s="4"/>
    </row>
    <row r="3904" spans="1:3" ht="24" customHeight="1">
      <c r="A3904" s="4" t="str">
        <f ca="1">IFERROR(__xludf.DUMMYFUNCTION("""COMPUTED_VALUE"""),"यस्येश्वरेण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॥नैषधीयचरितम्१३.५ ॥")</f>
        <v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॥नैषधीयचरितम्१३.५ ॥</v>
      </c>
      <c r="B3904" s="4" t="s">
        <v>24</v>
      </c>
      <c r="C3904" s="4"/>
    </row>
    <row r="3905" spans="1:3" ht="24" customHeight="1">
      <c r="A3905" s="4" t="str">
        <f ca="1">IFERROR(__xludf.DUMMYFUNCTION("""COMPUTED_VALUE"""),"इत्थं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॥नैषधीयचरितम्१३.५१ ॥")</f>
        <v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॥नैषधीयचरितम्१३.५१ ॥</v>
      </c>
      <c r="B3905" s="4" t="s">
        <v>23</v>
      </c>
      <c r="C3905" s="4"/>
    </row>
    <row r="3906" spans="1:3" ht="24" customHeight="1">
      <c r="A3906" s="4" t="str">
        <f ca="1">IFERROR(__xludf.DUMMYFUNCTION("""COMPUTED_VALUE"""),"देव्याः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॥नैषधीयचरितम्१३.५२ ॥")</f>
        <v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॥नैषधीयचरितम्१३.५२ ॥</v>
      </c>
      <c r="B3906" s="4" t="s">
        <v>1</v>
      </c>
      <c r="C3906" s="4"/>
    </row>
    <row r="3907" spans="1:3" ht="24" customHeight="1">
      <c r="A3907" s="4" t="str">
        <f ca="1">IFERROR(__xludf.DUMMYFUNCTION("""COMPUTED_VALUE"""),"यः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॥नैषधीयचरितम्१३.५३ ॥")</f>
        <v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॥नैषधीयचरितम्१३.५३ ॥</v>
      </c>
      <c r="B3907" s="4" t="s">
        <v>26</v>
      </c>
      <c r="C3907" s="4"/>
    </row>
    <row r="3908" spans="1:3" ht="24" customHeight="1">
      <c r="A3908" s="4" t="str">
        <f ca="1">IFERROR(__xludf.DUMMYFUNCTION("""COMPUTED_VALUE"""),"इतरनलतुलाभागेष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॥नैषधीयचरितम्१३.५४ ॥")</f>
        <v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॥नैषधीयचरितम्१३.५४ ॥</v>
      </c>
      <c r="B3908" s="4" t="s">
        <v>18</v>
      </c>
      <c r="C3908" s="4"/>
    </row>
    <row r="3909" spans="1:3" ht="24" customHeight="1">
      <c r="A3909" s="4" t="str">
        <f ca="1">IFERROR(__xludf.DUMMYFUNCTION("""COMPUTED_VALUE"""),"इति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॥नैषधीयचरितम्१३.५५ ॥")</f>
        <v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॥नैषधीयचरितम्१३.५५ ॥</v>
      </c>
      <c r="B3909" s="4" t="s">
        <v>17</v>
      </c>
      <c r="C3909" s="4"/>
    </row>
    <row r="3910" spans="1:3" ht="24" customHeight="1">
      <c r="A3910" s="4" t="str">
        <f ca="1">IFERROR(__xludf.DUMMYFUNCTION("""COMPUTED_VALUE"""),"श्रीहर्शं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॥नैषधीयचरितम्१३.५६ ॥")</f>
        <v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॥नैषधीयचरितम्१३.५६ ॥</v>
      </c>
      <c r="B3910" s="4" t="s">
        <v>20</v>
      </c>
      <c r="C3910" s="4"/>
    </row>
    <row r="3911" spans="1:3" ht="24" customHeight="1">
      <c r="A3911" s="4" t="str">
        <f ca="1">IFERROR(__xludf.DUMMYFUNCTION("""COMPUTED_VALUE"""),"अथाधिगन्तुं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॥नैषधीयचरितम्१४.१ ॥")</f>
        <v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॥नैषधीयचरितम्१४.१ ॥</v>
      </c>
      <c r="B3911" s="4" t="s">
        <v>1</v>
      </c>
      <c r="C3911" s="4"/>
    </row>
    <row r="3912" spans="1:3" ht="24" customHeight="1">
      <c r="A3912" s="4" t="str">
        <f ca="1">IFERROR(__xludf.DUMMYFUNCTION("""COMPUTED_VALUE"""),"प्रदक्षिणप्रक्रमणालवालविलेपधूपाचरणाम्बुसेकैः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॥नैषधीयचरितम्१४.२ ॥")</f>
        <v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॥नैषधीयचरितम्१४.२ ॥</v>
      </c>
      <c r="B3912" s="4" t="s">
        <v>1</v>
      </c>
      <c r="C3912" s="4"/>
    </row>
    <row r="3913" spans="1:3" ht="24" customHeight="1">
      <c r="A3913" s="4" t="str">
        <f ca="1">IFERROR(__xludf.DUMMYFUNCTION("""COMPUTED_VALUE"""),"श्रद्धामयीभूय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॥नैषधीयचरितम्१४.३ ॥")</f>
        <v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॥नैषधीयचरितम्१४.३ ॥</v>
      </c>
      <c r="B3913" s="4" t="s">
        <v>5</v>
      </c>
      <c r="C3913" s="4"/>
    </row>
    <row r="3914" spans="1:3" ht="24" customHeight="1">
      <c r="A3914" s="4" t="str">
        <f ca="1">IFERROR(__xludf.DUMMYFUNCTION("""COMPUTED_VALUE"""),"यत्तान्निजे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॥नैषधीयचरितम्१४.४ ॥")</f>
        <v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॥नैषधीयचरितम्१४.४ ॥</v>
      </c>
      <c r="B3914" s="4" t="s">
        <v>2</v>
      </c>
      <c r="C3914" s="4"/>
    </row>
    <row r="3915" spans="1:3" ht="24" customHeight="1">
      <c r="A3915" s="4" t="str">
        <f ca="1">IFERROR(__xludf.DUMMYFUNCTION("""COMPUTED_VALUE"""),"सभाजनं तत्र ससर्ज तेषां सभाजने पश्यति विस्मिते सा । आमुद्यते यत्सुमनोभिरेवं फलस्य सिद्धौ सुमनोभिरेव ॥नैषधीयचरितम्१४.५ ॥")</f>
        <v>सभाजनं तत्र ससर्ज तेषां सभाजने पश्यति विस्मिते सा । आमुद्यते यत्सुमनोभिरेवं फलस्य सिद्धौ सुमनोभिरेव ॥नैषधीयचरितम्१४.५ ॥</v>
      </c>
      <c r="B3915" s="4" t="s">
        <v>4</v>
      </c>
      <c r="C3915" s="4"/>
    </row>
    <row r="3916" spans="1:3" ht="24" customHeight="1">
      <c r="A3916" s="4" t="str">
        <f ca="1">IFERROR(__xludf.DUMMYFUNCTION("""COMPUTED_VALUE"""),"वैशद्यहृद्यैर्म्रदिमाभिरामैरामोदिभिस्तानथ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॥नैषधीयचरितम्१४.६ ॥")</f>
        <v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॥नैषधीयचरितम्१४.६ ॥</v>
      </c>
      <c r="B3916" s="4" t="s">
        <v>1</v>
      </c>
      <c r="C3916" s="4"/>
    </row>
    <row r="3917" spans="1:3" ht="24" customHeight="1">
      <c r="A3917" s="4" t="str">
        <f ca="1">IFERROR(__xludf.DUMMYFUNCTION("""COMPUTED_VALUE"""),"हृत्पद्मसद्मन्यधिवास्य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॥नैषधीयचरितम्१४.७ ॥")</f>
        <v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॥नैषधीयचरितम्१४.७ ॥</v>
      </c>
      <c r="B3917" s="4" t="s">
        <v>5</v>
      </c>
      <c r="C3917" s="4"/>
    </row>
    <row r="3918" spans="1:3" ht="24" customHeight="1">
      <c r="A3918" s="4" t="str">
        <f ca="1">IFERROR(__xludf.DUMMYFUNCTION("""COMPUTED_VALUE"""),"भक्त्या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॥नैषधीयचरितम्१४.८ ॥")</f>
        <v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॥नैषधीयचरितम्१४.८ ॥</v>
      </c>
      <c r="B3918" s="4" t="s">
        <v>5</v>
      </c>
      <c r="C3918" s="4"/>
    </row>
    <row r="3919" spans="1:3" ht="24" customHeight="1">
      <c r="A3919" s="4" t="str">
        <f ca="1">IFERROR(__xludf.DUMMYFUNCTION("""COMPUTED_VALUE"""),"प्रसादमासाद्य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॥नैषधीयचरितम्१४.९ ॥")</f>
        <v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॥नैषधीयचरितम्१४.९ ॥</v>
      </c>
      <c r="B3919" s="4" t="s">
        <v>2</v>
      </c>
      <c r="C3919" s="4"/>
    </row>
    <row r="3920" spans="1:3" ht="24" customHeight="1">
      <c r="A3920" s="4" t="str">
        <f ca="1">IFERROR(__xludf.DUMMYFUNCTION("""COMPUTED_VALUE"""),"शेषं नलं प्रत्यमरेण गाथा या या समर्था खलु येन येन । तां तां तदन्येन सहालगन्तीं तदा विशेषं प्रतिसंदधे सा ॥नैषधीयचरितम्१४.१ ॥")</f>
        <v>शेषं नलं प्रत्यमरेण गाथा या या समर्था खलु येन येन । तां तां तदन्येन सहालगन्तीं तदा विशेषं प्रतिसंदधे सा ॥नैषधीयचरितम्१४.१ ॥</v>
      </c>
      <c r="B3920" s="4" t="s">
        <v>18</v>
      </c>
      <c r="C3920" s="4"/>
    </row>
    <row r="3921" spans="1:3" ht="24" customHeight="1">
      <c r="A3921" s="4" t="str">
        <f ca="1">IFERROR(__xludf.DUMMYFUNCTION("""COMPUTED_VALUE"""),"एकैकवृत्तेः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॥नैषधीयचरितम्१४.११ ॥")</f>
        <v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॥नैषधीयचरितम्१४.११ ॥</v>
      </c>
      <c r="B3921" s="4" t="s">
        <v>5</v>
      </c>
      <c r="C3921" s="4"/>
    </row>
    <row r="3922" spans="1:3" ht="24" customHeight="1">
      <c r="A3922" s="4" t="str">
        <f ca="1">IFERROR(__xludf.DUMMYFUNCTION("""COMPUTED_VALUE"""),"या पाशिनैवाशनिपाणिनैव गाथा यमेनैव समाग्निनैव । तामेव मेने मिलितां नलस्य सैषा विशेषाय तदा नलस्य ॥नैषधीयचरितम्१४.१२ ॥")</f>
        <v>या पाशिनैवाशनिपाणिनैव गाथा यमेनैव समाग्निनैव । तामेव मेने मिलितां नलस्य सैषा विशेषाय तदा नलस्य ॥नैषधीयचरितम्१४.१२ ॥</v>
      </c>
      <c r="B3922" s="4" t="s">
        <v>5</v>
      </c>
      <c r="C3922" s="4"/>
    </row>
    <row r="3923" spans="1:3" ht="24" customHeight="1">
      <c r="A3923" s="4" t="str">
        <f ca="1">IFERROR(__xludf.DUMMYFUNCTION("""COMPUTED_VALUE"""),"निश्चित्य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॥नैषधीयचरितम्१४.१३ ॥")</f>
        <v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॥नैषधीयचरितम्१४.१३ ॥</v>
      </c>
      <c r="B3923" s="4" t="s">
        <v>5</v>
      </c>
      <c r="C3923" s="4"/>
    </row>
    <row r="3924" spans="1:3" ht="24" customHeight="1">
      <c r="A3924" s="4" t="str">
        <f ca="1">IFERROR(__xludf.DUMMYFUNCTION("""COMPUTED_VALUE"""),"सा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॥नैषधीयचरितम्१४.१४ ॥")</f>
        <v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॥नैषधीयचरितम्१४.१४ ॥</v>
      </c>
      <c r="B3924" s="4" t="s">
        <v>17</v>
      </c>
      <c r="C3924" s="4"/>
    </row>
    <row r="3925" spans="1:3" ht="24" customHeight="1">
      <c r="A3925" s="4" t="str">
        <f ca="1">IFERROR(__xludf.DUMMYFUNCTION("""COMPUTED_VALUE"""),"जग्रन्थ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॥नैषधीयचरितम्१४.१५ ॥")</f>
        <v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॥नैषधीयचरितम्१४.१५ ॥</v>
      </c>
      <c r="B3925" s="4" t="s">
        <v>5</v>
      </c>
      <c r="C3925" s="4"/>
    </row>
    <row r="3926" spans="1:3" ht="24" customHeight="1">
      <c r="A3926" s="4" t="str">
        <f ca="1">IFERROR(__xludf.DUMMYFUNCTION("""COMPUTED_VALUE"""),"श्लिष्यन्ति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॥नैषधीयचरितम्१४.१६ ॥")</f>
        <v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॥नैषधीयचरितम्१४.१६ ॥</v>
      </c>
      <c r="B3926" s="4" t="s">
        <v>9</v>
      </c>
      <c r="C3926" s="4"/>
    </row>
    <row r="3927" spans="1:3" ht="24" customHeight="1">
      <c r="A3927" s="4" t="str">
        <f ca="1">IFERROR(__xludf.DUMMYFUNCTION("""COMPUTED_VALUE"""),"त्यागं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॥नैषधीयचरितम्१४.१७ ॥")</f>
        <v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॥नैषधीयचरितम्१४.१७ ॥</v>
      </c>
      <c r="B3927" s="4" t="s">
        <v>24</v>
      </c>
      <c r="C3927" s="4"/>
    </row>
    <row r="3928" spans="1:3" ht="24" customHeight="1">
      <c r="A3928" s="4" t="str">
        <f ca="1">IFERROR(__xludf.DUMMYFUNCTION("""COMPUTED_VALUE"""),"परस्य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॥नैषधीयचरितम्१४.१८ ॥")</f>
        <v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॥नैषधीयचरितम्१४.१८ ॥</v>
      </c>
      <c r="B3928" s="4" t="s">
        <v>13</v>
      </c>
      <c r="C3928" s="4"/>
    </row>
    <row r="3929" spans="1:3" ht="24" customHeight="1">
      <c r="A3929" s="4" t="str">
        <f ca="1">IFERROR(__xludf.DUMMYFUNCTION("""COMPUTED_VALUE"""),"सुरेषु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॥नैषधीयचरितम्१४.१९ ॥")</f>
        <v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॥नैषधीयचरितम्१४.१९ ॥</v>
      </c>
      <c r="B3929" s="4" t="s">
        <v>7</v>
      </c>
      <c r="C3929" s="4"/>
    </row>
    <row r="3930" spans="1:3" ht="24" customHeight="1">
      <c r="A3930" s="4" t="str">
        <f ca="1">IFERROR(__xludf.DUMMYFUNCTION("""COMPUTED_VALUE"""),"नाबुद्ध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॥नैषधीयचरितम्१४.२ ॥")</f>
        <v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॥नैषधीयचरितम्१४.२ ॥</v>
      </c>
      <c r="B3930" s="4" t="s">
        <v>18</v>
      </c>
      <c r="C3930" s="4"/>
    </row>
    <row r="3931" spans="1:3" ht="24" customHeight="1">
      <c r="A3931" s="4" t="str">
        <f ca="1">IFERROR(__xludf.DUMMYFUNCTION("""COMPUTED_VALUE"""),"स्वेदः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॥नैषधीयचरितम्१४.२१ ॥")</f>
        <v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॥नैषधीयचरितम्१४.२१ ॥</v>
      </c>
      <c r="B3931" s="4" t="s">
        <v>13</v>
      </c>
      <c r="C3931" s="4"/>
    </row>
    <row r="3932" spans="1:3" ht="24" customHeight="1">
      <c r="A3932" s="4" t="str">
        <f ca="1">IFERROR(__xludf.DUMMYFUNCTION("""COMPUTED_VALUE"""),"सुरेषु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॥नैषधीयचरितम्१४.२२ ॥")</f>
        <v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॥नैषधीयचरितम्१४.२२ ॥</v>
      </c>
      <c r="B3932" s="4" t="s">
        <v>4</v>
      </c>
      <c r="C3932" s="4"/>
    </row>
    <row r="3933" spans="1:3" ht="24" customHeight="1">
      <c r="A3933" s="4" t="str">
        <f ca="1">IFERROR(__xludf.DUMMYFUNCTION("""COMPUTED_VALUE"""),"श्रियं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॥नैषधीयचरितम्१४.२३ ॥")</f>
        <v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॥नैषधीयचरितम्१४.२३ ॥</v>
      </c>
      <c r="B3933" s="4" t="s">
        <v>13</v>
      </c>
      <c r="C3933" s="4"/>
    </row>
    <row r="3934" spans="1:3" ht="24" customHeight="1">
      <c r="A3934" s="4" t="str">
        <f ca="1">IFERROR(__xludf.DUMMYFUNCTION("""COMPUTED_VALUE"""),"चिह्नैरमीभिर्नलसंविदस्याः संवादमाप प्रथमोपजाता । सा लक्षणव्यक्तिभिरेव देवप्रसादमासादितमप्यबोधि ॥नैषधीयचरितम्१४.२४ ॥")</f>
        <v>चिह्नैरमीभिर्नलसंविदस्याः संवादमाप प्रथमोपजाता । सा लक्षणव्यक्तिभिरेव देवप्रसादमासादितमप्यबोधि ॥नैषधीयचरितम्१४.२४ ॥</v>
      </c>
      <c r="B3934" s="4" t="s">
        <v>20</v>
      </c>
      <c r="C3934" s="4"/>
    </row>
    <row r="3935" spans="1:3" ht="24" customHeight="1">
      <c r="A3935" s="4" t="str">
        <f ca="1">IFERROR(__xludf.DUMMYFUNCTION("""COMPUTED_VALUE"""),"नले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॥नैषधीयचरितम्१४.२५ ॥")</f>
        <v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॥नैषधीयचरितम्१४.२५ ॥</v>
      </c>
      <c r="B3935" s="4" t="s">
        <v>18</v>
      </c>
      <c r="C3935" s="4"/>
    </row>
    <row r="3936" spans="1:3" ht="24" customHeight="1">
      <c r="A3936" s="4" t="str">
        <f ca="1">IFERROR(__xludf.DUMMYFUNCTION("""COMPUTED_VALUE"""),"स्रजा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॥नैषधीयचरितम्१४.२६ ॥")</f>
        <v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॥नैषधीयचरितम्१४.२६ ॥</v>
      </c>
      <c r="B3936" s="4" t="s">
        <v>12</v>
      </c>
      <c r="C3936" s="4"/>
    </row>
    <row r="3937" spans="1:3" ht="24" customHeight="1">
      <c r="A3937" s="4" t="str">
        <f ca="1">IFERROR(__xludf.DUMMYFUNCTION("""COMPUTED_VALUE"""),"तस्या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॥नैषधीयचरितम्१४.२७ ॥")</f>
        <v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॥नैषधीयचरितम्१४.२७ ॥</v>
      </c>
      <c r="B3937" s="4" t="s">
        <v>0</v>
      </c>
      <c r="C3937" s="4"/>
    </row>
    <row r="3938" spans="1:3" ht="24" customHeight="1">
      <c r="A3938" s="4" t="str">
        <f ca="1">IFERROR(__xludf.DUMMYFUNCTION("""COMPUTED_VALUE"""),"करः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॥नैषधीयचरितम्१४.२८ ॥")</f>
        <v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॥नैषधीयचरितम्१४.२८ ॥</v>
      </c>
      <c r="B3938" s="4" t="s">
        <v>13</v>
      </c>
      <c r="C3938" s="4"/>
    </row>
    <row r="3939" spans="1:3" ht="24" customHeight="1">
      <c r="A3939" s="4" t="str">
        <f ca="1">IFERROR(__xludf.DUMMYFUNCTION("""COMPUTED_VALUE"""),"तस्याः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॥नैषधीयचरितम्१४.२९ ॥")</f>
        <v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॥नैषधीयचरितम्१४.२९ ॥</v>
      </c>
      <c r="B3939" s="4" t="s">
        <v>17</v>
      </c>
      <c r="C3939" s="4"/>
    </row>
    <row r="3940" spans="1:3" ht="24" customHeight="1">
      <c r="A3940" s="4" t="str">
        <f ca="1">IFERROR(__xludf.DUMMYFUNCTION("""COMPUTED_VALUE"""),"कथं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॥नैषधीयचरितम्१४.३ ॥")</f>
        <v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॥नैषधीयचरितम्१४.३ ॥</v>
      </c>
      <c r="B3940" s="4" t="s">
        <v>23</v>
      </c>
      <c r="C3940" s="4"/>
    </row>
    <row r="3941" spans="1:3" ht="24" customHeight="1">
      <c r="A3941" s="4" t="str">
        <f ca="1">IFERROR(__xludf.DUMMYFUNCTION("""COMPUTED_VALUE"""),"अजानतीवेदमवोचदेनामाकूतमस्यास्तदवेत्य देवी । भावस्त्रपोर्मिप्रतिसीरया ते न दीयते लक्षयितुं ममापि ॥नैषधीयचरितम्१४.३१ ॥")</f>
        <v>अजानतीवेदमवोचदेनामाकूतमस्यास्तदवेत्य देवी । भावस्त्रपोर्मिप्रतिसीरया ते न दीयते लक्षयितुं ममापि ॥नैषधीयचरितम्१४.३१ ॥</v>
      </c>
      <c r="B3941" s="4" t="s">
        <v>9</v>
      </c>
      <c r="C3941" s="4"/>
    </row>
    <row r="3942" spans="1:3" ht="24" customHeight="1">
      <c r="A3942" s="4" t="str">
        <f ca="1">IFERROR(__xludf.DUMMYFUNCTION("""COMPUTED_VALUE"""),"देव्याः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॥नैषधीयचरितम्१४.३२ ॥")</f>
        <v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॥नैषधीयचरितम्१४.३२ ॥</v>
      </c>
      <c r="B3942" s="4" t="s">
        <v>0</v>
      </c>
      <c r="C3942" s="4"/>
    </row>
    <row r="3943" spans="1:3" ht="24" customHeight="1">
      <c r="A3943" s="4" t="str">
        <f ca="1">IFERROR(__xludf.DUMMYFUNCTION("""COMPUTED_VALUE"""),"करे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॥नैषधीयचरितम्१४.३३ ॥")</f>
        <v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॥नैषधीयचरितम्१४.३३ ॥</v>
      </c>
      <c r="B3943" s="4" t="s">
        <v>15</v>
      </c>
      <c r="C3943" s="4"/>
    </row>
    <row r="3944" spans="1:3" ht="24" customHeight="1">
      <c r="A3944" s="4" t="str">
        <f ca="1">IFERROR(__xludf.DUMMYFUNCTION("""COMPUTED_VALUE"""),"विहस्य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॥नैषधीयचरितम्१४.३४ ॥")</f>
        <v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॥नैषधीयचरितम्१४.३४ ॥</v>
      </c>
      <c r="B3944" s="4" t="s">
        <v>13</v>
      </c>
      <c r="C3944" s="4"/>
    </row>
    <row r="3945" spans="1:3" ht="24" customHeight="1">
      <c r="A3945" s="4" t="str">
        <f ca="1">IFERROR(__xludf.DUMMYFUNCTION("""COMPUTED_VALUE"""),"भैमीं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॥नैषधीयचरितम्१४.३५ ॥")</f>
        <v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॥नैषधीयचरितम्१४.३५ ॥</v>
      </c>
      <c r="B3945" s="4" t="s">
        <v>17</v>
      </c>
      <c r="C3945" s="4"/>
    </row>
    <row r="3946" spans="1:3" ht="24" customHeight="1">
      <c r="A3946" s="4" t="str">
        <f ca="1">IFERROR(__xludf.DUMMYFUNCTION("""COMPUTED_VALUE"""),"त्वत्तः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॥नैषधीयचरितम्१४.३६ ॥")</f>
        <v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॥नैषधीयचरितम्१४.३६ ॥</v>
      </c>
      <c r="B3946" s="4" t="s">
        <v>6</v>
      </c>
      <c r="C3946" s="4"/>
    </row>
    <row r="3947" spans="1:3" ht="24" customHeight="1">
      <c r="A3947" s="4" t="str">
        <f ca="1">IFERROR(__xludf.DUMMYFUNCTION("""COMPUTED_VALUE"""),"हसत्सु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॥नैषधीयचरितम्१४.३७ ॥")</f>
        <v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॥नैषधीयचरितम्१४.३७ ॥</v>
      </c>
      <c r="B3947" s="4" t="s">
        <v>5</v>
      </c>
      <c r="C3947" s="4"/>
    </row>
    <row r="3948" spans="1:3" ht="24" customHeight="1">
      <c r="A3948" s="4" t="str">
        <f ca="1">IFERROR(__xludf.DUMMYFUNCTION("""COMPUTED_VALUE"""),"आदेशितामप्यवलोक्य मन्दं मन्दं नलस्यैव दिशा चलन्तीम् । भूयः सुरानर्धपथादथासौ तानेव तां नेतुमना नुनोद ॥नैषधीयचरितम्१४.३८ ॥")</f>
        <v>आदेशितामप्यवलोक्य मन्दं मन्दं नलस्यैव दिशा चलन्तीम् । भूयः सुरानर्धपथादथासौ तानेव तां नेतुमना नुनोद ॥नैषधीयचरितम्१४.३८ ॥</v>
      </c>
      <c r="B3948" s="4" t="s">
        <v>17</v>
      </c>
      <c r="C3948" s="4"/>
    </row>
    <row r="3949" spans="1:3" ht="24" customHeight="1">
      <c r="A3949" s="4" t="str">
        <f ca="1">IFERROR(__xludf.DUMMYFUNCTION("""COMPUTED_VALUE"""),"मुखाब्जमावर्तनलोलनालं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॥नैषधीयचरितम्१४.३९ ॥")</f>
        <v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॥नैषधीयचरितम्१४.३९ ॥</v>
      </c>
      <c r="B3949" s="4" t="s">
        <v>30</v>
      </c>
      <c r="C3949" s="4"/>
    </row>
    <row r="3950" spans="1:3" ht="24" customHeight="1">
      <c r="A3950" s="4" t="str">
        <f ca="1">IFERROR(__xludf.DUMMYFUNCTION("""COMPUTED_VALUE"""),"देवी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॥नैषधीयचरितम्१४.४ ॥")</f>
        <v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॥नैषधीयचरितम्१४.४ ॥</v>
      </c>
      <c r="B3950" s="4" t="s">
        <v>26</v>
      </c>
      <c r="C3950" s="4"/>
    </row>
    <row r="3951" spans="1:3" ht="24" customHeight="1">
      <c r="A3951" s="4" t="str">
        <f ca="1">IFERROR(__xludf.DUMMYFUNCTION("""COMPUTED_VALUE"""),"एषामकृत्वा चरणप्रणाममेषामनुज्ञामनवाप्य सम्यक् । सुपर्ववैरे तव वैरसेनिं वरीतुमीहा कथमौचितीयम् ॥नैषधीयचरितम्१४.४१ ॥")</f>
        <v>एषामकृत्वा चरणप्रणाममेषामनुज्ञामनवाप्य सम्यक् । सुपर्ववैरे तव वैरसेनिं वरीतुमीहा कथमौचितीयम् ॥नैषधीयचरितम्१४.४१ ॥</v>
      </c>
      <c r="B3951" s="4" t="s">
        <v>5</v>
      </c>
      <c r="C3951" s="4"/>
    </row>
    <row r="3952" spans="1:3" ht="24" customHeight="1">
      <c r="A3952" s="4" t="str">
        <f ca="1">IFERROR(__xludf.DUMMYFUNCTION("""COMPUTED_VALUE"""),"इतीरिते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॥नैषधीयचरितम्१४.४२ ॥")</f>
        <v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॥नैषधीयचरितम्१४.४२ ॥</v>
      </c>
      <c r="B3952" s="4" t="s">
        <v>9</v>
      </c>
      <c r="C3952" s="4"/>
    </row>
    <row r="3953" spans="1:3" ht="24" customHeight="1">
      <c r="A3953" s="4" t="str">
        <f ca="1">IFERROR(__xludf.DUMMYFUNCTION("""COMPUTED_VALUE"""),"युष्मान्वृणीते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॥नैषधीयचरितम्१४.४३ ॥")</f>
        <v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॥नैषधीयचरितम्१४.४३ ॥</v>
      </c>
      <c r="B3953" s="4" t="s">
        <v>11</v>
      </c>
      <c r="C3953" s="4"/>
    </row>
    <row r="3954" spans="1:3" ht="24" customHeight="1">
      <c r="A3954" s="4" t="str">
        <f ca="1">IFERROR(__xludf.DUMMYFUNCTION("""COMPUTED_VALUE"""),"भैम्या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॥नैषधीयचरितम्१४.४४ ॥")</f>
        <v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॥नैषधीयचरितम्१४.४४ ॥</v>
      </c>
      <c r="B3954" s="4" t="s">
        <v>4</v>
      </c>
      <c r="C3954" s="4"/>
    </row>
    <row r="3955" spans="1:3" ht="24" customHeight="1">
      <c r="A3955" s="4" t="str">
        <f ca="1">IFERROR(__xludf.DUMMYFUNCTION("""COMPUTED_VALUE"""),"वर्णाश्रमाचारपथात्प्रजाभिः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॥नैषधीयचरितम्१४.४५ ॥")</f>
        <v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॥नैषधीयचरितम्१४.४५ ॥</v>
      </c>
      <c r="B3955" s="4" t="s">
        <v>4</v>
      </c>
      <c r="C3955" s="4"/>
    </row>
    <row r="3956" spans="1:3" ht="24" customHeight="1">
      <c r="A3956" s="4" t="str">
        <f ca="1">IFERROR(__xludf.DUMMYFUNCTION("""COMPUTED_VALUE"""),"इति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॥नैषधीयचरितम्१४.४६ ॥")</f>
        <v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॥नैषधीयचरितम्१४.४६ ॥</v>
      </c>
      <c r="B3956" s="4" t="s">
        <v>5</v>
      </c>
      <c r="C3956" s="4"/>
    </row>
    <row r="3957" spans="1:3" ht="24" customHeight="1">
      <c r="A3957" s="4" t="str">
        <f ca="1">IFERROR(__xludf.DUMMYFUNCTION("""COMPUTED_VALUE"""),"मन्दाक्षनिस्पन्दतनोर्मनोभूदुष्प्रेरमप्यानयति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॥नैषधीयचरितम्१४.४७ ॥")</f>
        <v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॥नैषधीयचरितम्१४.४७ ॥</v>
      </c>
      <c r="B3957" s="4" t="s">
        <v>8</v>
      </c>
      <c r="C3957" s="4"/>
    </row>
    <row r="3958" spans="1:3" ht="24" customHeight="1">
      <c r="A3958" s="4" t="str">
        <f ca="1">IFERROR(__xludf.DUMMYFUNCTION("""COMPUTED_VALUE"""),"अथाभिलिख्येव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॥नैषधीयचरितम्१४.४८ ॥")</f>
        <v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॥नैषधीयचरितम्१४.४८ ॥</v>
      </c>
      <c r="B3958" s="4" t="s">
        <v>3</v>
      </c>
      <c r="C3958" s="4"/>
    </row>
    <row r="3959" spans="1:3" ht="24" customHeight="1">
      <c r="A3959" s="4" t="str">
        <f ca="1">IFERROR(__xludf.DUMMYFUNCTION("""COMPUTED_VALUE"""),"तां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॥नैषधीयचरितम्१४.४९ ॥")</f>
        <v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॥नैषधीयचरितम्१४.४९ ॥</v>
      </c>
      <c r="B3959" s="4" t="s">
        <v>4</v>
      </c>
      <c r="C3959" s="4"/>
    </row>
    <row r="3960" spans="1:3" ht="24" customHeight="1">
      <c r="A3960" s="4" t="str">
        <f ca="1">IFERROR(__xludf.DUMMYFUNCTION("""COMPUTED_VALUE"""),"दूर्वाग्रजाग्रत्पुलकावलिं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॥नैषधीयचरितम्१४.५ ॥")</f>
        <v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॥नैषधीयचरितम्१४.५ ॥</v>
      </c>
      <c r="B3960" s="4" t="s">
        <v>11</v>
      </c>
      <c r="C3960" s="4"/>
    </row>
    <row r="3961" spans="1:3" ht="24" customHeight="1">
      <c r="A3961" s="4" t="str">
        <f ca="1">IFERROR(__xludf.DUMMYFUNCTION("""COMPUTED_VALUE"""),"कापि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॥नैषधीयचरितम्१४.५१ ॥")</f>
        <v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॥नैषधीयचरितम्१४.५१ ॥</v>
      </c>
      <c r="B3961" s="4" t="s">
        <v>0</v>
      </c>
      <c r="C3961" s="4"/>
    </row>
    <row r="3962" spans="1:3" ht="24" customHeight="1">
      <c r="A3962" s="4" t="str">
        <f ca="1">IFERROR(__xludf.DUMMYFUNCTION("""COMPUTED_VALUE"""),"सा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॥नैषधीयचरितम्१४.५२ ॥")</f>
        <v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॥नैषधीयचरितम्१४.५२ ॥</v>
      </c>
      <c r="B3962" s="4" t="s">
        <v>19</v>
      </c>
      <c r="C3962" s="4"/>
    </row>
    <row r="3963" spans="1:3" ht="24" customHeight="1">
      <c r="A3963" s="4" t="str">
        <f ca="1">IFERROR(__xludf.DUMMYFUNCTION("""COMPUTED_VALUE"""),"रोमाणि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॥नैषधीयचरितम्१४.५३ ॥")</f>
        <v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॥नैषधीयचरितम्१४.५३ ॥</v>
      </c>
      <c r="B3963" s="4" t="s">
        <v>4</v>
      </c>
      <c r="C3963" s="4"/>
    </row>
    <row r="3964" spans="1:3" ht="24" customHeight="1">
      <c r="A3964" s="4" t="str">
        <f ca="1">IFERROR(__xludf.DUMMYFUNCTION("""COMPUTED_VALUE"""),"रोमाङ्कुरैर्दन्तुरिताखिलाङ्गी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॥नैषधीयचरितम्१४.५४ ॥")</f>
        <v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॥नैषधीयचरितम्१४.५४ ॥</v>
      </c>
      <c r="B3964" s="4" t="s">
        <v>4</v>
      </c>
      <c r="C3964" s="4"/>
    </row>
    <row r="3965" spans="1:3" ht="24" customHeight="1">
      <c r="A3965" s="4" t="str">
        <f ca="1">IFERROR(__xludf.DUMMYFUNCTION("""COMPUTED_VALUE"""),"चेष्टा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॥नैषधीयचरितम्१४.५५ ॥")</f>
        <v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॥नैषधीयचरितम्१४.५५ ॥</v>
      </c>
      <c r="B3965" s="4" t="s">
        <v>4</v>
      </c>
      <c r="C3965" s="4"/>
    </row>
    <row r="3966" spans="1:3" ht="24" customHeight="1">
      <c r="A3966" s="4" t="str">
        <f ca="1">IFERROR(__xludf.DUMMYFUNCTION("""COMPUTED_VALUE"""),"तन्न्यस्तमाल्यस्पृशि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॥नैषधीयचरितम्१४.५६ ॥")</f>
        <v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॥नैषधीयचरितम्१४.५६ ॥</v>
      </c>
      <c r="B3966" s="4" t="s">
        <v>4</v>
      </c>
      <c r="C3966" s="4"/>
    </row>
    <row r="3967" spans="1:3" ht="24" customHeight="1">
      <c r="A3967" s="4" t="str">
        <f ca="1">IFERROR(__xludf.DUMMYFUNCTION("""COMPUTED_VALUE"""),"तूलेन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॥नैषधीयचरितम्१४.५७ ॥")</f>
        <v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॥नैषधीयचरितम्१४.५७ ॥</v>
      </c>
      <c r="B3967" s="4" t="s">
        <v>2</v>
      </c>
      <c r="C3967" s="4"/>
    </row>
    <row r="3968" spans="1:3" ht="24" customHeight="1">
      <c r="A3968" s="4" t="str">
        <f ca="1">IFERROR(__xludf.DUMMYFUNCTION("""COMPUTED_VALUE"""),"दृशोरपि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॥नैषधीयचरितम्१४.५८ ॥")</f>
        <v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॥नैषधीयचरितम्१४.५८ ॥</v>
      </c>
      <c r="B3968" s="4" t="s">
        <v>2</v>
      </c>
      <c r="C3968" s="4"/>
    </row>
    <row r="3969" spans="1:3" ht="24" customHeight="1">
      <c r="A3969" s="4" t="str">
        <f ca="1">IFERROR(__xludf.DUMMYFUNCTION("""COMPUTED_VALUE"""),"स्तम्भस्तथालम्भितमां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॥नैषधीयचरितम्१४.५९ ॥")</f>
        <v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॥नैषधीयचरितम्१४.५९ ॥</v>
      </c>
      <c r="B3969" s="4" t="s">
        <v>9</v>
      </c>
      <c r="C3969" s="4"/>
    </row>
    <row r="3970" spans="1:3" ht="24" customHeight="1">
      <c r="A3970" s="4" t="str">
        <f ca="1">IFERROR(__xludf.DUMMYFUNCTION("""COMPUTED_VALUE"""),"उत्सृज्य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॥नैषधीयचरितम्१४.६ ॥")</f>
        <v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॥नैषधीयचरितम्१४.६ ॥</v>
      </c>
      <c r="B3970" s="4" t="s">
        <v>8</v>
      </c>
      <c r="C3970" s="4"/>
    </row>
    <row r="3971" spans="1:3" ht="24" customHeight="1">
      <c r="A3971" s="4" t="str">
        <f ca="1">IFERROR(__xludf.DUMMYFUNCTION("""COMPUTED_VALUE"""),"मायानलत्वं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॥नैषधीयचरितम्१४.६१ ॥")</f>
        <v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॥नैषधीयचरितम्१४.६१ ॥</v>
      </c>
      <c r="B3971" s="4" t="s">
        <v>0</v>
      </c>
      <c r="C3971" s="4"/>
    </row>
    <row r="3972" spans="1:3" ht="24" customHeight="1">
      <c r="A3972" s="4" t="str">
        <f ca="1">IFERROR(__xludf.DUMMYFUNCTION("""COMPUTED_VALUE"""),"गोत्रानुकूलत्वभवे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॥नैषधीयचरितम्१४.६२ ॥")</f>
        <v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॥नैषधीयचरितम्१४.६२ ॥</v>
      </c>
      <c r="B3972" s="4" t="s">
        <v>18</v>
      </c>
      <c r="C3972" s="4"/>
    </row>
    <row r="3973" spans="1:3" ht="24" customHeight="1">
      <c r="A3973" s="4" t="str">
        <f ca="1">IFERROR(__xludf.DUMMYFUNCTION("""COMPUTED_VALUE"""),"स्वकामसंमोहमहान्धकारनिर्वापमिच्छन्निव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॥नैषधीयचरितम्१४.६३ ॥")</f>
        <v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॥नैषधीयचरितम्१४.६३ ॥</v>
      </c>
      <c r="B3973" s="4" t="s">
        <v>6</v>
      </c>
      <c r="C3973" s="4"/>
    </row>
    <row r="3974" spans="1:3" ht="24" customHeight="1">
      <c r="A3974" s="4" t="str">
        <f ca="1">IFERROR(__xludf.DUMMYFUNCTION("""COMPUTED_VALUE"""),"पत्यौ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॥नैषधीयचरितम्१४.६४ ॥")</f>
        <v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॥नैषधीयचरितम्१४.६४ ॥</v>
      </c>
      <c r="B3974" s="4" t="s">
        <v>8</v>
      </c>
      <c r="C3974" s="4"/>
    </row>
    <row r="3975" spans="1:3" ht="24" customHeight="1">
      <c r="A3975" s="4" t="str">
        <f ca="1">IFERROR(__xludf.DUMMYFUNCTION("""COMPUTED_VALUE"""),"सदण्डमालक्तकनेत्रचण्डं तमःकिरं कायमधत्त कालः । तत्कालमन्तःकरणं नृपाणामध्यासितुं कोप इवोपनम्रः ॥नैषधीयचरितम्१४.६५ ॥")</f>
        <v>सदण्डमालक्तकनेत्रचण्डं तमःकिरं कायमधत्त कालः । तत्कालमन्तःकरणं नृपाणामध्यासितुं कोप इवोपनम्रः ॥नैषधीयचरितम्१४.६५ ॥</v>
      </c>
      <c r="B3975" s="4" t="s">
        <v>0</v>
      </c>
      <c r="C3975" s="4"/>
    </row>
    <row r="3976" spans="1:3" ht="24" customHeight="1">
      <c r="A3976" s="4" t="str">
        <f ca="1">IFERROR(__xludf.DUMMYFUNCTION("""COMPUTED_VALUE"""),"दृग्गोचरोऽभूदथ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॥नैषधीयचरितम्१४.६६ ॥")</f>
        <v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॥नैषधीयचरितम्१४.६६ ॥</v>
      </c>
      <c r="B3976" s="4" t="s">
        <v>5</v>
      </c>
      <c r="C3976" s="4"/>
    </row>
    <row r="3977" spans="1:3" ht="24" customHeight="1">
      <c r="A3977" s="4" t="str">
        <f ca="1">IFERROR(__xludf.DUMMYFUNCTION("""COMPUTED_VALUE"""),"तस्यां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॥नैषधीयचरितम्१४.६७ ॥")</f>
        <v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॥नैषधीयचरितम्१४.६७ ॥</v>
      </c>
      <c r="B3977" s="4" t="s">
        <v>24</v>
      </c>
      <c r="C3977" s="4"/>
    </row>
    <row r="3978" spans="1:3" ht="24" customHeight="1">
      <c r="A3978" s="4" t="str">
        <f ca="1">IFERROR(__xludf.DUMMYFUNCTION("""COMPUTED_VALUE"""),"सहद्वितीयः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॥नैषधीयचरितम्१४.६८ ॥")</f>
        <v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॥नैषधीयचरितम्१४.६८ ॥</v>
      </c>
      <c r="B3978" s="4" t="s">
        <v>4</v>
      </c>
      <c r="C3978" s="4"/>
    </row>
    <row r="3979" spans="1:3" ht="24" customHeight="1">
      <c r="A3979" s="4" t="str">
        <f ca="1">IFERROR(__xludf.DUMMYFUNCTION("""COMPUTED_VALUE"""),"देव्यापि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॥नैषधीयचरितम्१४.६९ ॥")</f>
        <v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॥नैषधीयचरितम्१४.६९ ॥</v>
      </c>
      <c r="B3979" s="4" t="s">
        <v>6</v>
      </c>
      <c r="C3979" s="4"/>
    </row>
    <row r="3980" spans="1:3" ht="24" customHeight="1">
      <c r="A3980" s="4" t="str">
        <f ca="1">IFERROR(__xludf.DUMMYFUNCTION("""COMPUTED_VALUE"""),"विलोकके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॥नैषधीयचरितम्१४.७ ॥")</f>
        <v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॥नैषधीयचरितम्१४.७ ॥</v>
      </c>
      <c r="B3980" s="4" t="s">
        <v>5</v>
      </c>
      <c r="C3980" s="4"/>
    </row>
    <row r="3981" spans="1:3" ht="24" customHeight="1">
      <c r="A3981" s="4" t="str">
        <f ca="1">IFERROR(__xludf.DUMMYFUNCTION("""COMPUTED_VALUE"""),"विलोक्य तावाप्तदुरापकामौ परस्परप्रेमरसाभिरामौ । अथ प्रभुः प्रीतमना बभाषे जाम्बूनदोर्वीधरसार्वभौमः ॥नैषधीयचरितम्१४.७१ ॥")</f>
        <v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॥नैषधीयचरितम्१४.७१ ॥</v>
      </c>
      <c r="B3981" s="4" t="s">
        <v>12</v>
      </c>
      <c r="C3981" s="4"/>
    </row>
    <row r="3982" spans="1:3" ht="24" customHeight="1">
      <c r="A3982" s="4" t="str">
        <f ca="1">IFERROR(__xludf.DUMMYFUNCTION("""COMPUTED_VALUE"""),"वैदर्भि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॥नैषधीयचरितम्१४.७२ ॥")</f>
        <v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॥नैषधीयचरितम्१४.७२ ॥</v>
      </c>
      <c r="B3982" s="4" t="s">
        <v>5</v>
      </c>
      <c r="C3982" s="4"/>
    </row>
    <row r="3983" spans="1:3" ht="24" customHeight="1">
      <c r="A3983" s="4" t="str">
        <f ca="1">IFERROR(__xludf.DUMMYFUNCTION("""COMPUTED_VALUE"""),"प्रत्यक्षलक्ष्यामवलम्ब्य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॥नैषधीयचरितम्१४.७३ ॥")</f>
        <v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॥नैषधीयचरितम्१४.७३ ॥</v>
      </c>
      <c r="B3983" s="4" t="s">
        <v>4</v>
      </c>
      <c r="C3983" s="4"/>
    </row>
    <row r="3984" spans="1:3" ht="24" customHeight="1">
      <c r="A3984" s="4" t="str">
        <f ca="1">IFERROR(__xludf.DUMMYFUNCTION("""COMPUTED_VALUE"""),"भवानपि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॥नैषधीयचरितम्१४.७४ ॥")</f>
        <v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॥नैषधीयचरितम्१४.७४ ॥</v>
      </c>
      <c r="B3984" s="4" t="s">
        <v>2</v>
      </c>
      <c r="C3984" s="4"/>
    </row>
    <row r="3985" spans="1:3" ht="24" customHeight="1">
      <c r="A3985" s="4" t="str">
        <f ca="1">IFERROR(__xludf.DUMMYFUNCTION("""COMPUTED_VALUE"""),"तवोपवाराणसि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॥नैषधीयचरितम्१४.७५ ॥")</f>
        <v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॥नैषधीयचरितम्१४.७५ ॥</v>
      </c>
      <c r="B3985" s="4" t="s">
        <v>8</v>
      </c>
      <c r="C3985" s="4"/>
    </row>
    <row r="3986" spans="1:3" ht="24" customHeight="1">
      <c r="A3986" s="4" t="str">
        <f ca="1">IFERROR(__xludf.DUMMYFUNCTION("""COMPUTED_VALUE"""),"धूमावलिश्मश्रु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॥नैषधीयचरितम्१४.७६ ॥")</f>
        <v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॥नैषधीयचरितम्१४.७६ ॥</v>
      </c>
      <c r="B3986" s="4" t="s">
        <v>5</v>
      </c>
      <c r="C3986" s="4"/>
    </row>
    <row r="3987" spans="1:3" ht="24" customHeight="1">
      <c r="A3987" s="4" t="str">
        <f ca="1">IFERROR(__xludf.DUMMYFUNCTION("""COMPUTED_VALUE"""),"या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॥नैषधीयचरितम्१४.७७ ॥")</f>
        <v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॥नैषधीयचरितम्१४.७७ ॥</v>
      </c>
      <c r="B3987" s="4" t="s">
        <v>20</v>
      </c>
      <c r="C3987" s="4"/>
    </row>
    <row r="3988" spans="1:3" ht="24" customHeight="1">
      <c r="A3988" s="4" t="str">
        <f ca="1">IFERROR(__xludf.DUMMYFUNCTION("""COMPUTED_VALUE"""),"अस्तु त्वया साधितमन्नमीनरसादि पीयूषरसातिशायि । यद्भूप विद्मस्तव सूपकारक्रियासु कौतूहलशालि शीलम् ॥नैषधीयचरितम्१४.७८ ॥")</f>
        <v>अस्तु त्वया साधितमन्नमीनरसादि पीयूषरसातिशायि । यद्भूप विद्मस्तव सूपकारक्रियासु कौतूहलशालि शीलम् ॥नैषधीयचरितम्१४.७८ ॥</v>
      </c>
      <c r="B3988" s="4" t="s">
        <v>11</v>
      </c>
      <c r="C3988" s="4"/>
    </row>
    <row r="3989" spans="1:3" ht="24" customHeight="1">
      <c r="A3989" s="4" t="str">
        <f ca="1">IFERROR(__xludf.DUMMYFUNCTION("""COMPUTED_VALUE"""),"वैवस्वतोऽपि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॥नैषधीयचरितम्१४.७९ ॥")</f>
        <v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॥नैषधीयचरितम्१४.७९ ॥</v>
      </c>
      <c r="B3989" s="4" t="s">
        <v>5</v>
      </c>
      <c r="C3989" s="4"/>
    </row>
    <row r="3990" spans="1:3" ht="24" customHeight="1">
      <c r="A3990" s="4" t="str">
        <f ca="1">IFERROR(__xludf.DUMMYFUNCTION("""COMPUTED_VALUE"""),"सर्वाणि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॥नैषधीयचरितम्१४.८ ॥")</f>
        <v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॥नैषधीयचरितम्१४.८ ॥</v>
      </c>
      <c r="B3990" s="4" t="s">
        <v>1</v>
      </c>
      <c r="C3990" s="4"/>
    </row>
    <row r="3991" spans="1:3" ht="24" customHeight="1">
      <c r="A3991" s="4" t="str">
        <f ca="1">IFERROR(__xludf.DUMMYFUNCTION("""COMPUTED_VALUE"""),"कृच्छ्रं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॥नैषधीयचरितम्१४.८१ ॥")</f>
        <v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॥नैषधीयचरितम्१४.८१ ॥</v>
      </c>
      <c r="B3991" s="4" t="s">
        <v>15</v>
      </c>
      <c r="C3991" s="4"/>
    </row>
    <row r="3992" spans="1:3" ht="24" customHeight="1">
      <c r="A3992" s="4" t="str">
        <f ca="1">IFERROR(__xludf.DUMMYFUNCTION("""COMPUTED_VALUE"""),"स्मिताञ्चितां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॥नैषधीयचरितम्१४.८२ ॥")</f>
        <v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॥नैषधीयचरितम्१४.८२ ॥</v>
      </c>
      <c r="B3992" s="4" t="s">
        <v>1</v>
      </c>
      <c r="C3992" s="4"/>
    </row>
    <row r="3993" spans="1:3" ht="24" customHeight="1">
      <c r="A3993" s="4" t="str">
        <f ca="1">IFERROR(__xludf.DUMMYFUNCTION("""COMPUTED_VALUE"""),"यत्राभिलाषस्तव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॥नैषधीयचरितम्१४.८३ ॥")</f>
        <v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॥नैषधीयचरितम्१४.८३ ॥</v>
      </c>
      <c r="B3993" s="4" t="s">
        <v>7</v>
      </c>
      <c r="C3993" s="4"/>
    </row>
    <row r="3994" spans="1:3" ht="24" customHeight="1">
      <c r="A3994" s="4" t="str">
        <f ca="1">IFERROR(__xludf.DUMMYFUNCTION("""COMPUTED_VALUE"""),"प्रसारितापः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॥नैषधीयचरितम्१४.८४ ॥")</f>
        <v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॥नैषधीयचरितम्१४.८४ ॥</v>
      </c>
      <c r="B3994" s="4" t="s">
        <v>4</v>
      </c>
      <c r="C3994" s="4"/>
    </row>
    <row r="3995" spans="1:3" ht="24" customHeight="1">
      <c r="A3995" s="4" t="str">
        <f ca="1">IFERROR(__xludf.DUMMYFUNCTION("""COMPUTED_VALUE"""),"अम्लानिरामोदभरश्च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॥नैषधीयचरितम्१४.८५ ॥")</f>
        <v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॥नैषधीयचरितम्१४.८५ ॥</v>
      </c>
      <c r="B3995" s="4" t="s">
        <v>5</v>
      </c>
      <c r="C3995" s="4"/>
    </row>
    <row r="3996" spans="1:3" ht="24" customHeight="1">
      <c r="A3996" s="4" t="str">
        <f ca="1">IFERROR(__xludf.DUMMYFUNCTION("""COMPUTED_VALUE"""),"वाग्देवतापि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॥नैषधीयचरितम्१४.८६ ॥")</f>
        <v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॥नैषधीयचरितम्१४.८६ ॥</v>
      </c>
      <c r="B3996" s="4" t="s">
        <v>2</v>
      </c>
      <c r="C3996" s="4"/>
    </row>
    <row r="3997" spans="1:3" ht="24" customHeight="1">
      <c r="A3997" s="4" t="str">
        <f ca="1">IFERROR(__xludf.DUMMYFUNCTION("""COMPUTED_VALUE"""),"अर्थो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॥नैषधीयचरितम्१४.८७ ॥ ")</f>
        <v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॥नैषधीयचरितम्१४.८७ ॥ </v>
      </c>
      <c r="B3997" s="4" t="s">
        <v>24</v>
      </c>
      <c r="C3997" s="4"/>
    </row>
    <row r="3998" spans="1:3" ht="24" customHeight="1">
      <c r="A3998" s="4" t="str">
        <f ca="1">IFERROR(__xludf.DUMMYFUNCTION("""COMPUTED_VALUE"""),"अवामावामार्धे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॥नैषधीयचरितम्१४.८८ ॥")</f>
        <v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॥नैषधीयचरितम्१४.८८ ॥</v>
      </c>
      <c r="B3998" s="4" t="s">
        <v>2</v>
      </c>
      <c r="C3998" s="4"/>
    </row>
    <row r="3999" spans="1:3" ht="24" customHeight="1">
      <c r="A3999" s="4" t="str">
        <f ca="1">IFERROR(__xludf.DUMMYFUNCTION("""COMPUTED_VALUE"""),"सर्वाङ्गीणरसामृतस्तिमितया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॥नैषधीयचरितम्१४.८९ ॥")</f>
        <v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॥नैषधीयचरितम्१४.८९ ॥</v>
      </c>
      <c r="B3999" s="4" t="s">
        <v>7</v>
      </c>
      <c r="C3999" s="4"/>
    </row>
    <row r="4000" spans="1:3" ht="24" customHeight="1">
      <c r="A4000" s="4" t="str">
        <f ca="1">IFERROR(__xludf.DUMMYFUNCTION("""COMPUTED_VALUE"""),"पुष्पैरभ्यर्च्य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॥नैषधीयचरितम्१४.९ ॥")</f>
        <v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॥नैषधीयचरितम्१४.९ ॥</v>
      </c>
      <c r="B4000" s="4" t="s">
        <v>5</v>
      </c>
      <c r="C4000" s="4"/>
    </row>
    <row r="4001" spans="1:3" ht="24" customHeight="1">
      <c r="A4001" s="4" t="str">
        <f ca="1">IFERROR(__xludf.DUMMYFUNCTION("""COMPUTED_VALUE"""),"गुणानामास्थानीं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॥नैषधीयचरितम्१४.९१ ॥")</f>
        <v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॥नैषधीयचरितम्१४.९१ ॥</v>
      </c>
      <c r="B4001" s="4" t="s">
        <v>24</v>
      </c>
      <c r="C4001" s="4"/>
    </row>
    <row r="4002" spans="1:3" ht="24" customHeight="1">
      <c r="A4002" s="4" t="str">
        <f ca="1">IFERROR(__xludf.DUMMYFUNCTION("""COMPUTED_VALUE"""),"भवद्वृत्तस्तोतुर्मदुपहितकण्ठस्य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॥नैषधीयचरितम्१४.९२ ॥")</f>
        <v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॥नैषधीयचरितम्१४.९२ ॥</v>
      </c>
      <c r="B4002" s="4" t="s">
        <v>4</v>
      </c>
      <c r="C4002" s="4"/>
    </row>
    <row r="4003" spans="1:3" ht="24" customHeight="1">
      <c r="A4003" s="4" t="str">
        <f ca="1">IFERROR(__xludf.DUMMYFUNCTION("""COMPUTED_VALUE"""),"देवी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॥नैषधीयचरितम्१४.९३ ॥")</f>
        <v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॥नैषधीयचरितम्१४.९३ ॥</v>
      </c>
      <c r="B4003" s="4" t="s">
        <v>21</v>
      </c>
      <c r="C4003" s="4"/>
    </row>
    <row r="4004" spans="1:3" ht="24" customHeight="1">
      <c r="A4004" s="4" t="str">
        <f ca="1">IFERROR(__xludf.DUMMYFUNCTION("""COMPUTED_VALUE"""),"कूटकायमपहाय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॥नैषधीयचरितम्१४.९४ ॥")</f>
        <v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॥नैषधीयचरितम्१४.९४ ॥</v>
      </c>
      <c r="B4004" s="4" t="s">
        <v>2</v>
      </c>
      <c r="C4004" s="4"/>
    </row>
    <row r="4005" spans="1:3" ht="24" customHeight="1">
      <c r="A4005" s="4" t="str">
        <f ca="1">IFERROR(__xludf.DUMMYFUNCTION("""COMPUTED_VALUE"""),"इत्थं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॥नैषधीयचरितम्१४.९५ ॥")</f>
        <v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॥नैषधीयचरितम्१४.९५ ॥</v>
      </c>
      <c r="B4005" s="4" t="s">
        <v>0</v>
      </c>
      <c r="C4005" s="4"/>
    </row>
    <row r="4006" spans="1:3" ht="24" customHeight="1">
      <c r="A4006" s="4" t="str">
        <f ca="1">IFERROR(__xludf.DUMMYFUNCTION("""COMPUTED_VALUE"""),"न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॥नैषधीयचरितम्१४.९६ ॥")</f>
        <v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॥नैषधीयचरितम्१४.९६ ॥</v>
      </c>
      <c r="B4006" s="4" t="s">
        <v>5</v>
      </c>
      <c r="C4006" s="4"/>
    </row>
    <row r="4007" spans="1:3" ht="24" customHeight="1">
      <c r="A4007" s="4" t="str">
        <f ca="1">IFERROR(__xludf.DUMMYFUNCTION("""COMPUTED_VALUE"""),"भूभृद्भिर्लम्भिताऽसौ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॥नैषधीयचरितम्१४.९७ ॥")</f>
        <v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॥नैषधीयचरितम्१४.९७ ॥</v>
      </c>
      <c r="B4007" s="4" t="s">
        <v>6</v>
      </c>
      <c r="C4007" s="4"/>
    </row>
    <row r="4008" spans="1:3" ht="24" customHeight="1">
      <c r="A4008" s="4" t="str">
        <f ca="1">IFERROR(__xludf.DUMMYFUNCTION("""COMPUTED_VALUE"""),"अहह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॥नैषधीयचरितम्१४.९८ ॥")</f>
        <v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॥नैषधीयचरितम्१४.९८ ॥</v>
      </c>
      <c r="B4008" s="4" t="s">
        <v>2</v>
      </c>
      <c r="C4008" s="4"/>
    </row>
    <row r="4009" spans="1:3" ht="24" customHeight="1">
      <c r="A4009" s="4" t="str">
        <f ca="1">IFERROR(__xludf.DUMMYFUNCTION("""COMPUTED_VALUE"""),"स्वस्यामरैर्नृपतिमंशममुं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॥नैषधीयचरितम्१४.९९ ॥")</f>
        <v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॥नैषधीयचरितम्१४.९९ ॥</v>
      </c>
      <c r="B4009" s="4" t="s">
        <v>12</v>
      </c>
      <c r="C4009" s="4"/>
    </row>
    <row r="4010" spans="1:3" ht="24" customHeight="1">
      <c r="A4010" s="4" t="str">
        <f ca="1">IFERROR(__xludf.DUMMYFUNCTION("""COMPUTED_VALUE"""),"सानन्दंतनुजाविवाहनमहे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॥नैषधीयचरितम्१४.१ ॥")</f>
        <v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॥नैषधीयचरितम्१४.१ ॥</v>
      </c>
      <c r="B4010" s="4" t="s">
        <v>11</v>
      </c>
      <c r="C4010" s="4"/>
    </row>
    <row r="4011" spans="1:3" ht="24" customHeight="1">
      <c r="A4011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॥नैषधीयचरितम्१४.१०१ ॥")</f>
        <v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॥नैषधीयचरितम्१४.१०१ ॥</v>
      </c>
      <c r="B4011" s="4" t="s">
        <v>11</v>
      </c>
      <c r="C4011" s="4"/>
    </row>
    <row r="4012" spans="1:3" ht="24" customHeight="1">
      <c r="A4012" s="4" t="str">
        <f ca="1">IFERROR(__xludf.DUMMYFUNCTION("""COMPUTED_VALUE"""),"अथोपकार्या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॥नैषधीयचरितम्१५.१ ॥")</f>
        <v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॥नैषधीयचरितम्१५.१ ॥</v>
      </c>
      <c r="B4012" s="4" t="s">
        <v>2</v>
      </c>
      <c r="C4012" s="4"/>
    </row>
    <row r="4013" spans="1:3" ht="24" customHeight="1">
      <c r="A4013" s="4" t="str">
        <f ca="1">IFERROR(__xludf.DUMMYFUNCTION("""COMPUTED_VALUE"""),"तथा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॥नैषधीयचरितम्१५.२ ॥")</f>
        <v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॥नैषधीयचरितम्१५.२ ॥</v>
      </c>
      <c r="B4013" s="4" t="s">
        <v>19</v>
      </c>
      <c r="C4013" s="4"/>
    </row>
    <row r="4014" spans="1:3" ht="24" customHeight="1">
      <c r="A4014" s="4" t="str">
        <f ca="1">IFERROR(__xludf.DUMMYFUNCTION("""COMPUTED_VALUE"""),"त्रपास्य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॥नैषधीयचरितम्१५.३ ॥")</f>
        <v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॥नैषधीयचरितम्१५.३ ॥</v>
      </c>
      <c r="B4014" s="4" t="s">
        <v>4</v>
      </c>
      <c r="C4014" s="4"/>
    </row>
    <row r="4015" spans="1:3" ht="24" customHeight="1">
      <c r="A4015" s="4" t="str">
        <f ca="1">IFERROR(__xludf.DUMMYFUNCTION("""COMPUTED_VALUE"""),"अदोषतामेव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॥नैषधीयचरितम्१५.४ ॥")</f>
        <v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॥नैषधीयचरितम्१५.४ ॥</v>
      </c>
      <c r="B4015" s="4" t="s">
        <v>12</v>
      </c>
      <c r="C4015" s="4"/>
    </row>
    <row r="4016" spans="1:3" ht="24" customHeight="1">
      <c r="A4016" s="4" t="str">
        <f ca="1">IFERROR(__xludf.DUMMYFUNCTION("""COMPUTED_VALUE"""),"विदर्भराजोऽपि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॥नैषधीयचरितम्१५.५ ॥")</f>
        <v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॥नैषधीयचरितम्१५.५ ॥</v>
      </c>
      <c r="B4016" s="4" t="s">
        <v>11</v>
      </c>
      <c r="C4016" s="4"/>
    </row>
    <row r="4017" spans="1:3" ht="24" customHeight="1">
      <c r="A4017" s="4" t="str">
        <f ca="1">IFERROR(__xludf.DUMMYFUNCTION("""COMPUTED_VALUE"""),"तनुत्विषा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॥नैषधीयचरितम्१५.६ ॥")</f>
        <v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॥नैषधीयचरितम्१५.६ ॥</v>
      </c>
      <c r="B4017" s="4" t="s">
        <v>8</v>
      </c>
      <c r="C4017" s="4"/>
    </row>
    <row r="4018" spans="1:3" ht="24" customHeight="1">
      <c r="A4018" s="4" t="str">
        <f ca="1">IFERROR(__xludf.DUMMYFUNCTION("""COMPUTED_VALUE"""),"सृजन्तु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॥नैषधीयचरितम्१५.७ ॥")</f>
        <v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॥नैषधीयचरितम्१५.७ ॥</v>
      </c>
      <c r="B4018" s="4" t="s">
        <v>18</v>
      </c>
      <c r="C4018" s="4"/>
    </row>
    <row r="4019" spans="1:3" ht="24" customHeight="1">
      <c r="A4019" s="4" t="str">
        <f ca="1">IFERROR(__xludf.DUMMYFUNCTION("""COMPUTED_VALUE"""),"निरीय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॥नैषधीयचरितम्१५.८ ॥")</f>
        <v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॥नैषधीयचरितम्१५.८ ॥</v>
      </c>
      <c r="B4019" s="4" t="s">
        <v>12</v>
      </c>
      <c r="C4019" s="4"/>
    </row>
    <row r="4020" spans="1:3" ht="24" customHeight="1">
      <c r="A4020" s="4" t="str">
        <f ca="1">IFERROR(__xludf.DUMMYFUNCTION("""COMPUTED_VALUE"""),"अथावदद्दूतमुखः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॥नैषधीयचरितम्१५.९ ॥")</f>
        <v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॥नैषधीयचरितम्१५.९ ॥</v>
      </c>
      <c r="B4020" s="4" t="s">
        <v>2</v>
      </c>
      <c r="C4020" s="4"/>
    </row>
    <row r="4021" spans="1:3" ht="24" customHeight="1">
      <c r="A4021" s="4" t="str">
        <f ca="1">IFERROR(__xludf.DUMMYFUNCTION("""COMPUTED_VALUE"""),"तथोत्थितं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॥नैषधीयचरितम्१५.१ ॥")</f>
        <v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॥नैषधीयचरितम्१५.१ ॥</v>
      </c>
      <c r="B4021" s="4" t="s">
        <v>24</v>
      </c>
      <c r="C4021" s="4"/>
    </row>
    <row r="4022" spans="1:3" ht="24" customHeight="1">
      <c r="A4022" s="4" t="str">
        <f ca="1">IFERROR(__xludf.DUMMYFUNCTION("""COMPUTED_VALUE"""),"निपीतदूतालपितस्ततो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॥नैषधीयचरितम्१५.११ ॥")</f>
        <v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॥नैषधीयचरितम्१५.११ ॥</v>
      </c>
      <c r="B4022" s="4" t="s">
        <v>0</v>
      </c>
      <c r="C4022" s="4"/>
    </row>
    <row r="4023" spans="1:3" ht="24" customHeight="1">
      <c r="A4023" s="4" t="str">
        <f ca="1">IFERROR(__xludf.DUMMYFUNCTION("""COMPUTED_VALUE"""),"क्वचित्तदालेपनदानपण्डिता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॥नैषधीयचरितम्१५.१२ ॥")</f>
        <v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॥नैषधीयचरितम्१५.१२ ॥</v>
      </c>
      <c r="B4023" s="4" t="s">
        <v>0</v>
      </c>
      <c r="C4023" s="4"/>
    </row>
    <row r="4024" spans="1:3" ht="24" customHeight="1">
      <c r="A4024" s="4" t="str">
        <f ca="1">IFERROR(__xludf.DUMMYFUNCTION("""COMPUTED_VALUE"""),"मुखानि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॥नैषधीयचरितम्१५.१३ ॥")</f>
        <v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॥नैषधीयचरितम्१५.१३ ॥</v>
      </c>
      <c r="B4024" s="4" t="s">
        <v>0</v>
      </c>
      <c r="C4024" s="4"/>
    </row>
    <row r="4025" spans="1:3" ht="24" customHeight="1">
      <c r="A4025" s="4" t="str">
        <f ca="1">IFERROR(__xludf.DUMMYFUNCTION("""COMPUTED_VALUE"""),"पथामनीयन्त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॥नैषधीयचरितम्१५.१४ ॥")</f>
        <v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॥नैषधीयचरितम्१५.१४ ॥</v>
      </c>
      <c r="B4025" s="4" t="s">
        <v>3</v>
      </c>
      <c r="C4025" s="4"/>
    </row>
    <row r="4026" spans="1:3" ht="24" customHeight="1">
      <c r="A4026" s="4" t="str">
        <f ca="1">IFERROR(__xludf.DUMMYFUNCTION("""COMPUTED_VALUE"""),"विभूषणैः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॥नैषधीयचरितम्१५.१५ ॥")</f>
        <v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॥नैषधीयचरितम्१५.१५ ॥</v>
      </c>
      <c r="B4026" s="4" t="s">
        <v>12</v>
      </c>
      <c r="C4026" s="4"/>
    </row>
    <row r="4027" spans="1:3" ht="24" customHeight="1">
      <c r="A4027" s="4" t="str">
        <f ca="1">IFERROR(__xludf.DUMMYFUNCTION("""COMPUTED_VALUE"""),"तदा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॥नैषधीयचरितम्१५.१६ ॥")</f>
        <v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॥नैषधीयचरितम्१५.१६ ॥</v>
      </c>
      <c r="B4027" s="4" t="s">
        <v>1</v>
      </c>
      <c r="C4027" s="4"/>
    </row>
    <row r="4028" spans="1:3" ht="24" customHeight="1">
      <c r="A4028" s="4" t="str">
        <f ca="1">IFERROR(__xludf.DUMMYFUNCTION("""COMPUTED_VALUE"""),"विपञ्चिराच्छादि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॥नैषधीयचरितम्१५.१७ ॥")</f>
        <v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॥नैषधीयचरितम्१५.१७ ॥</v>
      </c>
      <c r="B4028" s="4" t="s">
        <v>5</v>
      </c>
      <c r="C4028" s="4"/>
    </row>
    <row r="4029" spans="1:3" ht="24" customHeight="1">
      <c r="A4029" s="4" t="str">
        <f ca="1">IFERROR(__xludf.DUMMYFUNCTION("""COMPUTED_VALUE"""),"विचित्रवादित्रनिनादमूर्च्छितः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॥नैषधीयचरितम्१५.१८ ॥")</f>
        <v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॥नैषधीयचरितम्१५.१८ ॥</v>
      </c>
      <c r="B4029" s="4" t="s">
        <v>0</v>
      </c>
      <c r="C4029" s="4"/>
    </row>
    <row r="4030" spans="1:3" ht="24" customHeight="1">
      <c r="A4030" s="4" t="str">
        <f ca="1">IFERROR(__xludf.DUMMYFUNCTION("""COMPUTED_VALUE"""),"उदस्य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॥नैषधीयचरितम्१५.१९ ॥")</f>
        <v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॥नैषधीयचरितम्१५.१९ ॥</v>
      </c>
      <c r="B4030" s="4" t="s">
        <v>2</v>
      </c>
      <c r="C4030" s="4"/>
    </row>
    <row r="4031" spans="1:3" ht="24" customHeight="1">
      <c r="A4031" s="4" t="str">
        <f ca="1">IFERROR(__xludf.DUMMYFUNCTION("""COMPUTED_VALUE"""),"विजित्य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॥नैषधीयचरितम्१५.२ ॥")</f>
        <v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॥नैषधीयचरितम्१५.२ ॥</v>
      </c>
      <c r="B4031" s="4" t="s">
        <v>14</v>
      </c>
      <c r="C4031" s="4"/>
    </row>
    <row r="4032" spans="1:3" ht="24" customHeight="1">
      <c r="A4032" s="4" t="str">
        <f ca="1">IFERROR(__xludf.DUMMYFUNCTION("""COMPUTED_VALUE"""),"असौ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॥नैषधीयचरितम्१५.२१ ॥")</f>
        <v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॥नैषधीयचरितम्१५.२१ ॥</v>
      </c>
      <c r="B4032" s="4" t="s">
        <v>5</v>
      </c>
      <c r="C4032" s="4"/>
    </row>
    <row r="4033" spans="1:3" ht="24" customHeight="1">
      <c r="A4033" s="4" t="str">
        <f ca="1">IFERROR(__xludf.DUMMYFUNCTION("""COMPUTED_VALUE"""),"पुरा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॥नैषधीयचरितम्१५.२२ ॥")</f>
        <v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॥नैषधीयचरितम्१५.२२ ॥</v>
      </c>
      <c r="B4033" s="4" t="s">
        <v>11</v>
      </c>
      <c r="C4033" s="4"/>
    </row>
    <row r="4034" spans="1:3" ht="24" customHeight="1">
      <c r="A4034" s="4" t="str">
        <f ca="1">IFERROR(__xludf.DUMMYFUNCTION("""COMPUTED_VALUE"""),"विरेजिरे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॥नैषधीयचरितम्१५.२३ ॥")</f>
        <v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॥नैषधीयचरितम्१५.२३ ॥</v>
      </c>
      <c r="B4034" s="4" t="s">
        <v>19</v>
      </c>
      <c r="C4034" s="4"/>
    </row>
    <row r="4035" spans="1:3" ht="24" customHeight="1">
      <c r="A4035" s="4" t="str">
        <f ca="1">IFERROR(__xludf.DUMMYFUNCTION("""COMPUTED_VALUE"""),"म्रदीयसा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॥नैषधीयचरितम्१५.२४ ॥")</f>
        <v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॥नैषधीयचरितम्१५.२४ ॥</v>
      </c>
      <c r="B4035" s="4" t="s">
        <v>3</v>
      </c>
      <c r="C4035" s="4"/>
    </row>
    <row r="4036" spans="1:3" ht="24" customHeight="1">
      <c r="A4036" s="4" t="str">
        <f ca="1">IFERROR(__xludf.DUMMYFUNCTION("""COMPUTED_VALUE"""),"तदा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॥नैषधीयचरितम्१५.२५ ॥")</f>
        <v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॥नैषधीयचरितम्१५.२५ ॥</v>
      </c>
      <c r="B4036" s="4" t="s">
        <v>17</v>
      </c>
      <c r="C4036" s="4"/>
    </row>
    <row r="4037" spans="1:3" ht="24" customHeight="1">
      <c r="A4037" s="4" t="str">
        <f ca="1">IFERROR(__xludf.DUMMYFUNCTION("""COMPUTED_VALUE"""),"अवापितायाः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॥नैषधीयचरितम्१५.२६ ॥")</f>
        <v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॥नैषधीयचरितम्१५.२६ ॥</v>
      </c>
      <c r="B4037" s="4" t="s">
        <v>12</v>
      </c>
      <c r="C4037" s="4"/>
    </row>
    <row r="4038" spans="1:3" ht="24" customHeight="1">
      <c r="A4038" s="4" t="str">
        <f ca="1">IFERROR(__xludf.DUMMYFUNCTION("""COMPUTED_VALUE"""),"विनापि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॥नैषधीयचरितम्१५.२७ ॥")</f>
        <v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॥नैषधीयचरितम्१५.२७ ॥</v>
      </c>
      <c r="B4038" s="4" t="s">
        <v>5</v>
      </c>
      <c r="C4038" s="4"/>
    </row>
    <row r="4039" spans="1:3" ht="24" customHeight="1">
      <c r="A4039" s="4" t="str">
        <f ca="1">IFERROR(__xludf.DUMMYFUNCTION("""COMPUTED_VALUE"""),"बन्धूकपयोजपूजने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॥नैषधीयचरितम्१५.२८ ॥")</f>
        <v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॥नैषधीयचरितम्१५.२८ ॥</v>
      </c>
      <c r="B4039" s="4" t="s">
        <v>14</v>
      </c>
      <c r="C4039" s="4"/>
    </row>
    <row r="4040" spans="1:3" ht="24" customHeight="1">
      <c r="A4040" s="4" t="str">
        <f ca="1">IFERROR(__xludf.DUMMYFUNCTION("""COMPUTED_VALUE"""),"महीमधोनां मदनान्धतातमीतमःपटारम्भणतन्तुसंततिः । अबन्धि तन्मूर्धजपाशमञ्जरी कयापि धूपग्रहधूमकोमला ॥नैषधीयचरितम्१५.२९ ॥")</f>
        <v>महीमधोनां मदनान्धतातमीतमःपटारम्भणतन्तुसंततिः । अबन्धि तन्मूर्धजपाशमञ्जरी कयापि धूपग्रहधूमकोमला ॥नैषधीयचरितम्१५.२९ ॥</v>
      </c>
      <c r="B4040" s="4" t="s">
        <v>11</v>
      </c>
      <c r="C4040" s="4"/>
    </row>
    <row r="4041" spans="1:3" ht="24" customHeight="1">
      <c r="A4041" s="4" t="str">
        <f ca="1">IFERROR(__xludf.DUMMYFUNCTION("""COMPUTED_VALUE"""),"पुनःपुनः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॥नैषधीयचरितम्१५.३ ॥")</f>
        <v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॥नैषधीयचरितम्१५.३ ॥</v>
      </c>
      <c r="B4041" s="4" t="s">
        <v>0</v>
      </c>
      <c r="C4041" s="4"/>
    </row>
    <row r="4042" spans="1:3" ht="24" customHeight="1">
      <c r="A4042" s="4" t="str">
        <f ca="1">IFERROR(__xludf.DUMMYFUNCTION("""COMPUTED_VALUE"""),"वलस्य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॥नैषधीयचरितम्१५.३१ ॥")</f>
        <v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॥नैषधीयचरितम्१५.३१ ॥</v>
      </c>
      <c r="B4042" s="4" t="s">
        <v>23</v>
      </c>
      <c r="C4042" s="4"/>
    </row>
    <row r="4043" spans="1:3" ht="24" customHeight="1">
      <c r="A4043" s="4" t="str">
        <f ca="1">IFERROR(__xludf.DUMMYFUNCTION("""COMPUTED_VALUE"""),"धृतैतया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॥नैषधीयचरितम्१५.३२ ॥")</f>
        <v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॥नैषधीयचरितम्१५.३२ ॥</v>
      </c>
      <c r="B4043" s="4" t="s">
        <v>13</v>
      </c>
      <c r="C4043" s="4"/>
    </row>
    <row r="4044" spans="1:3" ht="24" customHeight="1">
      <c r="A4044" s="4" t="str">
        <f ca="1">IFERROR(__xludf.DUMMYFUNCTION("""COMPUTED_VALUE"""),"ललाटिकासीमनि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॥नैषधीयचरितम्१५.३३ ॥")</f>
        <v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॥नैषधीयचरितम्१५.३३ ॥</v>
      </c>
      <c r="B4044" s="4" t="s">
        <v>5</v>
      </c>
      <c r="C4044" s="4"/>
    </row>
    <row r="4045" spans="1:3" ht="24" customHeight="1">
      <c r="A4045" s="4" t="str">
        <f ca="1">IFERROR(__xludf.DUMMYFUNCTION("""COMPUTED_VALUE"""),"अपाङ्गमालिङ्ग्य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॥नैषधीयचरितम्१५.३४ ॥")</f>
        <v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॥नैषधीयचरितम्१५.३४ ॥</v>
      </c>
      <c r="B4045" s="4" t="s">
        <v>1</v>
      </c>
      <c r="C4045" s="4"/>
    </row>
    <row r="4046" spans="1:3" ht="24" customHeight="1">
      <c r="A4046" s="4" t="str">
        <f ca="1">IFERROR(__xludf.DUMMYFUNCTION("""COMPUTED_VALUE"""),"अनङ्गलीलाभिरपाङ्गधाविनः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॥नैषधीयचरितम्१५.३५ ॥")</f>
        <v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॥नैषधीयचरितम्१५.३५ ॥</v>
      </c>
      <c r="B4046" s="4" t="s">
        <v>1</v>
      </c>
      <c r="C4046" s="4"/>
    </row>
    <row r="4047" spans="1:3" ht="24" customHeight="1">
      <c r="A4047" s="4" t="str">
        <f ca="1">IFERROR(__xludf.DUMMYFUNCTION("""COMPUTED_VALUE"""),"असेविषातां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॥नैषधीयचरितम्१५.३६ ॥")</f>
        <v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॥नैषधीयचरितम्१५.३६ ॥</v>
      </c>
      <c r="B4047" s="4" t="s">
        <v>5</v>
      </c>
      <c r="C4047" s="4"/>
    </row>
    <row r="4048" spans="1:3" ht="24" customHeight="1">
      <c r="A4048" s="4" t="str">
        <f ca="1">IFERROR(__xludf.DUMMYFUNCTION("""COMPUTED_VALUE"""),"तदक्षितत्कालतुलागसा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॥नैषधीयचरितम्१५.३७ ॥")</f>
        <v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॥नैषधीयचरितम्१५.३७ ॥</v>
      </c>
      <c r="B4048" s="4" t="s">
        <v>2</v>
      </c>
      <c r="C4048" s="4"/>
    </row>
    <row r="4049" spans="1:3" ht="24" customHeight="1">
      <c r="A4049" s="4" t="str">
        <f ca="1">IFERROR(__xludf.DUMMYFUNCTION("""COMPUTED_VALUE"""),"विलोचनाभ्यामतिमात्रपीडिते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॥नैषधीयचरितम्१५.३८ ॥")</f>
        <v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॥नैषधीयचरितम्१५.३८ ॥</v>
      </c>
      <c r="B4049" s="4" t="s">
        <v>2</v>
      </c>
      <c r="C4049" s="4"/>
    </row>
    <row r="4050" spans="1:3" ht="24" customHeight="1">
      <c r="A4050" s="4" t="str">
        <f ca="1">IFERROR(__xludf.DUMMYFUNCTION("""COMPUTED_VALUE"""),"धृतं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॥नैषधीयचरितम्१५.३९ ॥")</f>
        <v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॥नैषधीयचरितम्१५.३९ ॥</v>
      </c>
      <c r="B4050" s="4" t="s">
        <v>16</v>
      </c>
      <c r="C4050" s="4"/>
    </row>
    <row r="4051" spans="1:3" ht="24" customHeight="1">
      <c r="A4051" s="4" t="str">
        <f ca="1">IFERROR(__xludf.DUMMYFUNCTION("""COMPUTED_VALUE"""),"विदर्भपुत्रीश्रवणावतंसिकामणीमहःकिंशुककार्मुकोदरे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॥नैषधीयचरितम्१५.४ ॥")</f>
        <v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॥नैषधीयचरितम्१५.४ ॥</v>
      </c>
      <c r="B4051" s="4" t="s">
        <v>0</v>
      </c>
      <c r="C4051" s="4"/>
    </row>
    <row r="4052" spans="1:3" ht="24" customHeight="1">
      <c r="A4052" s="4" t="str">
        <f ca="1">IFERROR(__xludf.DUMMYFUNCTION("""COMPUTED_VALUE"""),"अनाचरत्तथ्यमृषाविचारणां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॥नैषधीयचरितम्१५.४१ ॥")</f>
        <v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॥नैषधीयचरितम्१५.४१ ॥</v>
      </c>
      <c r="B4052" s="4" t="s">
        <v>19</v>
      </c>
      <c r="C4052" s="4"/>
    </row>
    <row r="4053" spans="1:3" ht="24" customHeight="1">
      <c r="A4053" s="4" t="str">
        <f ca="1">IFERROR(__xludf.DUMMYFUNCTION("""COMPUTED_VALUE"""),"अवादि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॥नैषधीयचरितम्१५.४२ ॥")</f>
        <v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॥नैषधीयचरितम्१५.४२ ॥</v>
      </c>
      <c r="B4053" s="4" t="s">
        <v>4</v>
      </c>
      <c r="C4053" s="4"/>
    </row>
    <row r="4054" spans="1:3" ht="24" customHeight="1">
      <c r="A4054" s="4" t="str">
        <f ca="1">IFERROR(__xludf.DUMMYFUNCTION("""COMPUTED_VALUE"""),"निवेशितं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॥नैषधीयचरितम्१५.४३ ॥")</f>
        <v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॥नैषधीयचरितम्१५.४३ ॥</v>
      </c>
      <c r="B4054" s="4" t="s">
        <v>7</v>
      </c>
      <c r="C4054" s="4"/>
    </row>
    <row r="4055" spans="1:3" ht="24" customHeight="1">
      <c r="A4055" s="4" t="str">
        <f ca="1">IFERROR(__xludf.DUMMYFUNCTION("""COMPUTED_VALUE"""),"स्वरेण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॥नैषधीयचरितम्१५.४४ ॥")</f>
        <v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॥नैषधीयचरितम्१५.४४ ॥</v>
      </c>
      <c r="B4055" s="4" t="s">
        <v>23</v>
      </c>
      <c r="C4055" s="4"/>
    </row>
    <row r="4056" spans="1:3" ht="24" customHeight="1">
      <c r="A4056" s="4" t="str">
        <f ca="1">IFERROR(__xludf.DUMMYFUNCTION("""COMPUTED_VALUE"""),"उपास्यमानाविव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॥नैषधीयचरितम्१५.४५ ॥")</f>
        <v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॥नैषधीयचरितम्१५.४५ ॥</v>
      </c>
      <c r="B4056" s="4" t="s">
        <v>1</v>
      </c>
      <c r="C4056" s="4"/>
    </row>
    <row r="4057" spans="1:3" ht="24" customHeight="1">
      <c r="A4057" s="4" t="str">
        <f ca="1">IFERROR(__xludf.DUMMYFUNCTION("""COMPUTED_VALUE"""),"पदद्वयेऽस्या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॥नैषधीयचरितम्१५.४६ ॥")</f>
        <v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॥नैषधीयचरितम्१५.४६ ॥</v>
      </c>
      <c r="B4057" s="4" t="s">
        <v>2</v>
      </c>
      <c r="C4057" s="4"/>
    </row>
    <row r="4058" spans="1:3" ht="24" customHeight="1">
      <c r="A4058" s="4" t="str">
        <f ca="1">IFERROR(__xludf.DUMMYFUNCTION("""COMPUTED_VALUE"""),"कृतापराधः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॥नैषधीयचरितम्१५.४७ ॥")</f>
        <v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॥नैषधीयचरितम्१५.४७ ॥</v>
      </c>
      <c r="B4058" s="4" t="s">
        <v>19</v>
      </c>
      <c r="C4058" s="4"/>
    </row>
    <row r="4059" spans="1:3" ht="24" customHeight="1">
      <c r="A4059" s="4" t="str">
        <f ca="1">IFERROR(__xludf.DUMMYFUNCTION("""COMPUTED_VALUE"""),"स्वयं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॥नैषधीयचरितम्१५.४८ ॥")</f>
        <v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॥नैषधीयचरितम्१५.४८ ॥</v>
      </c>
      <c r="B4059" s="4" t="s">
        <v>5</v>
      </c>
      <c r="C4059" s="4"/>
    </row>
    <row r="4060" spans="1:3" ht="24" customHeight="1">
      <c r="A4060" s="4" t="str">
        <f ca="1">IFERROR(__xludf.DUMMYFUNCTION("""COMPUTED_VALUE"""),"क्रमाधिकामुत्तरमुत्तरं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॥नैषधीयचरितम्१५.४९ ॥")</f>
        <v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॥नैषधीयचरितम्१५.४९ ॥</v>
      </c>
      <c r="B4060" s="4" t="s">
        <v>7</v>
      </c>
      <c r="C4060" s="4"/>
    </row>
    <row r="4061" spans="1:3" ht="24" customHeight="1">
      <c r="A4061" s="4" t="str">
        <f ca="1">IFERROR(__xludf.DUMMYFUNCTION("""COMPUTED_VALUE"""),"मणीसनाभौ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॥नैषधीयचरितम्१५.५ ॥")</f>
        <v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॥नैषधीयचरितम्१५.५ ॥</v>
      </c>
      <c r="B4061" s="4" t="s">
        <v>5</v>
      </c>
      <c r="C4061" s="4"/>
    </row>
    <row r="4062" spans="1:3" ht="24" customHeight="1">
      <c r="A4062" s="4" t="str">
        <f ca="1">IFERROR(__xludf.DUMMYFUNCTION("""COMPUTED_VALUE"""),"जितस्तदास्येन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॥नैषधीयचरितम्१५.५१ ॥")</f>
        <v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॥नैषधीयचरितम्१५.५१ ॥</v>
      </c>
      <c r="B4062" s="4" t="s">
        <v>1</v>
      </c>
      <c r="C4062" s="4"/>
    </row>
    <row r="4063" spans="1:3" ht="24" customHeight="1">
      <c r="A4063" s="4" t="str">
        <f ca="1">IFERROR(__xludf.DUMMYFUNCTION("""COMPUTED_VALUE"""),"किमालियुग्मार्पितदर्पणद्वये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॥नैषधीयचरितम्१५.५२ ॥")</f>
        <v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॥नैषधीयचरितम्१५.५२ ॥</v>
      </c>
      <c r="B4063" s="4" t="s">
        <v>2</v>
      </c>
      <c r="C4063" s="4"/>
    </row>
    <row r="4064" spans="1:3" ht="24" customHeight="1">
      <c r="A4064" s="4" t="str">
        <f ca="1">IFERROR(__xludf.DUMMYFUNCTION("""COMPUTED_VALUE"""),"पलाशदामेतिमिलच्छिलीमुखैर्वृता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॥नैषधीयचरितम्१५.५३ ॥")</f>
        <v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॥नैषधीयचरितम्१५.५३ ॥</v>
      </c>
      <c r="B4064" s="4" t="s">
        <v>2</v>
      </c>
      <c r="C4064" s="4"/>
    </row>
    <row r="4065" spans="1:3" ht="24" customHeight="1">
      <c r="A4065" s="4" t="str">
        <f ca="1">IFERROR(__xludf.DUMMYFUNCTION("""COMPUTED_VALUE"""),"विशेषतीर्थैरिव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॥नैषधीयचरितम्१५.५४ ॥")</f>
        <v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॥नैषधीयचरितम्१५.५४ ॥</v>
      </c>
      <c r="B4065" s="4" t="s">
        <v>2</v>
      </c>
      <c r="C4065" s="4"/>
    </row>
    <row r="4066" spans="1:3" ht="24" customHeight="1">
      <c r="A4066" s="4" t="str">
        <f ca="1">IFERROR(__xludf.DUMMYFUNCTION("""COMPUTED_VALUE"""),"नलात्स्ववैश्वस्त्यमनाप्तुमानता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॥नैषधीयचरितम्१५.५५ ॥")</f>
        <v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॥नैषधीयचरितम्१५.५५ ॥</v>
      </c>
      <c r="B4066" s="4" t="s">
        <v>13</v>
      </c>
      <c r="C4066" s="4"/>
    </row>
    <row r="4067" spans="1:3" ht="24" customHeight="1">
      <c r="A4067" s="4" t="str">
        <f ca="1">IFERROR(__xludf.DUMMYFUNCTION("""COMPUTED_VALUE"""),"अमोघभावेन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॥नैषधीयचरितम्१५.५६ ॥")</f>
        <v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॥नैषधीयचरितम्१५.५६ ॥</v>
      </c>
      <c r="B4067" s="4" t="s">
        <v>13</v>
      </c>
      <c r="C4067" s="4"/>
    </row>
    <row r="4068" spans="1:3" ht="24" customHeight="1">
      <c r="A4068" s="4" t="str">
        <f ca="1">IFERROR(__xludf.DUMMYFUNCTION("""COMPUTED_VALUE"""),"तथैव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॥नैषधीयचरितम्१५.५७ ॥")</f>
        <v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॥नैषधीयचरितम्१५.५७ ॥</v>
      </c>
      <c r="B4068" s="4" t="s">
        <v>7</v>
      </c>
      <c r="C4068" s="4"/>
    </row>
    <row r="4069" spans="1:3" ht="24" customHeight="1">
      <c r="A4069" s="4" t="str">
        <f ca="1">IFERROR(__xludf.DUMMYFUNCTION("""COMPUTED_VALUE"""),"नृपस्य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॥नैषधीयचरितम्१५.५८ ॥")</f>
        <v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॥नैषधीयचरितम्१५.५८ ॥</v>
      </c>
      <c r="B4069" s="4" t="s">
        <v>17</v>
      </c>
      <c r="C4069" s="4"/>
    </row>
    <row r="4070" spans="1:3" ht="24" customHeight="1">
      <c r="A4070" s="4" t="str">
        <f ca="1">IFERROR(__xludf.DUMMYFUNCTION("""COMPUTED_VALUE"""),"पतत्त्रिणां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॥नैषधीयचरितम्१५.५९ ॥")</f>
        <v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॥नैषधीयचरितम्१५.५९ ॥</v>
      </c>
      <c r="B4070" s="4" t="s">
        <v>11</v>
      </c>
      <c r="C4070" s="4"/>
    </row>
    <row r="4071" spans="1:3" ht="24" customHeight="1">
      <c r="A4071" s="4" t="str">
        <f ca="1">IFERROR(__xludf.DUMMYFUNCTION("""COMPUTED_VALUE"""),"अनर्ध्यरत्नौघमयेन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॥नैषधीयचरितम्१५.६ ॥")</f>
        <v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॥नैषधीयचरितम्१५.६ ॥</v>
      </c>
      <c r="B4071" s="4" t="s">
        <v>0</v>
      </c>
      <c r="C4071" s="4"/>
    </row>
    <row r="4072" spans="1:3" ht="24" customHeight="1">
      <c r="A4072" s="4" t="str">
        <f ca="1">IFERROR(__xludf.DUMMYFUNCTION("""COMPUTED_VALUE"""),"नलात्स्ववैश्वस्त्यमनाप्तुमानता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॥नैषधीयचरितम्१५.६१ ॥")</f>
        <v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॥नैषधीयचरितम्१५.६१ ॥</v>
      </c>
      <c r="B4072" s="4" t="s">
        <v>13</v>
      </c>
      <c r="C4072" s="4"/>
    </row>
    <row r="4073" spans="1:3" ht="24" customHeight="1">
      <c r="A4073" s="4" t="str">
        <f ca="1">IFERROR(__xludf.DUMMYFUNCTION("""COMPUTED_VALUE"""),"अमोघभावेन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॥नैषधीयचरितम्१५.६२ ॥")</f>
        <v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॥नैषधीयचरितम्१५.६२ ॥</v>
      </c>
      <c r="B4073" s="4" t="s">
        <v>13</v>
      </c>
      <c r="C4073" s="4"/>
    </row>
    <row r="4074" spans="1:3" ht="24" customHeight="1">
      <c r="A4074" s="4" t="str">
        <f ca="1">IFERROR(__xludf.DUMMYFUNCTION("""COMPUTED_VALUE"""),"तथैव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॥नैषधीयचरितम्१५.६३ ॥")</f>
        <v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॥नैषधीयचरितम्१५.६३ ॥</v>
      </c>
      <c r="B4074" s="4" t="s">
        <v>7</v>
      </c>
      <c r="C4074" s="4"/>
    </row>
    <row r="4075" spans="1:3" ht="24" customHeight="1">
      <c r="A4075" s="4" t="str">
        <f ca="1">IFERROR(__xludf.DUMMYFUNCTION("""COMPUTED_VALUE"""),"नृपस्य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॥नैषधीयचरितम्१५.६४ ॥")</f>
        <v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॥नैषधीयचरितम्१५.६४ ॥</v>
      </c>
      <c r="B4075" s="4" t="s">
        <v>17</v>
      </c>
      <c r="C4075" s="4"/>
    </row>
    <row r="4076" spans="1:3" ht="24" customHeight="1">
      <c r="A4076" s="4" t="str">
        <f ca="1">IFERROR(__xludf.DUMMYFUNCTION("""COMPUTED_VALUE"""),"पतत्त्रिणां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॥नैषधीयचरितम्१५.६५ ॥")</f>
        <v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॥नैषधीयचरितम्१५.६५ ॥</v>
      </c>
      <c r="B4076" s="4" t="s">
        <v>11</v>
      </c>
      <c r="C4076" s="4"/>
    </row>
    <row r="4077" spans="1:3" ht="24" customHeight="1">
      <c r="A4077" s="4" t="str">
        <f ca="1">IFERROR(__xludf.DUMMYFUNCTION("""COMPUTED_VALUE"""),"अनर्ध्यरत्नैघमयेन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॥नैषधीयचरितम्१५.६६ ॥")</f>
        <v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॥नैषधीयचरितम्१५.६६ ॥</v>
      </c>
      <c r="B4077" s="4" t="s">
        <v>0</v>
      </c>
      <c r="C4077" s="4"/>
    </row>
    <row r="4078" spans="1:3" ht="24" customHeight="1">
      <c r="A4078" s="4" t="str">
        <f ca="1">IFERROR(__xludf.DUMMYFUNCTION("""COMPUTED_VALUE"""),"नलस्य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॥नैषधीयचरितम्१५.६७ ॥")</f>
        <v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॥नैषधीयचरितम्१५.६७ ॥</v>
      </c>
      <c r="B4078" s="4" t="s">
        <v>4</v>
      </c>
      <c r="C4078" s="4"/>
    </row>
    <row r="4079" spans="1:3" ht="24" customHeight="1">
      <c r="A4079" s="4" t="str">
        <f ca="1">IFERROR(__xludf.DUMMYFUNCTION("""COMPUTED_VALUE"""),"बभूव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॥नैषधीयचरितम्१५.६८ ॥")</f>
        <v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॥नैषधीयचरितम्१५.६८ ॥</v>
      </c>
      <c r="B4079" s="4" t="s">
        <v>2</v>
      </c>
      <c r="C4079" s="4"/>
    </row>
    <row r="4080" spans="1:3" ht="24" customHeight="1">
      <c r="A4080" s="4" t="str">
        <f ca="1">IFERROR(__xludf.DUMMYFUNCTION("""COMPUTED_VALUE"""),"अचुम्बि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॥नैषधीयचरितम्१५.६९ ॥")</f>
        <v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॥नैषधीयचरितम्१५.६९ ॥</v>
      </c>
      <c r="B4080" s="4" t="s">
        <v>1</v>
      </c>
      <c r="C4080" s="4"/>
    </row>
    <row r="4081" spans="1:3" ht="24" customHeight="1">
      <c r="A4081" s="4" t="str">
        <f ca="1">IFERROR(__xludf.DUMMYFUNCTION("""COMPUTED_VALUE"""),"न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॥नैषधीयचरितम्१५.७ ॥")</f>
        <v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॥नैषधीयचरितम्१५.७ ॥</v>
      </c>
      <c r="B4081" s="4" t="s">
        <v>4</v>
      </c>
      <c r="C4081" s="4"/>
    </row>
    <row r="4082" spans="1:3" ht="24" customHeight="1">
      <c r="A4082" s="4" t="str">
        <f ca="1">IFERROR(__xludf.DUMMYFUNCTION("""COMPUTED_VALUE"""),"कपोलपालीजनिजानुबिम्बयोः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॥नैषधीयचरितम्१५.७१ ॥")</f>
        <v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॥नैषधीयचरितम्१५.७१ ॥</v>
      </c>
      <c r="B4082" s="4" t="s">
        <v>2</v>
      </c>
      <c r="C4082" s="4"/>
    </row>
    <row r="4083" spans="1:3" ht="24" customHeight="1">
      <c r="A4083" s="4" t="str">
        <f ca="1">IFERROR(__xludf.DUMMYFUNCTION("""COMPUTED_VALUE"""),"श्रितास्य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॥नैषधीयचरितम्१५.७२ ॥")</f>
        <v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॥नैषधीयचरितम्१५.७२ ॥</v>
      </c>
      <c r="B4083" s="4" t="s">
        <v>2</v>
      </c>
      <c r="C4083" s="4"/>
    </row>
    <row r="4084" spans="1:3" ht="24" customHeight="1">
      <c r="A4084" s="4" t="str">
        <f ca="1">IFERROR(__xludf.DUMMYFUNCTION("""COMPUTED_VALUE"""),"यतोऽजनि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॥नैषधीयचरितम्१५.७३ ॥")</f>
        <v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॥नैषधीयचरितम्१५.७३ ॥</v>
      </c>
      <c r="B4084" s="4" t="s">
        <v>3</v>
      </c>
      <c r="C4084" s="4"/>
    </row>
    <row r="4085" spans="1:3" ht="24" customHeight="1">
      <c r="A4085" s="4" t="str">
        <f ca="1">IFERROR(__xludf.DUMMYFUNCTION("""COMPUTED_VALUE"""),"कृतार्थयन्नर्थिजनाननारतं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॥नैषधीयचरितम्१५.७४ ॥")</f>
        <v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॥नैषधीयचरितम्१५.७४ ॥</v>
      </c>
      <c r="B4085" s="4" t="s">
        <v>2</v>
      </c>
      <c r="C4085" s="4"/>
    </row>
    <row r="4086" spans="1:3" ht="24" customHeight="1">
      <c r="A4086" s="4" t="str">
        <f ca="1">IFERROR(__xludf.DUMMYFUNCTION("""COMPUTED_VALUE"""),"रराज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॥नैषधीयचरितम्१५.७५ ॥")</f>
        <v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॥नैषधीयचरितम्१५.७५ ॥</v>
      </c>
      <c r="B4086" s="4" t="s">
        <v>2</v>
      </c>
      <c r="C4086" s="4"/>
    </row>
    <row r="4087" spans="1:3" ht="24" customHeight="1">
      <c r="A4087" s="4" t="str">
        <f ca="1">IFERROR(__xludf.DUMMYFUNCTION("""COMPUTED_VALUE"""),"घने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॥नैषधीयचरितम्१५.७६ ॥")</f>
        <v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॥नैषधीयचरितम्१५.७६ ॥</v>
      </c>
      <c r="B4087" s="4" t="s">
        <v>7</v>
      </c>
      <c r="C4087" s="4"/>
    </row>
    <row r="4088" spans="1:3" ht="24" customHeight="1">
      <c r="A4088" s="4" t="str">
        <f ca="1">IFERROR(__xludf.DUMMYFUNCTION("""COMPUTED_VALUE"""),"व्यलोकि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॥नैषधीयचरितम्१५.७७ ॥")</f>
        <v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॥नैषधीयचरितम्१५.७७ ॥</v>
      </c>
      <c r="B4088" s="4" t="s">
        <v>9</v>
      </c>
      <c r="C4088" s="4"/>
    </row>
    <row r="4089" spans="1:3" ht="24" customHeight="1">
      <c r="A4089" s="4" t="str">
        <f ca="1">IFERROR(__xludf.DUMMYFUNCTION("""COMPUTED_VALUE"""),"ततोऽनु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॥नैषधीयचरितम्१५.७८ ॥")</f>
        <v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॥नैषधीयचरितम्१५.७८ ॥</v>
      </c>
      <c r="B4089" s="4" t="s">
        <v>4</v>
      </c>
      <c r="C4089" s="4"/>
    </row>
    <row r="4090" spans="1:3" ht="24" customHeight="1">
      <c r="A4090" s="4" t="str">
        <f ca="1">IFERROR(__xludf.DUMMYFUNCTION("""COMPUTED_VALUE"""),"विदर्भनाम्नस्त्रिदिवस्य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॥नैषधीयचरितम्१५.७९ ॥")</f>
        <v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॥नैषधीयचरितम्१५.७९ ॥</v>
      </c>
      <c r="B4090" s="4" t="s">
        <v>19</v>
      </c>
      <c r="C4090" s="4"/>
    </row>
    <row r="4091" spans="1:3" ht="24" customHeight="1">
      <c r="A4091" s="4" t="str">
        <f ca="1">IFERROR(__xludf.DUMMYFUNCTION("""COMPUTED_VALUE"""),"अजानती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॥नैषधीयचरितम्१५.८ ॥")</f>
        <v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॥नैषधीयचरितम्१५.८ ॥</v>
      </c>
      <c r="B4091" s="4" t="s">
        <v>2</v>
      </c>
      <c r="C4091" s="4"/>
    </row>
    <row r="4092" spans="1:3" ht="24" customHeight="1">
      <c r="A4092" s="4" t="str">
        <f ca="1">IFERROR(__xludf.DUMMYFUNCTION("""COMPUTED_VALUE"""),"सखीं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॥नैषधीयचरितम्१५.८१ ॥")</f>
        <v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॥नैषधीयचरितम्१५.८१ ॥</v>
      </c>
      <c r="B4092" s="4" t="s">
        <v>7</v>
      </c>
      <c r="C4092" s="4"/>
    </row>
    <row r="4093" spans="1:3" ht="24" customHeight="1">
      <c r="A4093" s="4" t="str">
        <f ca="1">IFERROR(__xludf.DUMMYFUNCTION("""COMPUTED_VALUE"""),"लसन्नखादर्शमुखाम्बुजस्मितप्रसूनवाणीमधुपाणिपल्लवम्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॥नैषधीयचरितम्१५.८२ ॥")</f>
        <v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॥नैषधीयचरितम्१५.८२ ॥</v>
      </c>
      <c r="B4093" s="4" t="s">
        <v>2</v>
      </c>
      <c r="C4093" s="4"/>
    </row>
    <row r="4094" spans="1:3" ht="24" customHeight="1">
      <c r="A4094" s="4" t="str">
        <f ca="1">IFERROR(__xludf.DUMMYFUNCTION("""COMPUTED_VALUE"""),"करस्थताम्बूलजिघत्सुरेकिका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॥नैषधीयचरितम्१५.८३ ॥")</f>
        <v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॥नैषधीयचरितम्१५.८३ ॥</v>
      </c>
      <c r="B4094" s="4" t="s">
        <v>1</v>
      </c>
      <c r="C4094" s="4"/>
    </row>
    <row r="4095" spans="1:3" ht="24" customHeight="1">
      <c r="A4095" s="4" t="str">
        <f ca="1">IFERROR(__xludf.DUMMYFUNCTION("""COMPUTED_VALUE"""),"कयापि वीक्षाविमनस्कलोचने समाज एवोपपतेः समीयुषः । घनं सविघ्नं परिरम्भसाहसैस्तदा तदालोकनमन्वभूयत ॥नैषधीयचरितम्१५.८४ ॥")</f>
        <v>कयापि वीक्षाविमनस्कलोचने समाज एवोपपतेः समीयुषः । घनं सविघ्नं परिरम्भसाहसैस्तदा तदालोकनमन्वभूयत ॥नैषधीयचरितम्१५.८४ ॥</v>
      </c>
      <c r="B4095" s="4" t="s">
        <v>2</v>
      </c>
      <c r="C4095" s="4"/>
    </row>
    <row r="4096" spans="1:3" ht="24" customHeight="1">
      <c r="A4096" s="4" t="str">
        <f ca="1">IFERROR(__xludf.DUMMYFUNCTION("""COMPUTED_VALUE"""),"दिदृक्षुरन्या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॥नैषधीयचरितम्१५.८५ ॥")</f>
        <v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॥नैषधीयचरितम्१५.८५ ॥</v>
      </c>
      <c r="B4096" s="4" t="s">
        <v>4</v>
      </c>
      <c r="C4096" s="4"/>
    </row>
    <row r="4097" spans="1:3" ht="24" customHeight="1">
      <c r="A4097" s="4" t="str">
        <f ca="1">IFERROR(__xludf.DUMMYFUNCTION("""COMPUTED_VALUE"""),"विभूषणस्रंसनशंसनार्पितैः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॥नैषधीयचरितम्१५.८६ ॥")</f>
        <v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॥नैषधीयचरितम्१५.८६ ॥</v>
      </c>
      <c r="B4097" s="4" t="s">
        <v>17</v>
      </c>
      <c r="C4097" s="4"/>
    </row>
    <row r="4098" spans="1:3" ht="24" customHeight="1">
      <c r="A4098" s="4" t="str">
        <f ca="1">IFERROR(__xludf.DUMMYFUNCTION("""COMPUTED_VALUE"""),"वतंसनीलाम्बुरुहेण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॥नैषधीयचरितम्१५.८७ ॥")</f>
        <v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॥नैषधीयचरितम्१५.८७ ॥</v>
      </c>
      <c r="B4098" s="4" t="s">
        <v>8</v>
      </c>
      <c r="C4098" s="4"/>
    </row>
    <row r="4099" spans="1:3" ht="24" customHeight="1">
      <c r="A4099" s="4" t="str">
        <f ca="1">IFERROR(__xludf.DUMMYFUNCTION("""COMPUTED_VALUE"""),"काश्चिन्निर्माय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॥नैषधीयचरितम्१५.८८ ॥")</f>
        <v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॥नैषधीयचरितम्१५.८८ ॥</v>
      </c>
      <c r="B4099" s="4" t="s">
        <v>7</v>
      </c>
      <c r="C4099" s="4"/>
    </row>
    <row r="4100" spans="1:3" ht="24" customHeight="1">
      <c r="A4100" s="4" t="str">
        <f ca="1">IFERROR(__xludf.DUMMYFUNCTION("""COMPUTED_VALUE"""),"भवन्सुद्युम्नः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॥नैषधीयचरितम्१५.८९ ॥")</f>
        <v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॥नैषधीयचरितम्१५.८९ ॥</v>
      </c>
      <c r="B4100" s="4" t="s">
        <v>1</v>
      </c>
      <c r="C4100" s="4"/>
    </row>
    <row r="4101" spans="1:3" ht="24" customHeight="1">
      <c r="A4101" s="4" t="str">
        <f ca="1">IFERROR(__xludf.DUMMYFUNCTION("""COMPUTED_VALUE"""),"अर्थी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॥नैषधीयचरितम्१५.९ ॥")</f>
        <v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॥नैषधीयचरितम्१५.९ ॥</v>
      </c>
      <c r="B4101" s="4" t="s">
        <v>2</v>
      </c>
      <c r="C4101" s="4"/>
    </row>
    <row r="4102" spans="1:3" ht="24" customHeight="1">
      <c r="A4102" s="4" t="str">
        <f ca="1">IFERROR(__xludf.DUMMYFUNCTION("""COMPUTED_VALUE"""),"अस्योत्कण्ठितकण्ठलोठिवरणस्रक्साक्षिभिर्दिग्भटैः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॥नैषधीयचरितम्१५.९१ ॥")</f>
        <v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॥नैषधीयचरितम्१५.९१ ॥</v>
      </c>
      <c r="B4102" s="4" t="s">
        <v>3</v>
      </c>
      <c r="C4102" s="4"/>
    </row>
    <row r="4103" spans="1:3" ht="24" customHeight="1">
      <c r="A4103" s="4" t="str">
        <f ca="1">IFERROR(__xludf.DUMMYFUNCTION("""COMPUTED_VALUE"""),"मा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॥नैषधीयचरितम्१५.९२ ॥")</f>
        <v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॥नैषधीयचरितम्१५.९२ ॥</v>
      </c>
      <c r="B4103" s="4" t="s">
        <v>19</v>
      </c>
      <c r="C4103" s="4"/>
    </row>
    <row r="4104" spans="1:3" ht="24" customHeight="1">
      <c r="A4104" s="4" t="str">
        <f ca="1">IFERROR(__xludf.DUMMYFUNCTION("""COMPUTED_VALUE"""),"वैदर्भीबहुजन्मनिर्मिततपःशिल्पेन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॥नैषधीयचरितम्१५.९३ ॥")</f>
        <v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॥नैषधीयचरितम्१५.९३ ॥</v>
      </c>
      <c r="B4104" s="4" t="s">
        <v>13</v>
      </c>
      <c r="C4104" s="4"/>
    </row>
    <row r="4105" spans="1:3" ht="24" customHeight="1">
      <c r="A4105" s="4" t="str">
        <f ca="1">IFERROR(__xludf.DUMMYFUNCTION("""COMPUTED_VALUE"""),"स्त्रीपुंसव्यतिषञ्जनं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॥नैषधीयचरितम्१५.९४ ॥")</f>
        <v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॥नैषधीयचरितम्१५.९४ ॥</v>
      </c>
      <c r="B4105" s="4" t="s">
        <v>4</v>
      </c>
      <c r="C4105" s="4"/>
    </row>
    <row r="4106" spans="1:3" ht="24" customHeight="1">
      <c r="A4106" s="4" t="str">
        <f ca="1">IFERROR(__xludf.DUMMYFUNCTION("""COMPUTED_VALUE"""),"ताभिर्दृश्यत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॥नैषधीयचरितम्१५.९५ ॥")</f>
        <v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॥नैषधीयचरितम्१५.९५ ॥</v>
      </c>
      <c r="B4106" s="4" t="s">
        <v>5</v>
      </c>
      <c r="C4106" s="4"/>
    </row>
    <row r="4107" spans="1:3" ht="24" customHeight="1">
      <c r="A4107" s="4" t="str">
        <f ca="1">IFERROR(__xludf.DUMMYFUNCTION("""COMPUTED_VALUE"""),"वैदर्भीविपुलानुरागकलनात्सौभाग्यमत्राखिलक्षोणीचक्रशतक्रतौ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॥नैषधीयचरितम्१५.९६ ॥")</f>
        <v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॥नैषधीयचरितम्१५.९६ ॥</v>
      </c>
      <c r="B4107" s="4" t="s">
        <v>16</v>
      </c>
      <c r="C4107" s="4"/>
    </row>
    <row r="4108" spans="1:3" ht="24" customHeight="1">
      <c r="A4108" s="4" t="str">
        <f ca="1">IFERROR(__xludf.DUMMYFUNCTION("""COMPUTED_VALUE"""),"आसुत्राममपासनान्मखभुजां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॥नैषधीयचरितम्१५.९७ ॥")</f>
        <v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॥नैषधीयचरितम्१५.९७ ॥</v>
      </c>
      <c r="B4108" s="4" t="s">
        <v>9</v>
      </c>
      <c r="C4108" s="4"/>
    </row>
    <row r="4109" spans="1:3" ht="24" customHeight="1">
      <c r="A4109" s="4" t="str">
        <f ca="1">IFERROR(__xludf.DUMMYFUNCTION("""COMPUTED_VALUE"""),"इत्यालेपुरनुप्रतीकनिलयालंकारसारश्रियाहंकुर्वत्तनुरामणीयकममूरालोक्य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॥नैषधीयचरितम्१५.९८ ॥")</f>
        <v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॥नैषधीयचरितम्१५.९८ ॥</v>
      </c>
      <c r="B4109" s="4" t="s">
        <v>4</v>
      </c>
      <c r="C4109" s="4"/>
    </row>
    <row r="4110" spans="1:3" ht="24" customHeight="1">
      <c r="A4110" s="4" t="str">
        <f ca="1">IFERROR(__xludf.DUMMYFUNCTION("""COMPUTED_VALUE"""),"शृईहर्षं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॥नैषधीयचरितम्१५.९९ ॥")</f>
        <v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॥नैषधीयचरितम्१५.९९ ॥</v>
      </c>
      <c r="B4110" s="4" t="s">
        <v>11</v>
      </c>
      <c r="C4110" s="4"/>
    </row>
    <row r="4111" spans="1:3" ht="24" customHeight="1">
      <c r="A4111" s="4" t="str">
        <f ca="1">IFERROR(__xludf.DUMMYFUNCTION("""COMPUTED_VALUE"""),"वृतः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॥नैषधीयचरितम्१६.१ ॥")</f>
        <v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॥नैषधीयचरितम्१६.१ ॥</v>
      </c>
      <c r="B4111" s="4" t="s">
        <v>11</v>
      </c>
      <c r="C4111" s="4"/>
    </row>
    <row r="4112" spans="1:3" ht="24" customHeight="1">
      <c r="A4112" s="4" t="str">
        <f ca="1">IFERROR(__xludf.DUMMYFUNCTION("""COMPUTED_VALUE"""),"विभूषणांशुप्रतिबिम्बितैः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॥नैषधीयचरितम्१६.२ ॥")</f>
        <v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॥नैषधीयचरितम्१६.२ ॥</v>
      </c>
      <c r="B4112" s="4" t="s">
        <v>6</v>
      </c>
      <c r="C4112" s="4"/>
    </row>
    <row r="4113" spans="1:3" ht="24" customHeight="1">
      <c r="A4113" s="4" t="str">
        <f ca="1">IFERROR(__xludf.DUMMYFUNCTION("""COMPUTED_VALUE"""),"परार्ध्यवेषाभरणैः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॥नैषधीयचरितम्१६.३ ॥")</f>
        <v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॥नैषधीयचरितम्१६.३ ॥</v>
      </c>
      <c r="B4113" s="4" t="s">
        <v>4</v>
      </c>
      <c r="C4113" s="4"/>
    </row>
    <row r="4114" spans="1:3" ht="24" customHeight="1">
      <c r="A4114" s="4" t="str">
        <f ca="1">IFERROR(__xludf.DUMMYFUNCTION("""COMPUTED_VALUE"""),"नलस्य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॥नैषधीयचरितम्१६.४ ॥")</f>
        <v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॥नैषधीयचरितम्१६.४ ॥</v>
      </c>
      <c r="B4114" s="4" t="s">
        <v>17</v>
      </c>
      <c r="C4114" s="4"/>
    </row>
    <row r="4115" spans="1:3" ht="24" customHeight="1">
      <c r="A4115" s="4" t="str">
        <f ca="1">IFERROR(__xludf.DUMMYFUNCTION("""COMPUTED_VALUE"""),"विदर्भराजः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॥नैषधीयचरितम्१६.५ ॥")</f>
        <v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॥नैषधीयचरितम्१६.५ ॥</v>
      </c>
      <c r="B4115" s="4" t="s">
        <v>5</v>
      </c>
      <c r="C4115" s="4"/>
    </row>
    <row r="4116" spans="1:3" ht="24" customHeight="1">
      <c r="A4116" s="4" t="str">
        <f ca="1">IFERROR(__xludf.DUMMYFUNCTION("""COMPUTED_VALUE"""),"हरिद्विपद्वीपिभिरांशुकैर्नभोनभस्वदाध्मापनपीनितैरभूत्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॥नैषधीयचरितम्१६.६ ॥")</f>
        <v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॥नैषधीयचरितम्१६.६ ॥</v>
      </c>
      <c r="B4116" s="4" t="s">
        <v>2</v>
      </c>
      <c r="C4116" s="4"/>
    </row>
    <row r="4117" spans="1:3" ht="24" customHeight="1">
      <c r="A4117" s="4" t="str">
        <f ca="1">IFERROR(__xludf.DUMMYFUNCTION("""COMPUTED_VALUE"""),"भुवाह्वयन्तीं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॥नैषधीयचरितम्१६.७ ॥")</f>
        <v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॥नैषधीयचरितम्१६.७ ॥</v>
      </c>
      <c r="B4117" s="4" t="s">
        <v>2</v>
      </c>
      <c r="C4117" s="4"/>
    </row>
    <row r="4118" spans="1:3" ht="24" customHeight="1">
      <c r="A4118" s="4" t="str">
        <f ca="1">IFERROR(__xludf.DUMMYFUNCTION("""COMPUTED_VALUE"""),"श्लथैर्दलैः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॥नैषधीयचरितम्१६.८ ॥")</f>
        <v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॥नैषधीयचरितम्१६.८ ॥</v>
      </c>
      <c r="B4118" s="4" t="s">
        <v>1</v>
      </c>
      <c r="C4118" s="4"/>
    </row>
    <row r="4119" spans="1:3" ht="24" customHeight="1">
      <c r="A4119" s="4" t="str">
        <f ca="1">IFERROR(__xludf.DUMMYFUNCTION("""COMPUTED_VALUE"""),"विनेतृभर्तृद्वयभीतिदान्तयोः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॥नैषधीयचरितम्१६.९ ॥")</f>
        <v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॥नैषधीयचरितम्१६.९ ॥</v>
      </c>
      <c r="B4119" s="4" t="s">
        <v>12</v>
      </c>
      <c r="C4119" s="4"/>
    </row>
    <row r="4120" spans="1:3" ht="24" customHeight="1">
      <c r="A4120" s="4" t="str">
        <f ca="1">IFERROR(__xludf.DUMMYFUNCTION("""COMPUTED_VALUE"""),"निर्दिश्य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॥नैषधीयचरितम्१६.१ ॥")</f>
        <v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॥नैषधीयचरितम्१६.१ ॥</v>
      </c>
      <c r="B4120" s="4" t="s">
        <v>0</v>
      </c>
      <c r="C4120" s="4"/>
    </row>
    <row r="4121" spans="1:3" ht="24" customHeight="1">
      <c r="A4121" s="4" t="str">
        <f ca="1">IFERROR(__xludf.DUMMYFUNCTION("""COMPUTED_VALUE"""),"अथायमुत्थाय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॥नैषधीयचरितम्१६.११ ॥")</f>
        <v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॥नैषधीयचरितम्१६.११ ॥</v>
      </c>
      <c r="B4121" s="4" t="s">
        <v>2</v>
      </c>
      <c r="C4121" s="4"/>
    </row>
    <row r="4122" spans="1:3" ht="24" customHeight="1">
      <c r="A4122" s="4" t="str">
        <f ca="1">IFERROR(__xludf.DUMMYFUNCTION("""COMPUTED_VALUE"""),"यथावदस्मै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॥नैषधीयचरितम्१६.१२ ॥")</f>
        <v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॥नैषधीयचरितम्१६.१२ ॥</v>
      </c>
      <c r="B4122" s="4" t="s">
        <v>2</v>
      </c>
      <c r="C4122" s="4"/>
    </row>
    <row r="4123" spans="1:3" ht="24" customHeight="1">
      <c r="A4123" s="4" t="str">
        <f ca="1">IFERROR(__xludf.DUMMYFUNCTION("""COMPUTED_VALUE"""),"असिस्वदद्यन्मधुपर्कमर्पितं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॥नैषधीयचरितम्१६.१३ ॥")</f>
        <v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॥नैषधीयचरितम्१६.१३ ॥</v>
      </c>
      <c r="B4123" s="4" t="s">
        <v>2</v>
      </c>
      <c r="C4123" s="4"/>
    </row>
    <row r="4124" spans="1:3" ht="24" customHeight="1">
      <c r="A4124" s="4" t="str">
        <f ca="1">IFERROR(__xludf.DUMMYFUNCTION("""COMPUTED_VALUE"""),"वरस्य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॥नैषधीयचरितम्१६.१४ ॥")</f>
        <v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॥नैषधीयचरितम्१६.१४ ॥</v>
      </c>
      <c r="B4124" s="4" t="s">
        <v>8</v>
      </c>
      <c r="C4124" s="4"/>
    </row>
    <row r="4125" spans="1:3" ht="24" customHeight="1">
      <c r="A4125" s="4" t="str">
        <f ca="1">IFERROR(__xludf.DUMMYFUNCTION("""COMPUTED_VALUE"""),"विदर्भजायाः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॥नैषधीयचरितम्१६.१५ ॥")</f>
        <v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॥नैषधीयचरितम्१६.१५ ॥</v>
      </c>
      <c r="B4125" s="4" t="s">
        <v>6</v>
      </c>
      <c r="C4125" s="4"/>
    </row>
    <row r="4126" spans="1:3" ht="24" customHeight="1">
      <c r="A4126" s="4" t="str">
        <f ca="1">IFERROR(__xludf.DUMMYFUNCTION("""COMPUTED_VALUE"""),"सखा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॥नैषधीयचरितम्१६.१६ ॥")</f>
        <v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॥नैषधीयचरितम्१६.१६ ॥</v>
      </c>
      <c r="B4126" s="4" t="s">
        <v>17</v>
      </c>
      <c r="C4126" s="4"/>
    </row>
    <row r="4127" spans="1:3" ht="24" customHeight="1">
      <c r="A4127" s="4" t="str">
        <f ca="1">IFERROR(__xludf.DUMMYFUNCTION("""COMPUTED_VALUE"""),"बहोर्दुरापस्य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॥नैषधीयचरितम्१६.१७ ॥")</f>
        <v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॥नैषधीयचरितम्१६.१७ ॥</v>
      </c>
      <c r="B4127" s="4" t="s">
        <v>1</v>
      </c>
      <c r="C4127" s="4"/>
    </row>
    <row r="4128" spans="1:3" ht="24" customHeight="1">
      <c r="A4128" s="4" t="str">
        <f ca="1">IFERROR(__xludf.DUMMYFUNCTION("""COMPUTED_VALUE"""),"असिं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॥नैषधीयचरितम्१६.१८ ॥")</f>
        <v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॥नैषधीयचरितम्१६.१८ ॥</v>
      </c>
      <c r="B4128" s="4" t="s">
        <v>5</v>
      </c>
      <c r="C4128" s="4"/>
    </row>
    <row r="4129" spans="1:3" ht="24" customHeight="1">
      <c r="A4129" s="4" t="str">
        <f ca="1">IFERROR(__xludf.DUMMYFUNCTION("""COMPUTED_VALUE"""),"अधारि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॥नैषधीयचरितम्१६.१९ ॥")</f>
        <v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॥नैषधीयचरितम्१६.१९ ॥</v>
      </c>
      <c r="B4129" s="4" t="s">
        <v>7</v>
      </c>
      <c r="C4129" s="4"/>
    </row>
    <row r="4130" spans="1:3" ht="24" customHeight="1">
      <c r="A4130" s="4" t="str">
        <f ca="1">IFERROR(__xludf.DUMMYFUNCTION("""COMPUTED_VALUE"""),"उवाह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॥नैषधीयचरितम्१६.२ ॥")</f>
        <v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॥नैषधीयचरितम्१६.२ ॥</v>
      </c>
      <c r="B4130" s="4" t="s">
        <v>3</v>
      </c>
      <c r="C4130" s="4"/>
    </row>
    <row r="4131" spans="1:3" ht="24" customHeight="1">
      <c r="A4131" s="4" t="str">
        <f ca="1">IFERROR(__xludf.DUMMYFUNCTION("""COMPUTED_VALUE"""),"यमेन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॥नैषधीयचरितम्१६.२१ ॥")</f>
        <v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॥नैषधीयचरितम्१६.२१ ॥</v>
      </c>
      <c r="B4131" s="4" t="s">
        <v>9</v>
      </c>
      <c r="C4131" s="4"/>
    </row>
    <row r="4132" spans="1:3" ht="24" customHeight="1">
      <c r="A4132" s="4" t="str">
        <f ca="1">IFERROR(__xludf.DUMMYFUNCTION("""COMPUTED_VALUE"""),"यदङ्गभूमी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॥नैषधीयचरितम्१६.२२ ॥")</f>
        <v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॥नैषधीयचरितम्१६.२२ ॥</v>
      </c>
      <c r="B4132" s="4" t="s">
        <v>2</v>
      </c>
      <c r="C4132" s="4"/>
    </row>
    <row r="4133" spans="1:3" ht="24" customHeight="1">
      <c r="A4133" s="4" t="str">
        <f ca="1">IFERROR(__xludf.DUMMYFUNCTION("""COMPUTED_VALUE"""),"पुरैव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॥नैषधीयचरितम्१६.२३ ॥")</f>
        <v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॥नैषधीयचरितम्१६.२३ ॥</v>
      </c>
      <c r="B4133" s="4" t="s">
        <v>10</v>
      </c>
      <c r="C4133" s="4"/>
    </row>
    <row r="4134" spans="1:3" ht="24" customHeight="1">
      <c r="A4134" s="4" t="str">
        <f ca="1">IFERROR(__xludf.DUMMYFUNCTION("""COMPUTED_VALUE"""),"प्रसूतवत्ता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॥नैषधीयचरितम्१६.२४ ॥")</f>
        <v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॥नैषधीयचरितम्१६.२४ ॥</v>
      </c>
      <c r="B4134" s="4" t="s">
        <v>2</v>
      </c>
      <c r="C4134" s="4"/>
    </row>
    <row r="4135" spans="1:3" ht="24" customHeight="1">
      <c r="A4135" s="4" t="str">
        <f ca="1">IFERROR(__xludf.DUMMYFUNCTION("""COMPUTED_VALUE"""),"महेन्द्रमुच्चैःश्रवसा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॥नैषधीयचरितम्१६.२५ ॥")</f>
        <v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॥नैषधीयचरितम्१६.२५ ॥</v>
      </c>
      <c r="B4135" s="4" t="s">
        <v>2</v>
      </c>
      <c r="C4135" s="4"/>
    </row>
    <row r="4136" spans="1:3" ht="24" customHeight="1">
      <c r="A4136" s="4" t="str">
        <f ca="1">IFERROR(__xludf.DUMMYFUNCTION("""COMPUTED_VALUE"""),"जवादवारीकृतदूरदृक्पथस्तथाक्षियुग्माय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॥नैषधीयचरितम्१६.२६ ॥")</f>
        <v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॥नैषधीयचरितम्१६.२६ ॥</v>
      </c>
      <c r="B4136" s="4" t="s">
        <v>2</v>
      </c>
      <c r="C4136" s="4"/>
    </row>
    <row r="4137" spans="1:3" ht="24" customHeight="1">
      <c r="A4137" s="4" t="str">
        <f ca="1">IFERROR(__xludf.DUMMYFUNCTION("""COMPUTED_VALUE"""),"दिवस्पतेरादरदर्शिनादरादढौकि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॥नैषधीयचरितम्१६.२७ ॥")</f>
        <v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॥नैषधीयचरितम्१६.२७ ॥</v>
      </c>
      <c r="B4137" s="4" t="s">
        <v>18</v>
      </c>
      <c r="C4137" s="4"/>
    </row>
    <row r="4138" spans="1:3" ht="24" customHeight="1">
      <c r="A4138" s="4" t="str">
        <f ca="1">IFERROR(__xludf.DUMMYFUNCTION("""COMPUTED_VALUE"""),"नलेन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॥नैषधीयचरितम्१६.२८ ॥")</f>
        <v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॥नैषधीयचरितम्१६.२८ ॥</v>
      </c>
      <c r="B4138" s="4" t="s">
        <v>0</v>
      </c>
      <c r="C4138" s="4"/>
    </row>
    <row r="4139" spans="1:3" ht="24" customHeight="1">
      <c r="A4139" s="4" t="str">
        <f ca="1">IFERROR(__xludf.DUMMYFUNCTION("""COMPUTED_VALUE"""),"मयेन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॥नैषधीयचरितम्१६.२९ ॥")</f>
        <v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॥नैषधीयचरितम्१६.२९ ॥</v>
      </c>
      <c r="B4139" s="4" t="s">
        <v>24</v>
      </c>
      <c r="C4139" s="4"/>
    </row>
    <row r="4140" spans="1:3" ht="24" customHeight="1">
      <c r="A4140" s="4" t="str">
        <f ca="1">IFERROR(__xludf.DUMMYFUNCTION("""COMPUTED_VALUE"""),"छदे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॥नैषधीयचरितम्१६.३ ॥")</f>
        <v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॥नैषधीयचरितम्१६.३ ॥</v>
      </c>
      <c r="B4140" s="4" t="s">
        <v>2</v>
      </c>
      <c r="C4140" s="4"/>
    </row>
    <row r="4141" spans="1:3" ht="24" customHeight="1">
      <c r="A4141" s="4" t="str">
        <f ca="1">IFERROR(__xludf.DUMMYFUNCTION("""COMPUTED_VALUE"""),"विराध्य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॥नैषधीयचरितम्१६.३१ ॥")</f>
        <v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॥नैषधीयचरितम्१६.३१ ॥</v>
      </c>
      <c r="B4141" s="4" t="s">
        <v>19</v>
      </c>
      <c r="C4141" s="4"/>
    </row>
    <row r="4142" spans="1:3" ht="24" customHeight="1">
      <c r="A4142" s="4" t="str">
        <f ca="1">IFERROR(__xludf.DUMMYFUNCTION("""COMPUTED_VALUE"""),"मदान्मदग्रे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॥नैषधीयचरितम्१६.३२ ॥")</f>
        <v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॥नैषधीयचरितम्१६.३२ ॥</v>
      </c>
      <c r="B4142" s="4" t="s">
        <v>2</v>
      </c>
      <c r="C4142" s="4"/>
    </row>
    <row r="4143" spans="1:3" ht="24" customHeight="1">
      <c r="A4143" s="4" t="str">
        <f ca="1">IFERROR(__xludf.DUMMYFUNCTION("""COMPUTED_VALUE"""),"बभार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॥नैषधीयचरितम्१६.३३ ॥")</f>
        <v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॥नैषधीयचरितम्१६.३३ ॥</v>
      </c>
      <c r="B4143" s="4" t="s">
        <v>5</v>
      </c>
      <c r="C4143" s="4"/>
    </row>
    <row r="4144" spans="1:3" ht="24" customHeight="1">
      <c r="A4144" s="4" t="str">
        <f ca="1">IFERROR(__xludf.DUMMYFUNCTION("""COMPUTED_VALUE"""),"न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॥नैषधीयचरितम्१६.३४ ॥")</f>
        <v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॥नैषधीयचरितम्१६.३४ ॥</v>
      </c>
      <c r="B4144" s="4" t="s">
        <v>13</v>
      </c>
      <c r="C4144" s="4"/>
    </row>
    <row r="4145" spans="1:3" ht="24" customHeight="1">
      <c r="A4145" s="4" t="str">
        <f ca="1">IFERROR(__xludf.DUMMYFUNCTION("""COMPUTED_VALUE"""),"करग्रहे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॥नैषधीयचरितम्१६.३५ ॥")</f>
        <v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॥नैषधीयचरितम्१६.३५ ॥</v>
      </c>
      <c r="B4145" s="4" t="s">
        <v>7</v>
      </c>
      <c r="C4145" s="4"/>
    </row>
    <row r="4146" spans="1:3" ht="24" customHeight="1">
      <c r="A4146" s="4" t="str">
        <f ca="1">IFERROR(__xludf.DUMMYFUNCTION("""COMPUTED_VALUE"""),"स्थिरा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॥नैषधीयचरितम्१६.३६ ॥")</f>
        <v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॥नैषधीयचरितम्१६.३६ ॥</v>
      </c>
      <c r="B4146" s="4" t="s">
        <v>18</v>
      </c>
      <c r="C4146" s="4"/>
    </row>
    <row r="4147" spans="1:3" ht="24" customHeight="1">
      <c r="A4147" s="4" t="str">
        <f ca="1">IFERROR(__xludf.DUMMYFUNCTION("""COMPUTED_VALUE"""),"प्रियांशुकग्रन्थिनिबद्धवाससं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॥नैषधीयचरितम्१६.३७ ॥")</f>
        <v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॥नैषधीयचरितम्१६.३७ ॥</v>
      </c>
      <c r="B4147" s="4" t="s">
        <v>4</v>
      </c>
      <c r="C4147" s="4"/>
    </row>
    <row r="4148" spans="1:3" ht="24" customHeight="1">
      <c r="A4148" s="4" t="str">
        <f ca="1">IFERROR(__xludf.DUMMYFUNCTION("""COMPUTED_VALUE"""),"ध्रुवावलोकाय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॥नैषधीयचरितम्१६.३८ ॥")</f>
        <v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॥नैषधीयचरितम्१६.३८ ॥</v>
      </c>
      <c r="B4148" s="4" t="s">
        <v>2</v>
      </c>
      <c r="C4148" s="4"/>
    </row>
    <row r="4149" spans="1:3" ht="24" customHeight="1">
      <c r="A4149" s="4" t="str">
        <f ca="1">IFERROR(__xludf.DUMMYFUNCTION("""COMPUTED_VALUE"""),"धवेन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॥नैषधीयचरितम्१६.३९ ॥")</f>
        <v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॥नैषधीयचरितम्१६.३९ ॥</v>
      </c>
      <c r="B4149" s="4" t="s">
        <v>2</v>
      </c>
      <c r="C4149" s="4"/>
    </row>
    <row r="4150" spans="1:3" ht="24" customHeight="1">
      <c r="A4150" s="4" t="str">
        <f ca="1">IFERROR(__xludf.DUMMYFUNCTION("""COMPUTED_VALUE"""),"प्रसूनता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॥नैषधीयचरितम्१६.४ ॥")</f>
        <v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॥नैषधीयचरितम्१६.४ ॥</v>
      </c>
      <c r="B4150" s="4" t="s">
        <v>2</v>
      </c>
      <c r="C4150" s="4"/>
    </row>
    <row r="4151" spans="1:3" ht="24" customHeight="1">
      <c r="A4151" s="4" t="str">
        <f ca="1">IFERROR(__xludf.DUMMYFUNCTION("""COMPUTED_VALUE"""),"तया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॥नैषधीयचरितम्१६.४१ ॥")</f>
        <v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॥नैषधीयचरितम्१६.४१ ॥</v>
      </c>
      <c r="B4151" s="4" t="s">
        <v>2</v>
      </c>
      <c r="C4151" s="4"/>
    </row>
    <row r="4152" spans="1:3" ht="24" customHeight="1">
      <c r="A4152" s="4" t="str">
        <f ca="1">IFERROR(__xludf.DUMMYFUNCTION("""COMPUTED_VALUE"""),"अपह्नुतः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॥नैषधीयचरितम्१६.४२ ॥")</f>
        <v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॥नैषधीयचरितम्१६.४२ ॥</v>
      </c>
      <c r="B4152" s="4" t="s">
        <v>1</v>
      </c>
      <c r="C4152" s="4"/>
    </row>
    <row r="4153" spans="1:3" ht="24" customHeight="1">
      <c r="A4153" s="4" t="str">
        <f ca="1">IFERROR(__xludf.DUMMYFUNCTION("""COMPUTED_VALUE"""),"बहूनि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॥नैषधीयचरितम्१६.४३ ॥")</f>
        <v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॥नैषधीयचरितम्१६.४३ ॥</v>
      </c>
      <c r="B4153" s="4" t="s">
        <v>5</v>
      </c>
      <c r="C4153" s="4"/>
    </row>
    <row r="4154" spans="1:3" ht="24" customHeight="1">
      <c r="A4154" s="4" t="str">
        <f ca="1">IFERROR(__xludf.DUMMYFUNCTION("""COMPUTED_VALUE"""),"बभूव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॥नैषधीयचरितम्१६.४४ ॥")</f>
        <v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॥नैषधीयचरितम्१६.४४ ॥</v>
      </c>
      <c r="B4154" s="4" t="s">
        <v>2</v>
      </c>
      <c r="C4154" s="4"/>
    </row>
    <row r="4155" spans="1:3" ht="24" customHeight="1">
      <c r="A4155" s="4" t="str">
        <f ca="1">IFERROR(__xludf.DUMMYFUNCTION("""COMPUTED_VALUE"""),"दमस्वसुः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॥नैषधीयचरितम्१६.४५ ॥")</f>
        <v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॥नैषधीयचरितम्१६.४५ ॥</v>
      </c>
      <c r="B4155" s="4" t="s">
        <v>2</v>
      </c>
      <c r="C4155" s="4"/>
    </row>
    <row r="4156" spans="1:3" ht="24" customHeight="1">
      <c r="A4156" s="4" t="str">
        <f ca="1">IFERROR(__xludf.DUMMYFUNCTION("""COMPUTED_VALUE"""),"सकौतुकागारमगात्पुरंध्रिभिः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॥नैषधीयचरितम्१६.४६ ॥")</f>
        <v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॥नैषधीयचरितम्१६.४६ ॥</v>
      </c>
      <c r="B4156" s="4" t="s">
        <v>1</v>
      </c>
      <c r="C4156" s="4"/>
    </row>
    <row r="4157" spans="1:3" ht="24" customHeight="1">
      <c r="A4157" s="4" t="str">
        <f ca="1">IFERROR(__xludf.DUMMYFUNCTION("""COMPUTED_VALUE"""),"तथाशनाय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॥नैषधीयचरितम्१६.४७ ॥")</f>
        <v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॥नैषधीयचरितम्१६.४७ ॥</v>
      </c>
      <c r="B4157" s="4" t="s">
        <v>24</v>
      </c>
      <c r="C4157" s="4"/>
    </row>
    <row r="4158" spans="1:3" ht="24" customHeight="1">
      <c r="A4158" s="4" t="str">
        <f ca="1">IFERROR(__xludf.DUMMYFUNCTION("""COMPUTED_VALUE"""),"कटाक्षणाज्जन्यजनैर्निजप्रजाः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॥नैषधीयचरितम्१६.४८ ॥")</f>
        <v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॥नैषधीयचरितम्१६.४८ ॥</v>
      </c>
      <c r="B4158" s="4" t="s">
        <v>16</v>
      </c>
      <c r="C4158" s="4"/>
    </row>
    <row r="4159" spans="1:3" ht="24" customHeight="1">
      <c r="A4159" s="4" t="str">
        <f ca="1">IFERROR(__xludf.DUMMYFUNCTION("""COMPUTED_VALUE"""),"स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॥नैषधीयचरितम्१६.४९ ॥")</f>
        <v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॥नैषधीयचरितम्१६.४९ ॥</v>
      </c>
      <c r="B4159" s="4" t="s">
        <v>1</v>
      </c>
      <c r="C4159" s="4"/>
    </row>
    <row r="4160" spans="1:3" ht="24" customHeight="1">
      <c r="A4160" s="4" t="str">
        <f ca="1">IFERROR(__xludf.DUMMYFUNCTION("""COMPUTED_VALUE"""),"मुखेन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॥नैषधीयचरितम्१६.५ ॥")</f>
        <v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॥नैषधीयचरितम्१६.५ ॥</v>
      </c>
      <c r="B4160" s="4" t="s">
        <v>2</v>
      </c>
      <c r="C4160" s="4"/>
    </row>
    <row r="4161" spans="1:3" ht="24" customHeight="1">
      <c r="A4161" s="4" t="str">
        <f ca="1">IFERROR(__xludf.DUMMYFUNCTION("""COMPUTED_VALUE"""),"युवामिमे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॥नैषधीयचरितम्१६.५१ ॥")</f>
        <v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॥नैषधीयचरितम्१६.५१ ॥</v>
      </c>
      <c r="B4161" s="4" t="s">
        <v>13</v>
      </c>
      <c r="C4161" s="4"/>
    </row>
    <row r="4162" spans="1:3" ht="24" customHeight="1">
      <c r="A4162" s="4" t="str">
        <f ca="1">IFERROR(__xludf.DUMMYFUNCTION("""COMPUTED_VALUE"""),"नलाय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॥नैषधीयचरितम्१६.५२ ॥")</f>
        <v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॥नैषधीयचरितम्१६.५२ ॥</v>
      </c>
      <c r="B4162" s="4" t="s">
        <v>18</v>
      </c>
      <c r="C4162" s="4"/>
    </row>
    <row r="4163" spans="1:3" ht="24" customHeight="1">
      <c r="A4163" s="4" t="str">
        <f ca="1">IFERROR(__xludf.DUMMYFUNCTION("""COMPUTED_VALUE"""),"पुरःस्थलाङ्गूलमदात्खला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॥नैषधीयचरितम्१६.५३ ॥")</f>
        <v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॥नैषधीयचरितम्१६.५३ ॥</v>
      </c>
      <c r="B4163" s="4" t="s">
        <v>17</v>
      </c>
      <c r="C4163" s="4"/>
    </row>
    <row r="4164" spans="1:3" ht="24" customHeight="1">
      <c r="A4164" s="4" t="str">
        <f ca="1">IFERROR(__xludf.DUMMYFUNCTION("""COMPUTED_VALUE"""),"स्वयं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॥नैषधीयचरितम्१६.५४ ॥")</f>
        <v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॥नैषधीयचरितम्१६.५४ ॥</v>
      </c>
      <c r="B4164" s="4" t="s">
        <v>11</v>
      </c>
      <c r="C4164" s="4"/>
    </row>
    <row r="4165" spans="1:3" ht="24" customHeight="1">
      <c r="A4165" s="4" t="str">
        <f ca="1">IFERROR(__xludf.DUMMYFUNCTION("""COMPUTED_VALUE"""),"अथोपचारोद्धुरचारुलोचना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॥नैषधीयचरितम्१६.५५ ॥")</f>
        <v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॥नैषधीयचरितम्१६.५५ ॥</v>
      </c>
      <c r="B4165" s="4" t="s">
        <v>24</v>
      </c>
      <c r="C4165" s="4"/>
    </row>
    <row r="4166" spans="1:3" ht="24" customHeight="1">
      <c r="A4166" s="4" t="str">
        <f ca="1">IFERROR(__xludf.DUMMYFUNCTION("""COMPUTED_VALUE"""),"तिरोवलद्वक्त्रसरोजनालया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॥नैषधीयचरितम्१६.५६ ॥")</f>
        <v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॥नैषधीयचरितम्१६.५६ ॥</v>
      </c>
      <c r="B4166" s="4" t="s">
        <v>2</v>
      </c>
      <c r="C4166" s="4"/>
    </row>
    <row r="4167" spans="1:3" ht="24" customHeight="1">
      <c r="A4167" s="4" t="str">
        <f ca="1">IFERROR(__xludf.DUMMYFUNCTION("""COMPUTED_VALUE"""),"कृतं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॥नैषधीयचरितम्१६.५७ ॥")</f>
        <v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॥नैषधीयचरितम्१६.५७ ॥</v>
      </c>
      <c r="B4167" s="4" t="s">
        <v>11</v>
      </c>
      <c r="C4167" s="4"/>
    </row>
    <row r="4168" spans="1:3" ht="24" customHeight="1">
      <c r="A4168" s="4" t="str">
        <f ca="1">IFERROR(__xludf.DUMMYFUNCTION("""COMPUTED_VALUE"""),"जलं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॥नैषधीयचरितम्१६.५८ ॥")</f>
        <v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॥नैषधीयचरितम्१६.५८ ॥</v>
      </c>
      <c r="B4168" s="4" t="s">
        <v>7</v>
      </c>
      <c r="C4168" s="4"/>
    </row>
    <row r="4169" spans="1:3" ht="24" customHeight="1">
      <c r="A4169" s="4" t="str">
        <f ca="1">IFERROR(__xludf.DUMMYFUNCTION("""COMPUTED_VALUE"""),"युवानमालोक्य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॥नैषधीयचरितम्१६.५९ ॥")</f>
        <v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॥नैषधीयचरितम्१६.५९ ॥</v>
      </c>
      <c r="B4169" s="4" t="s">
        <v>2</v>
      </c>
      <c r="C4169" s="4"/>
    </row>
    <row r="4170" spans="1:3" ht="24" customHeight="1">
      <c r="A4170" s="4" t="str">
        <f ca="1">IFERROR(__xludf.DUMMYFUNCTION("""COMPUTED_VALUE"""),"नतभ्रुवः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॥नैषधीयचरितम्१६.६ ॥")</f>
        <v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॥नैषधीयचरितम्१६.६ ॥</v>
      </c>
      <c r="B4170" s="4" t="s">
        <v>2</v>
      </c>
      <c r="C4170" s="4"/>
    </row>
    <row r="4171" spans="1:3" ht="24" customHeight="1">
      <c r="A4171" s="4" t="str">
        <f ca="1">IFERROR(__xludf.DUMMYFUNCTION("""COMPUTED_VALUE"""),"मुखं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॥नैषधीयचरितम्१६.६१ ॥")</f>
        <v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॥नैषधीयचरितम्१६.६१ ॥</v>
      </c>
      <c r="B4171" s="4" t="s">
        <v>19</v>
      </c>
      <c r="C4171" s="4"/>
    </row>
    <row r="4172" spans="1:3" ht="24" customHeight="1">
      <c r="A4172" s="4" t="str">
        <f ca="1">IFERROR(__xludf.DUMMYFUNCTION("""COMPUTED_VALUE"""),"विलोक्य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॥नैषधीयचरितम्१६.६२ ॥")</f>
        <v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॥नैषधीयचरितम्१६.६२ ॥</v>
      </c>
      <c r="B4172" s="4" t="s">
        <v>1</v>
      </c>
      <c r="C4172" s="4"/>
    </row>
    <row r="4173" spans="1:3" ht="24" customHeight="1">
      <c r="A4173" s="4" t="str">
        <f ca="1">IFERROR(__xludf.DUMMYFUNCTION("""COMPUTED_VALUE"""),"स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॥नैषधीयचरितम्१६.६३ ॥")</f>
        <v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॥नैषधीयचरितम्१६.६३ ॥</v>
      </c>
      <c r="B4173" s="4" t="s">
        <v>4</v>
      </c>
      <c r="C4173" s="4"/>
    </row>
    <row r="4174" spans="1:3" ht="24" customHeight="1">
      <c r="A4174" s="4" t="str">
        <f ca="1">IFERROR(__xludf.DUMMYFUNCTION("""COMPUTED_VALUE"""),"अवच्छटा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॥नैषधीयचरितम्१६.६४ ॥")</f>
        <v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॥नैषधीयचरितम्१६.६४ ॥</v>
      </c>
      <c r="B4174" s="4" t="s">
        <v>12</v>
      </c>
      <c r="C4174" s="4"/>
    </row>
    <row r="4175" spans="1:3" ht="24" customHeight="1">
      <c r="A4175" s="4" t="str">
        <f ca="1">IFERROR(__xludf.DUMMYFUNCTION("""COMPUTED_VALUE"""),"पपौ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॥नैषधीयचरितम्१६.६५ ॥")</f>
        <v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॥नैषधीयचरितम्१६.६५ ॥</v>
      </c>
      <c r="B4175" s="4" t="s">
        <v>4</v>
      </c>
      <c r="C4175" s="4"/>
    </row>
    <row r="4176" spans="1:3" ht="24" customHeight="1">
      <c r="A4176" s="4" t="str">
        <f ca="1">IFERROR(__xludf.DUMMYFUNCTION("""COMPUTED_VALUE"""),"हरिन्मणेर्भोजनभाजनेऽर्पिते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॥नैषधीयचरितम्१६.६६ ॥")</f>
        <v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॥नैषधीयचरितम्१६.६६ ॥</v>
      </c>
      <c r="B4176" s="4" t="s">
        <v>2</v>
      </c>
      <c r="C4176" s="4"/>
    </row>
    <row r="4177" spans="1:3" ht="24" customHeight="1">
      <c r="A4177" s="4" t="str">
        <f ca="1">IFERROR(__xludf.DUMMYFUNCTION("""COMPUTED_VALUE"""),"ध्रुवं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॥नैषधीयचरितम्१६.६७ ॥")</f>
        <v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॥नैषधीयचरितम्१६.६७ ॥</v>
      </c>
      <c r="B4177" s="4" t="s">
        <v>17</v>
      </c>
      <c r="C4177" s="4"/>
    </row>
    <row r="4178" spans="1:3" ht="24" customHeight="1">
      <c r="A4178" s="4" t="str">
        <f ca="1">IFERROR(__xludf.DUMMYFUNCTION("""COMPUTED_VALUE"""),"अमी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॥नैषधीयचरितम्१६.६८ ॥")</f>
        <v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॥नैषधीयचरितम्१६.६८ ॥</v>
      </c>
      <c r="B4178" s="4" t="s">
        <v>1</v>
      </c>
      <c r="C4178" s="4"/>
    </row>
    <row r="4179" spans="1:3" ht="24" customHeight="1">
      <c r="A4179" s="4" t="str">
        <f ca="1">IFERROR(__xludf.DUMMYFUNCTION("""COMPUTED_VALUE"""),"वयोवशस्तोकविकस्वरस्तनीं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॥नैषधीयचरितम्१६.६९ ॥")</f>
        <v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॥नैषधीयचरितम्१६.६९ ॥</v>
      </c>
      <c r="B4179" s="4" t="s">
        <v>17</v>
      </c>
      <c r="C4179" s="4"/>
    </row>
    <row r="4180" spans="1:3" ht="24" customHeight="1">
      <c r="A4180" s="4" t="str">
        <f ca="1">IFERROR(__xludf.DUMMYFUNCTION("""COMPUTED_VALUE"""),"यदादिहेतुः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॥नैषधीयचरितम्१६.७ ॥")</f>
        <v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॥नैषधीयचरितम्१६.७ ॥</v>
      </c>
      <c r="B4180" s="4" t="s">
        <v>2</v>
      </c>
      <c r="C4180" s="4"/>
    </row>
    <row r="4181" spans="1:3" ht="24" customHeight="1">
      <c r="A4181" s="4" t="str">
        <f ca="1">IFERROR(__xludf.DUMMYFUNCTION("""COMPUTED_VALUE"""),"यदष्यपीता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॥नैषधीयचरितम्१६.७१ ॥")</f>
        <v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॥नैषधीयचरितम्१६.७१ ॥</v>
      </c>
      <c r="B4181" s="4" t="s">
        <v>18</v>
      </c>
      <c r="C4181" s="4"/>
    </row>
    <row r="4182" spans="1:3" ht="24" customHeight="1">
      <c r="A4182" s="4" t="str">
        <f ca="1">IFERROR(__xludf.DUMMYFUNCTION("""COMPUTED_VALUE"""),"अबोधि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॥नैषधीयचरितम्१६.७२ ॥")</f>
        <v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॥नैषधीयचरितम्१६.७२ ॥</v>
      </c>
      <c r="B4182" s="4" t="s">
        <v>7</v>
      </c>
      <c r="C4182" s="4"/>
    </row>
    <row r="4183" spans="1:3" ht="24" customHeight="1">
      <c r="A4183" s="4" t="str">
        <f ca="1">IFERROR(__xludf.DUMMYFUNCTION("""COMPUTED_VALUE"""),"न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॥नैषधीयचरितम्१६.७३ ॥")</f>
        <v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॥नैषधीयचरितम्१६.७३ ॥</v>
      </c>
      <c r="B4183" s="4" t="s">
        <v>6</v>
      </c>
      <c r="C4183" s="4"/>
    </row>
    <row r="4184" spans="1:3" ht="24" customHeight="1">
      <c r="A4184" s="4" t="str">
        <f ca="1">IFERROR(__xludf.DUMMYFUNCTION("""COMPUTED_VALUE"""),"वियोगिदाहाय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॥नैषधीयचरितम्१६.७४ ॥")</f>
        <v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॥नैषधीयचरितम्१६.७४ ॥</v>
      </c>
      <c r="B4184" s="4" t="s">
        <v>2</v>
      </c>
      <c r="C4184" s="4"/>
    </row>
    <row r="4185" spans="1:3" ht="24" customHeight="1">
      <c r="A4185" s="4" t="str">
        <f ca="1">IFERROR(__xludf.DUMMYFUNCTION("""COMPUTED_VALUE"""),"नवौ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॥नैषधीयचरितम्१६.७५ ॥")</f>
        <v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॥नैषधीयचरितम्१६.७५ ॥</v>
      </c>
      <c r="B4185" s="4" t="s">
        <v>1</v>
      </c>
      <c r="C4185" s="4"/>
    </row>
    <row r="4186" spans="1:3" ht="24" customHeight="1">
      <c r="A4186" s="4" t="str">
        <f ca="1">IFERROR(__xludf.DUMMYFUNCTION("""COMPUTED_VALUE"""),"व्यधुस्तमां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॥नैषधीयचरितम्१६.७६ ॥")</f>
        <v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॥नैषधीयचरितम्१६.७६ ॥</v>
      </c>
      <c r="B4186" s="4" t="s">
        <v>9</v>
      </c>
      <c r="C4186" s="4"/>
    </row>
    <row r="4187" spans="1:3" ht="24" customHeight="1">
      <c r="A4187" s="4" t="str">
        <f ca="1">IFERROR(__xludf.DUMMYFUNCTION("""COMPUTED_VALUE"""),"परस्पराकूतजदूतकृत्ययोरनङ्गमाराद्धुमपि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॥नैषधीयचरितम्१६.७७ ॥")</f>
        <v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॥नैषधीयचरितम्१६.७७ ॥</v>
      </c>
      <c r="B4187" s="4" t="s">
        <v>5</v>
      </c>
      <c r="C4187" s="4"/>
    </row>
    <row r="4188" spans="1:3" ht="24" customHeight="1">
      <c r="A4188" s="4" t="str">
        <f ca="1">IFERROR(__xludf.DUMMYFUNCTION("""COMPUTED_VALUE"""),"अहर्निशा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॥नैषधीयचरितम्१६.७८ ॥")</f>
        <v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॥नैषधीयचरितम्१६.७८ ॥</v>
      </c>
      <c r="B4188" s="4" t="s">
        <v>11</v>
      </c>
      <c r="C4188" s="4"/>
    </row>
    <row r="4189" spans="1:3" ht="24" customHeight="1">
      <c r="A4189" s="4" t="str">
        <f ca="1">IFERROR(__xludf.DUMMYFUNCTION("""COMPUTED_VALUE"""),"क्रमेण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॥नैषधीयचरितम्१६.७९ ॥")</f>
        <v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॥नैषधीयचरितम्१६.७९ ॥</v>
      </c>
      <c r="B4189" s="4" t="s">
        <v>11</v>
      </c>
      <c r="C4189" s="4"/>
    </row>
    <row r="4190" spans="1:3" ht="24" customHeight="1">
      <c r="A4190" s="4" t="str">
        <f ca="1">IFERROR(__xludf.DUMMYFUNCTION("""COMPUTED_VALUE"""),"कियत्त्यजन्नोदनमानयन्कियत्करस्य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॥नैषधीयचरितम्१६.८ ॥")</f>
        <v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॥नैषधीयचरितम्१६.८ ॥</v>
      </c>
      <c r="B4190" s="4" t="s">
        <v>1</v>
      </c>
      <c r="C4190" s="4"/>
    </row>
    <row r="4191" spans="1:3" ht="24" customHeight="1">
      <c r="A4191" s="4" t="str">
        <f ca="1">IFERROR(__xludf.DUMMYFUNCTION("""COMPUTED_VALUE"""),"यथामिषे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॥नैषधीयचरितम्१६.८१ ॥")</f>
        <v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॥नैषधीयचरितम्१६.८१ ॥</v>
      </c>
      <c r="B4191" s="4" t="s">
        <v>2</v>
      </c>
      <c r="C4191" s="4"/>
    </row>
    <row r="4192" spans="1:3" ht="24" customHeight="1">
      <c r="A4192" s="4" t="str">
        <f ca="1">IFERROR(__xludf.DUMMYFUNCTION("""COMPUTED_VALUE"""),"नखेन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॥नैषधीयचरितम्१६.८२ ॥")</f>
        <v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॥नैषधीयचरितम्१६.८२ ॥</v>
      </c>
      <c r="B4192" s="4" t="s">
        <v>0</v>
      </c>
      <c r="C4192" s="4"/>
    </row>
    <row r="4193" spans="1:3" ht="24" customHeight="1">
      <c r="A4193" s="4" t="str">
        <f ca="1">IFERROR(__xludf.DUMMYFUNCTION("""COMPUTED_VALUE"""),"अनेकसंयोजनया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॥नैषधीयचरितम्१६.८३ ॥")</f>
        <v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॥नैषधीयचरितम्१६.८३ ॥</v>
      </c>
      <c r="B4193" s="4" t="s">
        <v>0</v>
      </c>
      <c r="C4193" s="4"/>
    </row>
    <row r="4194" spans="1:3" ht="24" customHeight="1">
      <c r="A4194" s="4" t="str">
        <f ca="1">IFERROR(__xludf.DUMMYFUNCTION("""COMPUTED_VALUE"""),"पिपासुरस्मीति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॥नैषधीयचरितम्१६.८४ ॥")</f>
        <v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॥नैषधीयचरितम्१६.८४ ॥</v>
      </c>
      <c r="B4194" s="4" t="s">
        <v>2</v>
      </c>
      <c r="C4194" s="4"/>
    </row>
    <row r="4195" spans="1:3" ht="24" customHeight="1">
      <c r="A4195" s="4" t="str">
        <f ca="1">IFERROR(__xludf.DUMMYFUNCTION("""COMPUTED_VALUE"""),"युवा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॥नैषधीयचरितम्१६.८५ ॥")</f>
        <v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॥नैषधीयचरितम्१६.८५ ॥</v>
      </c>
      <c r="B4195" s="4" t="s">
        <v>0</v>
      </c>
      <c r="C4195" s="4"/>
    </row>
    <row r="4196" spans="1:3" ht="24" customHeight="1">
      <c r="A4196" s="4" t="str">
        <f ca="1">IFERROR(__xludf.DUMMYFUNCTION("""COMPUTED_VALUE"""),"प्रलेहजस्नेहधृतानुबिम्बनां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॥नैषधीयचरितम्१६.८६ ॥")</f>
        <v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॥नैषधीयचरितम्१६.८६ ॥</v>
      </c>
      <c r="B4196" s="4" t="s">
        <v>14</v>
      </c>
      <c r="C4196" s="4"/>
    </row>
    <row r="4197" spans="1:3" ht="24" customHeight="1">
      <c r="A4197" s="4" t="str">
        <f ca="1">IFERROR(__xludf.DUMMYFUNCTION("""COMPUTED_VALUE"""),"अराधि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॥नैषधीयचरितम्१६.८७ ॥")</f>
        <v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॥नैषधीयचरितम्१६.८७ ॥</v>
      </c>
      <c r="B4197" s="4" t="s">
        <v>2</v>
      </c>
      <c r="C4197" s="4"/>
    </row>
    <row r="4198" spans="1:3" ht="24" customHeight="1">
      <c r="A4198" s="4" t="str">
        <f ca="1">IFERROR(__xludf.DUMMYFUNCTION("""COMPUTED_VALUE"""),"कृतार्थनश्चाटुभिरिङ्गितैः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॥नैषधीयचरितम्१६.८८ ॥")</f>
        <v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॥नैषधीयचरितम्१६.८८ ॥</v>
      </c>
      <c r="B4198" s="4" t="s">
        <v>18</v>
      </c>
      <c r="C4198" s="4"/>
    </row>
    <row r="4199" spans="1:3" ht="24" customHeight="1">
      <c r="A4199" s="4" t="str">
        <f ca="1">IFERROR(__xludf.DUMMYFUNCTION("""COMPUTED_VALUE"""),"अकारि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॥नैषधीयचरितम्१६.८९ ॥")</f>
        <v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॥नैषधीयचरितम्१६.८९ ॥</v>
      </c>
      <c r="B4199" s="4" t="s">
        <v>8</v>
      </c>
      <c r="C4199" s="4"/>
    </row>
    <row r="4200" spans="1:3" ht="24" customHeight="1">
      <c r="A4200" s="4" t="str">
        <f ca="1">IFERROR(__xludf.DUMMYFUNCTION("""COMPUTED_VALUE"""),"त्वया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॥नैषधीयचरितम्१६.९ ॥")</f>
        <v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॥नैषधीयचरितम्१६.९ ॥</v>
      </c>
      <c r="B4200" s="4" t="s">
        <v>4</v>
      </c>
      <c r="C4200" s="4"/>
    </row>
    <row r="4201" spans="1:3" ht="24" customHeight="1">
      <c r="A4201" s="4" t="str">
        <f ca="1">IFERROR(__xludf.DUMMYFUNCTION("""COMPUTED_VALUE"""),"सरोजकोशाभिनयेन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॥नैषधीयचरितम्१६.९१ ॥")</f>
        <v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॥नैषधीयचरितम्१६.९१ ॥</v>
      </c>
      <c r="B4201" s="4" t="s">
        <v>1</v>
      </c>
      <c r="C4201" s="4"/>
    </row>
    <row r="4202" spans="1:3" ht="24" customHeight="1">
      <c r="A4202" s="4" t="str">
        <f ca="1">IFERROR(__xludf.DUMMYFUNCTION("""COMPUTED_VALUE"""),"इयं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॥नैषधीयचरितम्१६.९२ ॥")</f>
        <v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॥नैषधीयचरितम्१६.९२ ॥</v>
      </c>
      <c r="B4202" s="4" t="s">
        <v>5</v>
      </c>
      <c r="C4202" s="4"/>
    </row>
    <row r="4203" spans="1:3" ht="24" customHeight="1">
      <c r="A4203" s="4" t="str">
        <f ca="1">IFERROR(__xludf.DUMMYFUNCTION("""COMPUTED_VALUE"""),"अमीभिराकण्ठमभोजि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॥नैषधीयचरितम्१६.९३ ॥")</f>
        <v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॥नैषधीयचरितम्१६.९३ ॥</v>
      </c>
      <c r="B4203" s="4" t="s">
        <v>20</v>
      </c>
      <c r="C4203" s="4"/>
    </row>
    <row r="4204" spans="1:3" ht="24" customHeight="1">
      <c r="A4204" s="4" t="str">
        <f ca="1">IFERROR(__xludf.DUMMYFUNCTION("""COMPUTED_VALUE"""),"तदन्तरन्तः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॥नैषधीयचरितम्१६.९४ ॥")</f>
        <v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॥नैषधीयचरितम्१६.९४ ॥</v>
      </c>
      <c r="B4204" s="4" t="s">
        <v>2</v>
      </c>
      <c r="C4204" s="4"/>
    </row>
    <row r="4205" spans="1:3" ht="24" customHeight="1">
      <c r="A4205" s="4" t="str">
        <f ca="1">IFERROR(__xludf.DUMMYFUNCTION("""COMPUTED_VALUE"""),"ददासि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॥नैषधीयचरितम्१६.९५ ॥")</f>
        <v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॥नैषधीयचरितम्१६.९५ ॥</v>
      </c>
      <c r="B4205" s="4" t="s">
        <v>2</v>
      </c>
      <c r="C4205" s="4"/>
    </row>
    <row r="4206" spans="1:3" ht="24" customHeight="1">
      <c r="A4206" s="4" t="str">
        <f ca="1">IFERROR(__xludf.DUMMYFUNCTION("""COMPUTED_VALUE"""),"समं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॥नैषधीयचरितम्१६.९६ ॥")</f>
        <v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॥नैषधीयचरितम्१६.९६ ॥</v>
      </c>
      <c r="B4206" s="4" t="s">
        <v>4</v>
      </c>
      <c r="C4206" s="4"/>
    </row>
    <row r="4207" spans="1:3" ht="24" customHeight="1">
      <c r="A4207" s="4" t="str">
        <f ca="1">IFERROR(__xludf.DUMMYFUNCTION("""COMPUTED_VALUE"""),"सखीं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॥नैषधीयचरितम्१६.९७ ॥")</f>
        <v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॥नैषधीयचरितम्१६.९७ ॥</v>
      </c>
      <c r="B4207" s="4" t="s">
        <v>1</v>
      </c>
      <c r="C4207" s="4"/>
    </row>
    <row r="4208" spans="1:3" ht="24" customHeight="1">
      <c r="A4208" s="4" t="str">
        <f ca="1">IFERROR(__xludf.DUMMYFUNCTION("""COMPUTED_VALUE"""),"समाप्तिलिप्येव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॥नैषधीयचरितम्१६.९८ ॥")</f>
        <v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॥नैषधीयचरितम्१६.९८ ॥</v>
      </c>
      <c r="B4208" s="4" t="s">
        <v>5</v>
      </c>
      <c r="C4208" s="4"/>
    </row>
    <row r="4209" spans="1:3" ht="24" customHeight="1">
      <c r="A4209" s="4" t="str">
        <f ca="1">IFERROR(__xludf.DUMMYFUNCTION("""COMPUTED_VALUE"""),"चुचुम्ब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॥नैषधीयचरितम्१६.९९ ॥")</f>
        <v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॥नैषधीयचरितम्१६.९९ ॥</v>
      </c>
      <c r="B4209" s="4" t="s">
        <v>9</v>
      </c>
      <c r="C4209" s="4"/>
    </row>
    <row r="4210" spans="1:3" ht="24" customHeight="1">
      <c r="A4210" s="4" t="str">
        <f ca="1">IFERROR(__xludf.DUMMYFUNCTION("""COMPUTED_VALUE"""),"घनैरमीषां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॥नैषधीयचरितम्१६.१ ॥ ")</f>
        <v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॥नैषधीयचरितम्१६.१ ॥ </v>
      </c>
      <c r="B4210" s="4" t="s">
        <v>6</v>
      </c>
      <c r="C4210" s="4"/>
    </row>
    <row r="4211" spans="1:3" ht="24" customHeight="1">
      <c r="A4211" s="4" t="str">
        <f ca="1">IFERROR(__xludf.DUMMYFUNCTION("""COMPUTED_VALUE"""),"कियद्बहु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॥नैषधीयचरितम्१६.१०१ ॥ ")</f>
        <v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॥नैषधीयचरितम्१६.१०१ ॥ </v>
      </c>
      <c r="B4211" s="4" t="s">
        <v>18</v>
      </c>
      <c r="C4211" s="4"/>
    </row>
    <row r="4212" spans="1:3" ht="24" customHeight="1">
      <c r="A4212" s="4" t="str">
        <f ca="1">IFERROR(__xludf.DUMMYFUNCTION("""COMPUTED_VALUE"""),"विदग्धबालेङ्गितगुप्तिचातुरी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॥नैषधीयचरितम्१६.१०२ ॥")</f>
        <v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॥नैषधीयचरितम्१६.१०२ ॥</v>
      </c>
      <c r="B4212" s="4" t="s">
        <v>2</v>
      </c>
      <c r="C4212" s="4"/>
    </row>
    <row r="4213" spans="1:3" ht="24" customHeight="1">
      <c r="A4213" s="4" t="str">
        <f ca="1">IFERROR(__xludf.DUMMYFUNCTION("""COMPUTED_VALUE"""),"घृतप्लुते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॥नैषधीयचरितम्१६.१०३ ॥")</f>
        <v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॥नैषधीयचरितम्१६.१०३ ॥</v>
      </c>
      <c r="B4213" s="4" t="s">
        <v>5</v>
      </c>
      <c r="C4213" s="4"/>
    </row>
    <row r="4214" spans="1:3" ht="24" customHeight="1">
      <c r="A4214" s="4" t="str">
        <f ca="1">IFERROR(__xludf.DUMMYFUNCTION("""COMPUTED_VALUE"""),"विलोकिते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॥नैषधीयचरितम्१६.१०४ ॥")</f>
        <v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॥नैषधीयचरितम्१६.१०४ ॥</v>
      </c>
      <c r="B4214" s="4" t="s">
        <v>19</v>
      </c>
      <c r="C4214" s="4"/>
    </row>
    <row r="4215" spans="1:3" ht="24" customHeight="1">
      <c r="A4215" s="4" t="str">
        <f ca="1">IFERROR(__xludf.DUMMYFUNCTION("""COMPUTED_VALUE"""),"निरीक्ष्य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॥नैषधीयचरितम्१६.१०५ ॥")</f>
        <v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॥नैषधीयचरितम्१६.१०५ ॥</v>
      </c>
      <c r="B4215" s="4" t="s">
        <v>5</v>
      </c>
      <c r="C4215" s="4"/>
    </row>
    <row r="4216" spans="1:3" ht="24" customHeight="1">
      <c r="A4216" s="4" t="str">
        <f ca="1">IFERROR(__xludf.DUMMYFUNCTION("""COMPUTED_VALUE"""),"पृथक्प्रकारेङ्गितशंसिताशयो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॥नैषधीयचरितम्१६.१०६ ॥")</f>
        <v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॥नैषधीयचरितम्१६.१०६ ॥</v>
      </c>
      <c r="B4216" s="4" t="s">
        <v>18</v>
      </c>
      <c r="C4216" s="4"/>
    </row>
    <row r="4217" spans="1:3" ht="24" customHeight="1">
      <c r="A4217" s="4" t="str">
        <f ca="1">IFERROR(__xludf.DUMMYFUNCTION("""COMPUTED_VALUE"""),"पयः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॥नैषधीयचरितम्१६.१०७ ॥")</f>
        <v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॥नैषधीयचरितम्१६.१०७ ॥</v>
      </c>
      <c r="B4217" s="4" t="s">
        <v>7</v>
      </c>
      <c r="C4217" s="4"/>
    </row>
    <row r="4218" spans="1:3" ht="24" customHeight="1">
      <c r="A4218" s="4" t="str">
        <f ca="1">IFERROR(__xludf.DUMMYFUNCTION("""COMPUTED_VALUE"""),"चिरं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॥नैषधीयचरितम्१६.१०८ ॥")</f>
        <v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॥नैषधीयचरितम्१६.१०८ ॥</v>
      </c>
      <c r="B4218" s="4" t="s">
        <v>5</v>
      </c>
      <c r="C4218" s="4"/>
    </row>
    <row r="4219" spans="1:3" ht="24" customHeight="1">
      <c r="A4219" s="4" t="str">
        <f ca="1">IFERROR(__xludf.DUMMYFUNCTION("""COMPUTED_VALUE"""),"न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॥नैषधीयचरितम्१६.१०९ ॥")</f>
        <v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॥नैषधीयचरितम्१६.१०९ ॥</v>
      </c>
      <c r="B4219" s="4" t="s">
        <v>12</v>
      </c>
      <c r="C4219" s="4"/>
    </row>
    <row r="4220" spans="1:3" ht="24" customHeight="1">
      <c r="A4220" s="4" t="str">
        <f ca="1">IFERROR(__xludf.DUMMYFUNCTION("""COMPUTED_VALUE"""),"मुखे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॥नैषधीयचरितम्१६.११ ॥")</f>
        <v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॥नैषधीयचरितम्१६.११ ॥</v>
      </c>
      <c r="B4220" s="4" t="s">
        <v>11</v>
      </c>
      <c r="C4220" s="4"/>
    </row>
    <row r="4221" spans="1:3" ht="24" customHeight="1">
      <c r="A4221" s="4" t="str">
        <f ca="1">IFERROR(__xludf.DUMMYFUNCTION("""COMPUTED_VALUE"""),"अमीषु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॥नैषधीयचरितम्१६.१११ ॥")</f>
        <v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॥नैषधीयचरितम्१६.१११ ॥</v>
      </c>
      <c r="B4221" s="4" t="s">
        <v>18</v>
      </c>
      <c r="C4221" s="4"/>
    </row>
    <row r="4222" spans="1:3" ht="24" customHeight="1">
      <c r="A4222" s="4" t="str">
        <f ca="1">IFERROR(__xludf.DUMMYFUNCTION("""COMPUTED_VALUE"""),"इति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॥नैषधीयचरितम्१६.११२ ॥")</f>
        <v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॥नैषधीयचरितम्१६.११२ ॥</v>
      </c>
      <c r="B4222" s="4" t="s">
        <v>8</v>
      </c>
      <c r="C4222" s="4"/>
    </row>
    <row r="4223" spans="1:3" ht="24" customHeight="1">
      <c r="A4223" s="4" t="str">
        <f ca="1">IFERROR(__xludf.DUMMYFUNCTION("""COMPUTED_VALUE"""),"उवास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॥नैषधीयचरितम्१६.११३ ॥")</f>
        <v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॥नैषधीयचरितम्१६.११३ ॥</v>
      </c>
      <c r="B4223" s="4" t="s">
        <v>1</v>
      </c>
      <c r="C4223" s="4"/>
    </row>
    <row r="4224" spans="1:3" ht="24" customHeight="1">
      <c r="A4224" s="4" t="str">
        <f ca="1">IFERROR(__xludf.DUMMYFUNCTION("""COMPUTED_VALUE"""),"परस्य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॥नैषधीयचरितम्१६.११४ ॥")</f>
        <v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॥नैषधीयचरितम्१६.११४ ॥</v>
      </c>
      <c r="B4224" s="4" t="s">
        <v>2</v>
      </c>
      <c r="C4224" s="4"/>
    </row>
    <row r="4225" spans="1:3" ht="24" customHeight="1">
      <c r="A4225" s="4" t="str">
        <f ca="1">IFERROR(__xludf.DUMMYFUNCTION("""COMPUTED_VALUE"""),"इति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॥नैषधीयचरितम्१६.११५ ॥")</f>
        <v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॥नैषधीयचरितम्१६.११५ ॥</v>
      </c>
      <c r="B4225" s="4" t="s">
        <v>15</v>
      </c>
      <c r="C4225" s="4"/>
    </row>
    <row r="4226" spans="1:3" ht="24" customHeight="1">
      <c r="A4226" s="4" t="str">
        <f ca="1">IFERROR(__xludf.DUMMYFUNCTION("""COMPUTED_VALUE"""),"तथा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॥नैषधीयचरितम्१६.११६ ॥")</f>
        <v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॥नैषधीयचरितम्१६.११६ ॥</v>
      </c>
      <c r="B4226" s="4" t="s">
        <v>7</v>
      </c>
      <c r="C4226" s="4"/>
    </row>
    <row r="4227" spans="1:3" ht="24" customHeight="1">
      <c r="A4227" s="4" t="str">
        <f ca="1">IFERROR(__xludf.DUMMYFUNCTION("""COMPUTED_VALUE"""),"निजादनुव्रज्य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॥नैषधीयचरितम्१६.११७ ॥")</f>
        <v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॥नैषधीयचरितम्१६.११७ ॥</v>
      </c>
      <c r="B4227" s="4" t="s">
        <v>0</v>
      </c>
      <c r="C4227" s="4"/>
    </row>
    <row r="4228" spans="1:3" ht="24" customHeight="1">
      <c r="A4228" s="4" t="str">
        <f ca="1">IFERROR(__xludf.DUMMYFUNCTION("""COMPUTED_VALUE"""),"पितात्मनः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॥नैषधीयचरितम्१६.११८ ॥")</f>
        <v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॥नैषधीयचरितम्१६.११८ ॥</v>
      </c>
      <c r="B4228" s="4" t="s">
        <v>18</v>
      </c>
      <c r="C4228" s="4"/>
    </row>
    <row r="4229" spans="1:3" ht="24" customHeight="1">
      <c r="A4229" s="4" t="str">
        <f ca="1">IFERROR(__xludf.DUMMYFUNCTION("""COMPUTED_VALUE"""),"प्रियः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॥नैषधीयचरितम्१६.११९ ॥")</f>
        <v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॥नैषधीयचरितम्१६.११९ ॥</v>
      </c>
      <c r="B4229" s="4" t="s">
        <v>9</v>
      </c>
      <c r="C4229" s="4"/>
    </row>
    <row r="4230" spans="1:3" ht="24" customHeight="1">
      <c r="A4230" s="4" t="str">
        <f ca="1">IFERROR(__xludf.DUMMYFUNCTION("""COMPUTED_VALUE"""),"असौ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॥नैषधीयचरितम्१६.१२० ॥")</f>
        <v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॥नैषधीयचरितम्१६.१२० ॥</v>
      </c>
      <c r="B4230" s="4" t="s">
        <v>5</v>
      </c>
      <c r="C4230" s="4"/>
    </row>
    <row r="4231" spans="1:3" ht="24" customHeight="1">
      <c r="A4231" s="4" t="str">
        <f ca="1">IFERROR(__xludf.DUMMYFUNCTION("""COMPUTED_VALUE"""),"अथारभ्य वृथाप्रायं धरित्रीधावनश्रमम् । सुराः सरस्वदुल्लोललीला जग्मुर्यथागतम् ॥नैषधीयचरितम्१७. १॥")</f>
        <v>अथारभ्य वृथाप्रायं धरित्रीधावनश्रमम् । सुराः सरस्वदुल्लोललीला जग्मुर्यथागतम् ॥नैषधीयचरितम्१७. १॥</v>
      </c>
      <c r="B4231" s="4" t="s">
        <v>2</v>
      </c>
      <c r="C4231" s="4"/>
    </row>
    <row r="4232" spans="1:3" ht="24" customHeight="1">
      <c r="A4232" s="4" t="str">
        <f ca="1">IFERROR(__xludf.DUMMYFUNCTION("""COMPUTED_VALUE"""),"भैमीं पत्ये भुवस्तस्मै चिरं चित्ते धृतामपि । विद्यामिव विनीताय न विषेदुः प्रदाय ते ॥नैषधीयचरितम्१७.२ ॥")</f>
        <v>भैमीं पत्ये भुवस्तस्मै चिरं चित्ते धृतामपि । विद्यामिव विनीताय न विषेदुः प्रदाय ते ॥नैषधीयचरितम्१७.२ ॥</v>
      </c>
      <c r="B4232" s="4" t="s">
        <v>2</v>
      </c>
      <c r="C4232" s="4"/>
    </row>
    <row r="4233" spans="1:3" ht="24" customHeight="1">
      <c r="A4233" s="4" t="str">
        <f ca="1">IFERROR(__xludf.DUMMYFUNCTION("""COMPUTED_VALUE"""),"कान्तिमन्ति विमानानि भेजिरे भासुराः सुराः । स्फटिकाद्रेस्तटानीव प्रतिबिम्बा विवस्वतः ॥नैषधीयचरितम्१७.३ ॥")</f>
        <v>कान्तिमन्ति विमानानि भेजिरे भासुराः सुराः । स्फटिकाद्रेस्तटानीव प्रतिबिम्बा विवस्वतः ॥नैषधीयचरितम्१७.३ ॥</v>
      </c>
      <c r="B4233" s="4" t="s">
        <v>2</v>
      </c>
      <c r="C4233" s="4"/>
    </row>
    <row r="4234" spans="1:3" ht="24" customHeight="1">
      <c r="A4234" s="4" t="str">
        <f ca="1">IFERROR(__xludf.DUMMYFUNCTION("""COMPUTED_VALUE"""),"जवाज्जातेन वातेन बलाकृष्टबलाहकैः । श्Vअसनात्स्वस्य शीघ्रत्वं रथैरेषामिवाकथि ॥नैषधीयचरितम्१७.४ ॥")</f>
        <v>जवाज्जातेन वातेन बलाकृष्टबलाहकैः । श्Vअसनात्स्वस्य शीघ्रत्वं रथैरेषामिवाकथि ॥नैषधीयचरितम्१७.४ ॥</v>
      </c>
      <c r="B4234" s="4" t="s">
        <v>10</v>
      </c>
      <c r="C4234" s="4"/>
    </row>
    <row r="4235" spans="1:3" ht="24" customHeight="1">
      <c r="A4235" s="4" t="str">
        <f ca="1">IFERROR(__xludf.DUMMYFUNCTION("""COMPUTED_VALUE"""),"कमाद्दवीयसां तेषां तदानीं समदृश्यत । स्पष्टमष्टगुणैश्वर्यात्पर्यवस्यन्निवाणिमा ॥नैषधीयचरितम्१७.५ ॥")</f>
        <v>कमाद्दवीयसां तेषां तदानीं समदृश्यत । स्पष्टमष्टगुणैश्वर्यात्पर्यवस्यन्निवाणिमा ॥नैषधीयचरितम्१७.५ ॥</v>
      </c>
      <c r="B4235" s="4" t="s">
        <v>12</v>
      </c>
      <c r="C4235" s="4"/>
    </row>
    <row r="4236" spans="1:3" ht="24" customHeight="1">
      <c r="A4236" s="4" t="str">
        <f ca="1">IFERROR(__xludf.DUMMYFUNCTION("""COMPUTED_VALUE"""),"ततान विद्युता तेषां रथे पीतपताकताम् । लब्धकेतुशिखोल्लेखा लेखा जलमुचः क्वचित् ॥नैषधीयचरितम्१७.६ ॥")</f>
        <v>ततान विद्युता तेषां रथे पीतपताकताम् । लब्धकेतुशिखोल्लेखा लेखा जलमुचः क्वचित् ॥नैषधीयचरितम्१७.६ ॥</v>
      </c>
      <c r="B4236" s="4" t="s">
        <v>16</v>
      </c>
      <c r="C4236" s="4"/>
    </row>
    <row r="4237" spans="1:3" ht="24" customHeight="1">
      <c r="A4237" s="4" t="str">
        <f ca="1">IFERROR(__xludf.DUMMYFUNCTION("""COMPUTED_VALUE"""),"पुनःपुनर्मिलन्तीषु पथि पाथोदपङ्क्तिषु । नाकनाथरथालम्बि बभूवाभरणं धनुः ॥नैषधीयचरितम्१७.७ ॥")</f>
        <v>पुनःपुनर्मिलन्तीषु पथि पाथोदपङ्क्तिषु । नाकनाथरथालम्बि बभूवाभरणं धनुः ॥नैषधीयचरितम्१७.७ ॥</v>
      </c>
      <c r="B4237" s="4" t="s">
        <v>1</v>
      </c>
      <c r="C4237" s="4"/>
    </row>
    <row r="4238" spans="1:3" ht="24" customHeight="1">
      <c r="A4238" s="4" t="str">
        <f ca="1">IFERROR(__xludf.DUMMYFUNCTION("""COMPUTED_VALUE"""),"जले जलदजालानां वज्रितज्रानुबिम्बनैः । जाने तत्कालजैस्तेषां जाताशनिसनाथता ॥नैषधीयचरितम्१७.८ ॥")</f>
        <v>जले जलदजालानां वज्रितज्रानुबिम्बनैः । जाने तत्कालजैस्तेषां जाताशनिसनाथता ॥नैषधीयचरितम्१७.८ ॥</v>
      </c>
      <c r="B4238" s="4" t="s">
        <v>2</v>
      </c>
      <c r="C4238" s="4"/>
    </row>
    <row r="4239" spans="1:3" ht="24" customHeight="1">
      <c r="A4239" s="4" t="str">
        <f ca="1">IFERROR(__xludf.DUMMYFUNCTION("""COMPUTED_VALUE"""),"स्फुटं सावर्णिवंश्यानां कुलच्छत्रं महीभुजाम् । चक्रे दण्डभृतश्चुम्बन्दण्डश्चण्डरुचिं क्वचित् ॥नैषधीयचरितम्१७.९ ॥")</f>
        <v>स्फुटं सावर्णिवंश्यानां कुलच्छत्रं महीभुजाम् । चक्रे दण्डभृतश्चुम्बन्दण्डश्चण्डरुचिं क्वचित् ॥नैषधीयचरितम्१७.९ ॥</v>
      </c>
      <c r="B4239" s="4" t="s">
        <v>16</v>
      </c>
      <c r="C4239" s="4"/>
    </row>
    <row r="4240" spans="1:3" ht="24" customHeight="1">
      <c r="A4240" s="4" t="str">
        <f ca="1">IFERROR(__xludf.DUMMYFUNCTION("""COMPUTED_VALUE"""),"नलभीमभुवोः प्रेम्णि विस्मिताया दधौ दिवः । पाशिपाशः शिरःकम्पस्रस्तभूषश्रवःश्रियम् ॥नैषधीयचरितम्१७.१ ॥")</f>
        <v>नलभीमभुवोः प्रेम्णि विस्मिताया दधौ दिवः । पाशिपाशः शिरःकम्पस्रस्तभूषश्रवःश्रियम् ॥नैषधीयचरितम्१७.१ ॥</v>
      </c>
      <c r="B4240" s="4" t="s">
        <v>5</v>
      </c>
      <c r="C4240" s="4"/>
    </row>
    <row r="4241" spans="1:3" ht="24" customHeight="1">
      <c r="A4241" s="4" t="str">
        <f ca="1">IFERROR(__xludf.DUMMYFUNCTION("""COMPUTED_VALUE"""),"पवनस्कन्धमारुह्य नृत्यत्तरकरः शिखी । अनेन प्रापि भैमीति भ्रमं चक्रे नभःसदाम् ॥नैषधीयचरितम्१७.११ ॥")</f>
        <v>पवनस्कन्धमारुह्य नृत्यत्तरकरः शिखी । अनेन प्रापि भैमीति भ्रमं चक्रे नभःसदाम् ॥नैषधीयचरितम्१७.११ ॥</v>
      </c>
      <c r="B4241" s="4" t="s">
        <v>17</v>
      </c>
      <c r="C4241" s="4"/>
    </row>
    <row r="4242" spans="1:3" ht="24" customHeight="1">
      <c r="A4242" s="4" t="str">
        <f ca="1">IFERROR(__xludf.DUMMYFUNCTION("""COMPUTED_VALUE"""),"तत्कर्णौ भारती दूनौ विरहाद्भीमजागिराम् । अध्वनि ध्वनिभिर्वैणिरनुकल्पैर्व्यनोदयत् ॥नैषधीयचरितम्१७.१२ ॥")</f>
        <v>तत्कर्णौ भारती दूनौ विरहाद्भीमजागिराम् । अध्वनि ध्वनिभिर्वैणिरनुकल्पैर्व्यनोदयत् ॥नैषधीयचरितम्१७.१२ ॥</v>
      </c>
      <c r="B4242" s="4" t="s">
        <v>5</v>
      </c>
      <c r="C4242" s="4"/>
    </row>
    <row r="4243" spans="1:3" ht="24" customHeight="1">
      <c r="A4243" s="4" t="str">
        <f ca="1">IFERROR(__xludf.DUMMYFUNCTION("""COMPUTED_VALUE"""),"अथायान्तमवैक्षन्त ते जनौघमसित्विषम् । तेषां प्रत्युद्गमप्रीत्या मिलद्व्योमेव मूर्तिमत् ॥नैषधीयचरितम्१७.१३ ॥")</f>
        <v>अथायान्तमवैक्षन्त ते जनौघमसित्विषम् । तेषां प्रत्युद्गमप्रीत्या मिलद्व्योमेव मूर्तिमत् ॥नैषधीयचरितम्१७.१३ ॥</v>
      </c>
      <c r="B4243" s="4" t="s">
        <v>12</v>
      </c>
      <c r="C4243" s="4"/>
    </row>
    <row r="4244" spans="1:3" ht="24" customHeight="1">
      <c r="A4244" s="4" t="str">
        <f ca="1">IFERROR(__xludf.DUMMYFUNCTION("""COMPUTED_VALUE"""),"अद्राक्षुराजिहानं ते स्मरमग्रेसरं सुराः । अक्षाविनयशिक्षार्थं कलिनेव पुरस्कृतम् ॥नैषधीयचरितम्१७.१४ ॥")</f>
        <v>अद्राक्षुराजिहानं ते स्मरमग्रेसरं सुराः । अक्षाविनयशिक्षार्थं कलिनेव पुरस्कृतम् ॥नैषधीयचरितम्१७.१४ ॥</v>
      </c>
      <c r="B4244" s="4" t="s">
        <v>2</v>
      </c>
      <c r="C4244" s="4"/>
    </row>
    <row r="4245" spans="1:3" ht="24" customHeight="1">
      <c r="A4245" s="4" t="str">
        <f ca="1">IFERROR(__xludf.DUMMYFUNCTION("""COMPUTED_VALUE"""),"अगम्यार्थं तृणप्राणाः पृष्ठस्थीकृतभीह्रियः । शम्भलीभुक्तसर्वस्वा जना यत्पारिपार्श्विकाः ॥नैषधीयचरितम्१७.१५ ॥")</f>
        <v>अगम्यार्थं तृणप्राणाः पृष्ठस्थीकृतभीह्रियः । शम्भलीभुक्तसर्वस्वा जना यत्पारिपार्श्विकाः ॥नैषधीयचरितम्१७.१५ ॥</v>
      </c>
      <c r="B4245" s="4" t="s">
        <v>19</v>
      </c>
      <c r="C4245" s="4"/>
    </row>
    <row r="4246" spans="1:3" ht="24" customHeight="1">
      <c r="A4246" s="4" t="str">
        <f ca="1">IFERROR(__xludf.DUMMYFUNCTION("""COMPUTED_VALUE"""),"बिभर्ति लोकजिद्भावं बुद्धस्य स्पर्धयेव यः । यस्येशतुलयेवात्र कर्तृत्वमशरीरिणः ॥नैषधीयचरितम्१७.१६ ॥")</f>
        <v>बिभर्ति लोकजिद्भावं बुद्धस्य स्पर्धयेव यः । यस्येशतुलयेवात्र कर्तृत्वमशरीरिणः ॥नैषधीयचरितम्१७.१६ ॥</v>
      </c>
      <c r="B4246" s="4" t="s">
        <v>7</v>
      </c>
      <c r="C4246" s="4"/>
    </row>
    <row r="4247" spans="1:3" ht="24" customHeight="1">
      <c r="A4247" s="4" t="str">
        <f ca="1">IFERROR(__xludf.DUMMYFUNCTION("""COMPUTED_VALUE"""),"ईश्वरस्य जगत्कृत्स्नं सृष्टिमाकुलयन्निमाम् । अस्ति योऽस्त्रीकृतस्त्रीकस्तस्य वैरं स्मरन्निव ॥नैषधीयचरितम्१७.१७ ॥")</f>
        <v>ईश्वरस्य जगत्कृत्स्नं सृष्टिमाकुलयन्निमाम् । अस्ति योऽस्त्रीकृतस्त्रीकस्तस्य वैरं स्मरन्निव ॥नैषधीयचरितम्१७.१७ ॥</v>
      </c>
      <c r="B4247" s="4" t="s">
        <v>4</v>
      </c>
      <c r="C4247" s="4"/>
    </row>
    <row r="4248" spans="1:3" ht="24" customHeight="1">
      <c r="A4248" s="4" t="str">
        <f ca="1">IFERROR(__xludf.DUMMYFUNCTION("""COMPUTED_VALUE"""),"चक्रे शक्रादिनेत्राणां स्मरः पीतनलश्रियाम् । अपि दैवतवैद्याभ्यामचिकित्स्यमरोचकम् ॥नैषधीयचरितम्१७.१८ ॥")</f>
        <v>चक्रे शक्रादिनेत्राणां स्मरः पीतनलश्रियाम् । अपि दैवतवैद्याभ्यामचिकित्स्यमरोचकम् ॥नैषधीयचरितम्१७.१८ ॥</v>
      </c>
      <c r="B4248" s="4" t="s">
        <v>19</v>
      </c>
      <c r="C4248" s="4"/>
    </row>
    <row r="4249" spans="1:3" ht="24" customHeight="1">
      <c r="A4249" s="4" t="str">
        <f ca="1">IFERROR(__xludf.DUMMYFUNCTION("""COMPUTED_VALUE"""),"यत्तत्क्षिपन्तमुत्कम्पमुत्थायुकमथारुणम् । बुबुधुर्विबुधाः क्रोधमाक्रोशाक्रोशघोषणम् ॥नैषधीयचरितम्१७.१९ ॥")</f>
        <v>यत्तत्क्षिपन्तमुत्कम्पमुत्थायुकमथारुणम् । बुबुधुर्विबुधाः क्रोधमाक्रोशाक्रोशघोषणम् ॥नैषधीयचरितम्१७.१९ ॥</v>
      </c>
      <c r="B4249" s="4" t="s">
        <v>7</v>
      </c>
      <c r="C4249" s="4"/>
    </row>
    <row r="4250" spans="1:3" ht="24" customHeight="1">
      <c r="A4250" s="4" t="str">
        <f ca="1">IFERROR(__xludf.DUMMYFUNCTION("""COMPUTED_VALUE"""),"यमुपासन्त दन्तौष्ठक्षतासृक्शिष्यचक्षुषः । भ्रुकुटीफणिनीनादनिभनिश्वासफूत्कृतः ॥नैषधीयचरितम्१७.२ ॥")</f>
        <v>यमुपासन्त दन्तौष्ठक्षतासृक्शिष्यचक्षुषः । भ्रुकुटीफणिनीनादनिभनिश्वासफूत्कृतः ॥नैषधीयचरितम्१७.२ ॥</v>
      </c>
      <c r="B4250" s="4" t="s">
        <v>2</v>
      </c>
      <c r="C4250" s="4"/>
    </row>
    <row r="4251" spans="1:3" ht="24" customHeight="1">
      <c r="A4251" s="4" t="str">
        <f ca="1">IFERROR(__xludf.DUMMYFUNCTION("""COMPUTED_VALUE"""),"दुर्गं कामाशुगेनापि दुर्लङ्घ्यमवलम्ब्य यः । दुर्वासोहृदयं लोकान्सेन्द्रानपि दिधक्षति ॥नैषधीयचरितम्१७.२१ ॥")</f>
        <v>दुर्गं कामाशुगेनापि दुर्लङ्घ्यमवलम्ब्य यः । दुर्वासोहृदयं लोकान्सेन्द्रानपि दिधक्षति ॥नैषधीयचरितम्१७.२१ ॥</v>
      </c>
      <c r="B4251" s="4" t="s">
        <v>2</v>
      </c>
      <c r="C4251" s="4"/>
    </row>
    <row r="4252" spans="1:3" ht="24" customHeight="1">
      <c r="A4252" s="4" t="str">
        <f ca="1">IFERROR(__xludf.DUMMYFUNCTION("""COMPUTED_VALUE"""),"वैराग्यं यः करोत्युच्चै रञ्जनं जनयन्नपि । सूते सर्वेन्द्रियाच्छादि प्रज्वलन्नपि यस्तमः ॥नैषधीयचरितम्१७.२२ ॥")</f>
        <v>वैराग्यं यः करोत्युच्चै रञ्जनं जनयन्नपि । सूते सर्वेन्द्रियाच्छादि प्रज्वलन्नपि यस्तमः ॥नैषधीयचरितम्१७.२२ ॥</v>
      </c>
      <c r="B4252" s="4" t="s">
        <v>12</v>
      </c>
      <c r="C4252" s="4"/>
    </row>
    <row r="4253" spans="1:3" ht="24" customHeight="1">
      <c r="A4253" s="4" t="str">
        <f ca="1">IFERROR(__xludf.DUMMYFUNCTION("""COMPUTED_VALUE"""),"पञ्चेषुविजयाशक्तौ भवस्य क्रुध्यतो जयात् । येनान्यविगृहीतारिजयकालनयः श्रितः । १७.२३ ॥ नैषधीयचरितम् ")</f>
        <v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v>
      </c>
      <c r="B4253" s="4" t="s">
        <v>2</v>
      </c>
      <c r="C4253" s="4"/>
    </row>
    <row r="4254" spans="1:3" ht="24" customHeight="1">
      <c r="A4254" s="4" t="str">
        <f ca="1">IFERROR(__xludf.DUMMYFUNCTION("""COMPUTED_VALUE"""),"हस्तौ विस्तारयन्निभ्ये बिभ्यदर्धपथस्थवाक् । सूचयन्काकुमाकूतैर्लोभस्तत्र व्यलोकि तैः ॥नैषधीयचरितम्१७.२४ ॥")</f>
        <v>हस्तौ विस्तारयन्निभ्ये बिभ्यदर्धपथस्थवाक् । सूचयन्काकुमाकूतैर्लोभस्तत्र व्यलोकि तैः ॥नैषधीयचरितम्१७.२४ ॥</v>
      </c>
      <c r="B4254" s="4" t="s">
        <v>2</v>
      </c>
      <c r="C4254" s="4"/>
    </row>
    <row r="4255" spans="1:3" ht="24" customHeight="1">
      <c r="A4255" s="4" t="str">
        <f ca="1">IFERROR(__xludf.DUMMYFUNCTION("""COMPUTED_VALUE"""),"दैन्यस्तैन्यमया नित्यमत्याहारामयाविनः । भुञ्जानजनसाकूतपश्या यस्यानुजीविनः ॥नैषधीयचरितम्१७.२५ ॥")</f>
        <v>दैन्यस्तैन्यमया नित्यमत्याहारामयाविनः । भुञ्जानजनसाकूतपश्या यस्यानुजीविनः ॥नैषधीयचरितम्१७.२५ ॥</v>
      </c>
      <c r="B4255" s="4" t="s">
        <v>1</v>
      </c>
      <c r="C4255" s="4"/>
    </row>
    <row r="4256" spans="1:3" ht="24" customHeight="1">
      <c r="A4256" s="4" t="str">
        <f ca="1">IFERROR(__xludf.DUMMYFUNCTION("""COMPUTED_VALUE"""),"धनिदानाम्बुवृष्टेर्यः पात्रपाणाववग्रहः । स्वान्दासानिव हा निःस्वाद्विक्रीणीतेऽर्थवत्सु यः ॥नैषधीयचरितम्१७.२६ ॥")</f>
        <v>धनिदानाम्बुवृष्टेर्यः पात्रपाणाववग्रहः । स्वान्दासानिव हा निःस्वाद्विक्रीणीतेऽर्थवत्सु यः ॥नैषधीयचरितम्१७.२६ ॥</v>
      </c>
      <c r="B4256" s="4" t="s">
        <v>5</v>
      </c>
      <c r="C4256" s="4"/>
    </row>
    <row r="4257" spans="1:3" ht="24" customHeight="1">
      <c r="A4257" s="4" t="str">
        <f ca="1">IFERROR(__xludf.DUMMYFUNCTION("""COMPUTED_VALUE"""),"एकद्विकरणे हेतू महापातकपञ्चके । न तृणे मन्यते कोपकामौ यः पञ्च कारयन् ॥नैषधीयचरितम्१७.२७ ॥")</f>
        <v>एकद्विकरणे हेतू महापातकपञ्चके । न तृणे मन्यते कोपकामौ यः पञ्च कारयन् ॥नैषधीयचरितम्१७.२७ ॥</v>
      </c>
      <c r="B4257" s="4" t="s">
        <v>5</v>
      </c>
      <c r="C4257" s="4"/>
    </row>
    <row r="4258" spans="1:3" ht="24" customHeight="1">
      <c r="A4258" s="4" t="str">
        <f ca="1">IFERROR(__xludf.DUMMYFUNCTION("""COMPUTED_VALUE"""),"यः सर्वेन्द्रियसद्मापि जिह्वां बह्ववलम्बते । तस्यामाचार्यकं याञ्जाबटवे पाटवेऽर्जितुम् ॥नैषधीयचरितम्१७.२८ ॥")</f>
        <v>यः सर्वेन्द्रियसद्मापि जिह्वां बह्ववलम्बते । तस्यामाचार्यकं याञ्जाबटवे पाटवेऽर्जितुम् ॥नैषधीयचरितम्१७.२८ ॥</v>
      </c>
      <c r="B4258" s="4" t="s">
        <v>2</v>
      </c>
      <c r="C4258" s="4"/>
    </row>
    <row r="4259" spans="1:3" ht="24" customHeight="1">
      <c r="A4259" s="4" t="str">
        <f ca="1">IFERROR(__xludf.DUMMYFUNCTION("""COMPUTED_VALUE"""),"पथ्यां तथ्यामगृह्णन्तमन्धं बन्धुप्रबोधनाम् । शून्यमाश्लिष्य नोज्झन्तं मोहमैक्षन्त हन्त ते ॥नैषधीयचरितम्१७.२९ ॥")</f>
        <v>पथ्यां तथ्यामगृह्णन्तमन्धं बन्धुप्रबोधनाम् । शून्यमाश्लिष्य नोज्झन्तं मोहमैक्षन्त हन्त ते ॥नैषधीयचरितम्१७.२९ ॥</v>
      </c>
      <c r="B4259" s="4" t="s">
        <v>2</v>
      </c>
      <c r="C4259" s="4"/>
    </row>
    <row r="4260" spans="1:3" ht="24" customHeight="1">
      <c r="A4260" s="4" t="str">
        <f ca="1">IFERROR(__xludf.DUMMYFUNCTION("""COMPUTED_VALUE"""),"श्वःश्वः प्राणप्रयाणेऽपि न स्मरन्ति स्मरद्विषाः । मग्नाः कुटुम्बजम्बाले बालिशा यदुपासिनः ॥नैषधीयचरितम्१७.३ ॥")</f>
        <v>श्वःश्वः प्राणप्रयाणेऽपि न स्मरन्ति स्मरद्विषाः । मग्नाः कुटुम्बजम्बाले बालिशा यदुपासिनः ॥नैषधीयचरितम्१७.३ ॥</v>
      </c>
      <c r="B4260" s="4" t="s">
        <v>1</v>
      </c>
      <c r="C4260" s="4"/>
    </row>
    <row r="4261" spans="1:3" ht="24" customHeight="1">
      <c r="A4261" s="4" t="str">
        <f ca="1">IFERROR(__xludf.DUMMYFUNCTION("""COMPUTED_VALUE"""),"पुंसामलब्धनिर्वाणज्ञानदीपमयात्मनाम् । अन्तर्म्लापयति व्यक्तं यः कज्जलवदुज्ज्वलम् ॥नैषधीयचरितम्१७.३१ ॥")</f>
        <v>पुंसामलब्धनिर्वाणज्ञानदीपमयात्मनाम् । अन्तर्म्लापयति व्यक्तं यः कज्जलवदुज्ज्वलम् ॥नैषधीयचरितम्१७.३१ ॥</v>
      </c>
      <c r="B4261" s="4" t="s">
        <v>11</v>
      </c>
      <c r="C4261" s="4"/>
    </row>
    <row r="4262" spans="1:3" ht="24" customHeight="1">
      <c r="A4262" s="4" t="str">
        <f ca="1">IFERROR(__xludf.DUMMYFUNCTION("""COMPUTED_VALUE"""),"ब्रह्मचारिवनस्थायियतयो गृहिणं यथा । त्रयो यमुपजीवन्ति क्रोधलोभमनोभवाः ॥नैषधीयचरितम्१७.३२ ॥")</f>
        <v>ब्रह्मचारिवनस्थायियतयो गृहिणं यथा । त्रयो यमुपजीवन्ति क्रोधलोभमनोभवाः ॥नैषधीयचरितम्१७.३२ ॥</v>
      </c>
      <c r="B4262" s="4" t="s">
        <v>4</v>
      </c>
      <c r="C4262" s="4"/>
    </row>
    <row r="4263" spans="1:3" ht="24" customHeight="1">
      <c r="A4263" s="4" t="str">
        <f ca="1">IFERROR(__xludf.DUMMYFUNCTION("""COMPUTED_VALUE"""),"जाग्रतामपि निद्रा यः पश्यतामपि योऽन्धता । शृउते सत्यपि जाड्यं यः प्रकाशेऽपि च यस्तमः ॥नैषधीयचरितम्१७.३३ ॥")</f>
        <v>जाग्रतामपि निद्रा यः पश्यतामपि योऽन्धता । शृउते सत्यपि जाड्यं यः प्रकाशेऽपि च यस्तमः ॥नैषधीयचरितम्१७.३३ ॥</v>
      </c>
      <c r="B4263" s="4" t="s">
        <v>12</v>
      </c>
      <c r="C4263" s="4"/>
    </row>
    <row r="4264" spans="1:3" ht="24" customHeight="1">
      <c r="A4264" s="4" t="str">
        <f ca="1">IFERROR(__xludf.DUMMYFUNCTION("""COMPUTED_VALUE"""),"कुरुसैन्यं हरेणेव प्रागलज्जत नाऋजुनः । हतं येन जयन्कामस्तमोगुणजुषा जगत् ॥नैषधीयचरितम्१७.३४ ॥")</f>
        <v>कुरुसैन्यं हरेणेव प्रागलज्जत नाऋजुनः । हतं येन जयन्कामस्तमोगुणजुषा जगत् ॥नैषधीयचरितम्१७.३४ ॥</v>
      </c>
      <c r="B4264" s="4" t="s">
        <v>15</v>
      </c>
      <c r="C4264" s="4"/>
    </row>
    <row r="4265" spans="1:3" ht="24" customHeight="1">
      <c r="A4265" s="4" t="str">
        <f ca="1">IFERROR(__xludf.DUMMYFUNCTION("""COMPUTED_VALUE"""),"चिह्निताः कतिचिद्देवैः प्राचः परिचयादमी । अन्ये न केचनाचूडमेनः कञ्चुकमेचकाः ॥नैषधीयचरितम्१७.३५ ॥")</f>
        <v>चिह्निताः कतिचिद्देवैः प्राचः परिचयादमी । अन्ये न केचनाचूडमेनः कञ्चुकमेचकाः ॥नैषधीयचरितम्१७.३५ ॥</v>
      </c>
      <c r="B4265" s="4" t="s">
        <v>19</v>
      </c>
      <c r="C4265" s="4"/>
    </row>
    <row r="4266" spans="1:3" ht="24" customHeight="1">
      <c r="A4266" s="4" t="str">
        <f ca="1">IFERROR(__xludf.DUMMYFUNCTION("""COMPUTED_VALUE"""),"तत्रोद्गूर्ण इवार्णोधौ सैन्येऽभ्यर्णमुपेयुषि । कस्याप्याकर्णयामासुस्ते वर्णान्कर्णकर्कशान् ॥नैषधीयचरितम्१७.३६ ॥")</f>
        <v>तत्रोद्गूर्ण इवार्णोधौ सैन्येऽभ्यर्णमुपेयुषि । कस्याप्याकर्णयामासुस्ते वर्णान्कर्णकर्कशान् ॥नैषधीयचरितम्१७.३६ ॥</v>
      </c>
      <c r="B4266" s="4" t="s">
        <v>8</v>
      </c>
      <c r="C4266" s="4"/>
    </row>
    <row r="4267" spans="1:3" ht="24" customHeight="1">
      <c r="A4267" s="4" t="str">
        <f ca="1">IFERROR(__xludf.DUMMYFUNCTION("""COMPUTED_VALUE"""),"ग्रावोन्मज्जनवद्यज्ञफलेति श्रुतिसत्यता । का श्रद्धा तत्र धीवृद्धाः कामाध्वा यत्खिलीकृतः ॥नैषधीयचरितम्१७.३७ ॥")</f>
        <v>ग्रावोन्मज्जनवद्यज्ञफलेति श्रुतिसत्यता । का श्रद्धा तत्र धीवृद्धाः कामाध्वा यत्खिलीकृतः ॥नैषधीयचरितम्१७.३७ ॥</v>
      </c>
      <c r="B4267" s="4" t="s">
        <v>2</v>
      </c>
      <c r="C4267" s="4"/>
    </row>
    <row r="4268" spans="1:3" ht="24" customHeight="1">
      <c r="A4268" s="4" t="str">
        <f ca="1">IFERROR(__xludf.DUMMYFUNCTION("""COMPUTED_VALUE"""),"केनापि बोधिसत्त्वेन जातं सत्त्वेन हेतुना । यद्वेदमर्मभेदाय जगदे जगदस्थिरम् ॥नैषधीयचरितम्१७.३८ ॥")</f>
        <v>केनापि बोधिसत्त्वेन जातं सत्त्वेन हेतुना । यद्वेदमर्मभेदाय जगदे जगदस्थिरम् ॥नैषधीयचरितम्१७.३८ ॥</v>
      </c>
      <c r="B4268" s="4" t="s">
        <v>0</v>
      </c>
      <c r="C4268" s="4"/>
    </row>
    <row r="4269" spans="1:3" ht="24" customHeight="1">
      <c r="A4269" s="4" t="str">
        <f ca="1">IFERROR(__xludf.DUMMYFUNCTION("""COMPUTED_VALUE"""),"अग्निहोत्रं त्रयीतन्त्रं त्रिदण्डं भस्मपुण्ड्रकम् । प्रज्ञापौरुषानिःस्वानां जीवो जल्पति जीविका ॥नैषधीयचरितम्१७.३९ ॥")</f>
        <v>अग्निहोत्रं त्रयीतन्त्रं त्रिदण्डं भस्मपुण्ड्रकम् । प्रज्ञापौरुषानिःस्वानां जीवो जल्पति जीविका ॥नैषधीयचरितम्१७.३९ ॥</v>
      </c>
      <c r="B4269" s="4" t="s">
        <v>19</v>
      </c>
      <c r="C4269" s="4"/>
    </row>
    <row r="4270" spans="1:3" ht="24" customHeight="1">
      <c r="A4270" s="4" t="str">
        <f ca="1">IFERROR(__xludf.DUMMYFUNCTION("""COMPUTED_VALUE"""),"शुद्धिर्वंशद्वयीशुद्धौ पित्रोः पित्रोर्यदेकशः । तदानन्तकुलादोषाददोषा जातिरस्ति का ॥नैषधीयचरितम्१७.४ ॥")</f>
        <v>शुद्धिर्वंशद्वयीशुद्धौ पित्रोः पित्रोर्यदेकशः । तदानन्तकुलादोषाददोषा जातिरस्ति का ॥नैषधीयचरितम्१७.४ ॥</v>
      </c>
      <c r="B4270" s="4" t="s">
        <v>19</v>
      </c>
      <c r="C4270" s="4"/>
    </row>
    <row r="4271" spans="1:3" ht="24" customHeight="1">
      <c r="A4271" s="4" t="str">
        <f ca="1">IFERROR(__xludf.DUMMYFUNCTION("""COMPUTED_VALUE"""),"कामिनीवर्गसंसर्गैर्न कः संक्रान्तपातकः । नाश्नाति स्नाति हा मोहात्कामक्षामव्रतं जगत् ॥नैषधीयचरितम्१७.४१ ॥")</f>
        <v>कामिनीवर्गसंसर्गैर्न कः संक्रान्तपातकः । नाश्नाति स्नाति हा मोहात्कामक्षामव्रतं जगत् ॥नैषधीयचरितम्१७.४१ ॥</v>
      </c>
      <c r="B4271" s="4" t="s">
        <v>15</v>
      </c>
      <c r="C4271" s="4"/>
    </row>
    <row r="4272" spans="1:3" ht="24" customHeight="1">
      <c r="A4272" s="4" t="str">
        <f ca="1">IFERROR(__xludf.DUMMYFUNCTION("""COMPUTED_VALUE"""),"ईर्ष्यया रक्षतो नारीर्धिक्कुलस्थितिदाम्भिकान् । स्मरान्धत्वाविशेषेऽपि तथा नरमरक्षतः ॥नैषधीयचरितम्१७.४२ ॥")</f>
        <v>ईर्ष्यया रक्षतो नारीर्धिक्कुलस्थितिदाम्भिकान् । स्मरान्धत्वाविशेषेऽपि तथा नरमरक्षतः ॥नैषधीयचरितम्१७.४२ ॥</v>
      </c>
      <c r="B4272" s="4" t="s">
        <v>2</v>
      </c>
      <c r="C4272" s="4"/>
    </row>
    <row r="4273" spans="1:3" ht="24" customHeight="1">
      <c r="A4273" s="4" t="str">
        <f ca="1">IFERROR(__xludf.DUMMYFUNCTION("""COMPUTED_VALUE"""),"परदारनिवृत्तिर्या सोऽयं स्वयमनादृतः । अहल्याकेलिलोलेन दम्भो दम्भोलिपाणिना ॥नैषधीयचरितम्१७.४३ ॥")</f>
        <v>परदारनिवृत्तिर्या सोऽयं स्वयमनादृतः । अहल्याकेलिलोलेन दम्भो दम्भोलिपाणिना ॥नैषधीयचरितम्१७.४३ ॥</v>
      </c>
      <c r="B4273" s="4" t="s">
        <v>1</v>
      </c>
      <c r="C4273" s="4"/>
    </row>
    <row r="4274" spans="1:3" ht="24" customHeight="1">
      <c r="A4274" s="4" t="str">
        <f ca="1">IFERROR(__xludf.DUMMYFUNCTION("""COMPUTED_VALUE"""),"गुरुतल्पगतौ पापकल्पनां त्यजत द्विजाः । येषां वः पत्युरत्युच्चैर्गुरुदारग्रहे ग्रहः ॥नैषधीयचरितम्१७.४४ ॥")</f>
        <v>गुरुतल्पगतौ पापकल्पनां त्यजत द्विजाः । येषां वः पत्युरत्युच्चैर्गुरुदारग्रहे ग्रहः ॥नैषधीयचरितम्१७.४४ ॥</v>
      </c>
      <c r="B4274" s="4" t="s">
        <v>24</v>
      </c>
      <c r="C4274" s="4"/>
    </row>
    <row r="4275" spans="1:3" ht="24" customHeight="1">
      <c r="A4275" s="4" t="str">
        <f ca="1">IFERROR(__xludf.DUMMYFUNCTION("""COMPUTED_VALUE"""),"पापात्तापा मुदः पुण्यात्परासोः स्युरिति श्रुतिः । वैपरीत्यं द्रुतं साक्षात्तदाख्यात बलाबले ॥नैषधीयचरितम्१७.४५ ॥")</f>
        <v>पापात्तापा मुदः पुण्यात्परासोः स्युरिति श्रुतिः । वैपरीत्यं द्रुतं साक्षात्तदाख्यात बलाबले ॥नैषधीयचरितम्१७.४५ ॥</v>
      </c>
      <c r="B4275" s="4" t="s">
        <v>11</v>
      </c>
      <c r="C4275" s="4"/>
    </row>
    <row r="4276" spans="1:3" ht="24" customHeight="1">
      <c r="A4276" s="4" t="str">
        <f ca="1">IFERROR(__xludf.DUMMYFUNCTION("""COMPUTED_VALUE"""),"संदेहेऽप्यन्यदेहाप्तेर्विवर्ज्यं वृजिनं यदि । त्यजत श्रोत्रियाः सत्त्रं हिंसादूषणसंशयात् ॥नैषधीयचरितम्१७.४६ ॥")</f>
        <v>संदेहेऽप्यन्यदेहाप्तेर्विवर्ज्यं वृजिनं यदि । त्यजत श्रोत्रियाः सत्त्रं हिंसादूषणसंशयात् ॥नैषधीयचरितम्१७.४६ ॥</v>
      </c>
      <c r="B4276" s="4" t="s">
        <v>5</v>
      </c>
      <c r="C4276" s="4"/>
    </row>
    <row r="4277" spans="1:3" ht="24" customHeight="1">
      <c r="A4277" s="4" t="str">
        <f ca="1">IFERROR(__xludf.DUMMYFUNCTION("""COMPUTED_VALUE"""),"यस्त्रिवेदीविदां वन्द्यः स व्यासोऽपि जजल्प वः । रामाया जातकामायाः प्रशस्ता हस्तधारणा ॥नैषधीयचरितम्१७.४७ ॥")</f>
        <v>यस्त्रिवेदीविदां वन्द्यः स व्यासोऽपि जजल्प वः । रामाया जातकामायाः प्रशस्ता हस्तधारणा ॥नैषधीयचरितम्१७.४७ ॥</v>
      </c>
      <c r="B4277" s="4" t="s">
        <v>7</v>
      </c>
      <c r="C4277" s="4"/>
    </row>
    <row r="4278" spans="1:3" ht="24" customHeight="1">
      <c r="A4278" s="4" t="str">
        <f ca="1">IFERROR(__xludf.DUMMYFUNCTION("""COMPUTED_VALUE"""),"सुकृते वः कथं श्रद्धा सुरते च कथं न सा । तत्कर्म पुरुषः कुर्याद्येनान्ते सुखमेधते ॥नैषधीयचरितम्१७.४८ ॥")</f>
        <v>सुकृते वः कथं श्रद्धा सुरते च कथं न सा । तत्कर्म पुरुषः कुर्याद्येनान्ते सुखमेधते ॥नैषधीयचरितम्१७.४८ ॥</v>
      </c>
      <c r="B4278" s="4" t="s">
        <v>2</v>
      </c>
      <c r="C4278" s="4"/>
    </row>
    <row r="4279" spans="1:3" ht="24" customHeight="1">
      <c r="A4279" s="4" t="str">
        <f ca="1">IFERROR(__xludf.DUMMYFUNCTION("""COMPUTED_VALUE"""),"बालात्कुरुत पापानि सन्तु तान्यकृतानि वः । सर्वान्बलकृतान्दोषानकृतान्मनुरब्रवीत् ॥नैषधीयचरितम्१७.४९ ॥")</f>
        <v>बालात्कुरुत पापानि सन्तु तान्यकृतानि वः । सर्वान्बलकृतान्दोषानकृतान्मनुरब्रवीत् ॥नैषधीयचरितम्१७.४९ ॥</v>
      </c>
      <c r="B4279" s="4" t="s">
        <v>4</v>
      </c>
      <c r="C4279" s="4"/>
    </row>
    <row r="4280" spans="1:3" ht="24" customHeight="1">
      <c r="A4280" s="4" t="str">
        <f ca="1">IFERROR(__xludf.DUMMYFUNCTION("""COMPUTED_VALUE"""),"स्वागमार्थेऽपि मा स्थास्मिंस्तीर्थिका विचिकित्सवः । तं तमाचरतानन्दं स्वच्छन्दं यं यमिच्छथ ॥नैषधीयचरितम्१७.५ ॥")</f>
        <v>स्वागमार्थेऽपि मा स्थास्मिंस्तीर्थिका विचिकित्सवः । तं तमाचरतानन्दं स्वच्छन्दं यं यमिच्छथ ॥नैषधीयचरितम्१७.५ ॥</v>
      </c>
      <c r="B4280" s="4" t="s">
        <v>10</v>
      </c>
      <c r="C4280" s="4"/>
    </row>
    <row r="4281" spans="1:3" ht="24" customHeight="1">
      <c r="A4281" s="4" t="str">
        <f ca="1">IFERROR(__xludf.DUMMYFUNCTION("""COMPUTED_VALUE"""),"श्रुतिस्मृत्यर्थबोधेषु क्वैकमत्यं महाधियाम् । व्याख्या बुद्धिबलापेक्षा सा नोपेक्ष्य सुखोन्मुखी ॥नैषधीयचरितम्१७.५१ ॥")</f>
        <v>श्रुतिस्मृत्यर्थबोधेषु क्वैकमत्यं महाधियाम् । व्याख्या बुद्धिबलापेक्षा सा नोपेक्ष्य सुखोन्मुखी ॥नैषधीयचरितम्१७.५१ ॥</v>
      </c>
      <c r="B4281" s="4" t="s">
        <v>14</v>
      </c>
      <c r="C4281" s="4"/>
    </row>
    <row r="4282" spans="1:3" ht="24" customHeight="1">
      <c r="A4282" s="4" t="str">
        <f ca="1">IFERROR(__xludf.DUMMYFUNCTION("""COMPUTED_VALUE"""),"यस्मिन्नस्मीति धीर्देहे तद्दाहे वः किमेनसा । क्वापि तत्किं फलं न स्यादात्मेति परसाक्षिके ॥नैषधीयचरितम्१७.५२ ॥")</f>
        <v>यस्मिन्नस्मीति धीर्देहे तद्दाहे वः किमेनसा । क्वापि तत्किं फलं न स्यादात्मेति परसाक्षिके ॥नैषधीयचरितम्१७.५२ ॥</v>
      </c>
      <c r="B4282" s="4" t="s">
        <v>19</v>
      </c>
      <c r="C4282" s="4"/>
    </row>
    <row r="4283" spans="1:3" ht="24" customHeight="1">
      <c r="A4283" s="4" t="str">
        <f ca="1">IFERROR(__xludf.DUMMYFUNCTION("""COMPUTED_VALUE"""),"मृतः स्मरति जन्मानि मृते कर्मफलोर्मयः । अन्यभुक्तैर्मृते तृप्तिरित्यलं धूर्तवार्तया ॥नैषधीयचरितम्१७.५३ ॥")</f>
        <v>मृतः स्मरति जन्मानि मृते कर्मफलोर्मयः । अन्यभुक्तैर्मृते तृप्तिरित्यलं धूर्तवार्तया ॥नैषधीयचरितम्१७.५३ ॥</v>
      </c>
      <c r="B4283" s="4" t="s">
        <v>5</v>
      </c>
      <c r="C4283" s="4"/>
    </row>
    <row r="4284" spans="1:3" ht="24" customHeight="1">
      <c r="A4284" s="4" t="str">
        <f ca="1">IFERROR(__xludf.DUMMYFUNCTION("""COMPUTED_VALUE"""),"जनेन जनतास्मीति कायं नायं त्वमित्यसौ । त्याज्यते ग्राह्यते चान्यदहो श्रुत्यातिधूर्तया ॥नैषधीयचरितम्१७.५४ ॥")</f>
        <v>जनेन जनतास्मीति कायं नायं त्वमित्यसौ । त्याज्यते ग्राह्यते चान्यदहो श्रुत्यातिधूर्तया ॥नैषधीयचरितम्१७.५४ ॥</v>
      </c>
      <c r="B4284" s="4" t="s">
        <v>5</v>
      </c>
      <c r="C4284" s="4"/>
    </row>
    <row r="4285" spans="1:3" ht="24" customHeight="1">
      <c r="A4285" s="4" t="str">
        <f ca="1">IFERROR(__xludf.DUMMYFUNCTION("""COMPUTED_VALUE"""),"एकं संदिग्धयोस्तावद्भावि तत्रेष्टजन्मनि । हेतुमाहुः स्वमन्त्रादीनसङ्गानन्यथा विटाः ॥नैषधीयचरितम्१७.५५ ॥")</f>
        <v>एकं संदिग्धयोस्तावद्भावि तत्रेष्टजन्मनि । हेतुमाहुः स्वमन्त्रादीनसङ्गानन्यथा विटाः ॥नैषधीयचरितम्१७.५५ ॥</v>
      </c>
      <c r="B4285" s="4" t="s">
        <v>23</v>
      </c>
      <c r="C4285" s="4"/>
    </row>
    <row r="4286" spans="1:3" ht="24" customHeight="1">
      <c r="A4286" s="4" t="str">
        <f ca="1">IFERROR(__xludf.DUMMYFUNCTION("""COMPUTED_VALUE"""),"एकस्य विश्वपापेन तापेऽनन्ते निमज्जतः । कः श्रौतस्यात्मनो भीरो भारः स्याद्दुरितेन ते ॥नैषधीयचरितम्१७.५६ ॥")</f>
        <v>एकस्य विश्वपापेन तापेऽनन्ते निमज्जतः । कः श्रौतस्यात्मनो भीरो भारः स्याद्दुरितेन ते ॥नैषधीयचरितम्१७.५६ ॥</v>
      </c>
      <c r="B4286" s="4" t="s">
        <v>2</v>
      </c>
      <c r="C4286" s="4"/>
    </row>
    <row r="4287" spans="1:3" ht="24" customHeight="1">
      <c r="A4287" s="4" t="str">
        <f ca="1">IFERROR(__xludf.DUMMYFUNCTION("""COMPUTED_VALUE"""),"किं ते वृन्तहृतात्पुष्पात्तन्मात्रे हि फलत्यदः । न्यस्य तन्मूर्ध्न्यनन्यस्य न्यास्यमेवाश्मनो यदि ॥नैषधीयचरितम्१७.५७ ॥")</f>
        <v>किं ते वृन्तहृतात्पुष्पात्तन्मात्रे हि फलत्यदः । न्यस्य तन्मूर्ध्न्यनन्यस्य न्यास्यमेवाश्मनो यदि ॥नैषधीयचरितम्१७.५७ ॥</v>
      </c>
      <c r="B4287" s="4" t="s">
        <v>17</v>
      </c>
      <c r="C4287" s="4"/>
    </row>
    <row r="4288" spans="1:3" ht="24" customHeight="1">
      <c r="A4288" s="4" t="str">
        <f ca="1">IFERROR(__xludf.DUMMYFUNCTION("""COMPUTED_VALUE"""),"तृणानीव घृणावादान्विधूनय वधूरनु । तवापि तादृशस्यैव का चिरं जनवञ्चना ॥नैषधीयचरितम्१७.५८ ॥")</f>
        <v>तृणानीव घृणावादान्विधूनय वधूरनु । तवापि तादृशस्यैव का चिरं जनवञ्चना ॥नैषधीयचरितम्१७.५८ ॥</v>
      </c>
      <c r="B4288" s="4" t="s">
        <v>1</v>
      </c>
      <c r="C4288" s="4"/>
    </row>
    <row r="4289" spans="1:3" ht="24" customHeight="1">
      <c r="A4289" s="4" t="str">
        <f ca="1">IFERROR(__xludf.DUMMYFUNCTION("""COMPUTED_VALUE"""),"कुरुध्वं कामदेवाज्ञां ब्रह्माद्यैरप्यलङ्घिताम् । वेदोऽपि देवकीयाज्ञा तत्राज्ञाः काधिकार्हणा ॥नैषधीयचरितम्१७.५९ ॥")</f>
        <v>कुरुध्वं कामदेवाज्ञां ब्रह्माद्यैरप्यलङ्घिताम् । वेदोऽपि देवकीयाज्ञा तत्राज्ञाः काधिकार्हणा ॥नैषधीयचरितम्१७.५९ ॥</v>
      </c>
      <c r="B4289" s="4" t="s">
        <v>7</v>
      </c>
      <c r="C4289" s="4"/>
    </row>
    <row r="4290" spans="1:3" ht="24" customHeight="1">
      <c r="A4290" s="4" t="str">
        <f ca="1">IFERROR(__xludf.DUMMYFUNCTION("""COMPUTED_VALUE"""),"प्रलापमपि वेदस्य भागं मन्यध्व एव चेत् । केनाभग्येन दुःखान्न विधीनपि तथेच्छथ ॥नैषधीयचरितम्१७.६ ॥")</f>
        <v>प्रलापमपि वेदस्य भागं मन्यध्व एव चेत् । केनाभग्येन दुःखान्न विधीनपि तथेच्छथ ॥नैषधीयचरितम्१७.६ ॥</v>
      </c>
      <c r="B4290" s="4" t="s">
        <v>10</v>
      </c>
      <c r="C4290" s="4"/>
    </row>
    <row r="4291" spans="1:3" ht="24" customHeight="1">
      <c r="A4291" s="4" t="str">
        <f ca="1">IFERROR(__xludf.DUMMYFUNCTION("""COMPUTED_VALUE"""),"श्रुतिं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॥नैषधीयचरितम्१७.६१ ॥")</f>
        <v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॥नैषधीयचरितम्१७.६१ ॥</v>
      </c>
      <c r="B4291" s="4" t="s">
        <v>1</v>
      </c>
      <c r="C4291" s="4"/>
    </row>
    <row r="4292" spans="1:3" ht="24" customHeight="1">
      <c r="A4292" s="4" t="str">
        <f ca="1">IFERROR(__xludf.DUMMYFUNCTION("""COMPUTED_VALUE"""),"को हि वेदास्त्यमुष्मिन्वा लोक इत्याह या श्रुतिः । तत्प्रामाण्यादमुं लोकं लोकः प्रत्येतु वा कथम् ॥नैषधीयचरितम्१७.६२ ॥")</f>
        <v>को हि वेदास्त्यमुष्मिन्वा लोक इत्याह या श्रुतिः । तत्प्रामाण्यादमुं लोकं लोकः प्रत्येतु वा कथम् ॥नैषधीयचरितम्१७.६२ ॥</v>
      </c>
      <c r="B4292" s="4" t="s">
        <v>10</v>
      </c>
      <c r="C4292" s="4"/>
    </row>
    <row r="4293" spans="1:3" ht="24" customHeight="1">
      <c r="A4293" s="4" t="str">
        <f ca="1">IFERROR(__xludf.DUMMYFUNCTION("""COMPUTED_VALUE"""),"धर्माधर्मौ मनुर्जल्पन्नशक्यार्जनवर्जनौ । व्याजान्मण्डलदण्डार्थी शृअदधायि मुधा बुधैः ॥नैषधीयचरितम्१७.६३ ॥")</f>
        <v>धर्माधर्मौ मनुर्जल्पन्नशक्यार्जनवर्जनौ । व्याजान्मण्डलदण्डार्थी शृअदधायि मुधा बुधैः ॥नैषधीयचरितम्१७.६३ ॥</v>
      </c>
      <c r="B4293" s="4" t="s">
        <v>20</v>
      </c>
      <c r="C4293" s="4"/>
    </row>
    <row r="4294" spans="1:3" ht="24" customHeight="1">
      <c r="A4294" s="4" t="str">
        <f ca="1">IFERROR(__xludf.DUMMYFUNCTION("""COMPUTED_VALUE"""),"व्यासस्यैव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॥नैषधीयचरितम्१७.६४ ॥")</f>
        <v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॥नैषधीयचरितम्१७.६४ ॥</v>
      </c>
      <c r="B4294" s="4" t="s">
        <v>2</v>
      </c>
      <c r="C4294" s="4"/>
    </row>
    <row r="4295" spans="1:3" ht="24" customHeight="1">
      <c r="A4295" s="4" t="str">
        <f ca="1">IFERROR(__xludf.DUMMYFUNCTION("""COMPUTED_VALUE"""),"पण्डितः पाण्डवानां स व्यासश्चाटुपटुः कविः । निनिन्द तेषु निन्दत्सु स्तुवत्सु स्तुतवान्न किम् ॥नैषधीयचरितम्१७.६५ ॥")</f>
        <v>पण्डितः पाण्डवानां स व्यासश्चाटुपटुः कविः । निनिन्द तेषु निन्दत्सु स्तुवत्सु स्तुतवान्न किम् ॥नैषधीयचरितम्१७.६५ ॥</v>
      </c>
      <c r="B4295" s="4" t="s">
        <v>19</v>
      </c>
      <c r="C4295" s="4"/>
    </row>
    <row r="4296" spans="1:3" ht="24" customHeight="1">
      <c r="A4296" s="4" t="str">
        <f ca="1">IFERROR(__xludf.DUMMYFUNCTION("""COMPUTED_VALUE"""),"न भ्रातुः किल देव्यां स व्यासः कामात्समासजत् । दासीरतस्तदासीद्यन्मात्रा तत्राप्यदेशि किम् ॥नैषधीयचरितम्१७.६६ ॥")</f>
        <v>न भ्रातुः किल देव्यां स व्यासः कामात्समासजत् । दासीरतस्तदासीद्यन्मात्रा तत्राप्यदेशि किम् ॥नैषधीयचरितम्१७.६६ ॥</v>
      </c>
      <c r="B4296" s="4" t="s">
        <v>19</v>
      </c>
      <c r="C4296" s="4"/>
    </row>
    <row r="4297" spans="1:3" ht="24" customHeight="1">
      <c r="A4297" s="4" t="str">
        <f ca="1">IFERROR(__xludf.DUMMYFUNCTION("""COMPUTED_VALUE"""),"देवैर्द्विजैः कृता ग्रन्थाः पन्था येषां तदादृतौ । गां नतैः किं न तैर्व्यक्तं ततोऽप्यात्माधरीकृतः ॥नैषधीयचरितम्१७.६७ ॥")</f>
        <v>देवैर्द्विजैः कृता ग्रन्थाः पन्था येषां तदादृतौ । गां नतैः किं न तैर्व्यक्तं ततोऽप्यात्माधरीकृतः ॥नैषधीयचरितम्१७.६७ ॥</v>
      </c>
      <c r="B4297" s="4" t="s">
        <v>2</v>
      </c>
      <c r="C4297" s="4"/>
    </row>
    <row r="4298" spans="1:3" ht="24" customHeight="1">
      <c r="A4298" s="4" t="str">
        <f ca="1">IFERROR(__xludf.DUMMYFUNCTION("""COMPUTED_VALUE"""),"साधुकामुकतामुक्ता शान्तस्वान्तैर्मखोन्मुखैः । सारङ्गलोचनासारां दिवं प्रेत्यापि लिप्सुभिः ॥नैषधीयचरितम्१७.६८ ॥")</f>
        <v>साधुकामुकतामुक्ता शान्तस्वान्तैर्मखोन्मुखैः । सारङ्गलोचनासारां दिवं प्रेत्यापि लिप्सुभिः ॥नैषधीयचरितम्१७.६८ ॥</v>
      </c>
      <c r="B4298" s="4" t="s">
        <v>6</v>
      </c>
      <c r="C4298" s="4"/>
    </row>
    <row r="4299" spans="1:3" ht="24" customHeight="1">
      <c r="A4299" s="4" t="str">
        <f ca="1">IFERROR(__xludf.DUMMYFUNCTION("""COMPUTED_VALUE"""),"कः शमः क्रियतां प्राज्ञाः प्रियाप्रीतौ परिश्रमः । भस्मीभूतस्य भूतस्य पुनरागमनं कुतः ॥नैषधीयचरितम्१७.६९ ॥")</f>
        <v>कः शमः क्रियतां प्राज्ञाः प्रियाप्रीतौ परिश्रमः । भस्मीभूतस्य भूतस्य पुनरागमनं कुतः ॥नैषधीयचरितम्१७.६९ ॥</v>
      </c>
      <c r="B4299" s="4" t="s">
        <v>2</v>
      </c>
      <c r="C4299" s="4"/>
    </row>
    <row r="4300" spans="1:3" ht="24" customHeight="1">
      <c r="A4300" s="4" t="str">
        <f ca="1">IFERROR(__xludf.DUMMYFUNCTION("""COMPUTED_VALUE"""),"उभयी प्रकृतिः कामे सज्जेदिति मुनेर्मनः । अपवर्गे तृतीयेति भणतः पाणिनेरपि ॥नैषधीयचरितम्१७.७ ॥")</f>
        <v>उभयी प्रकृतिः कामे सज्जेदिति मुनेर्मनः । अपवर्गे तृतीयेति भणतः पाणिनेरपि ॥नैषधीयचरितम्१७.७ ॥</v>
      </c>
      <c r="B4300" s="4" t="s">
        <v>9</v>
      </c>
      <c r="C4300" s="4"/>
    </row>
    <row r="4301" spans="1:3" ht="24" customHeight="1">
      <c r="A4301" s="4" t="str">
        <f ca="1">IFERROR(__xludf.DUMMYFUNCTION("""COMPUTED_VALUE"""),"बिभ्रत्युपरियानाय जना जनितमज्जनाः । विग्रहायाग्रतः पश्चाद्गत्वरोरभ्रविभ्रमम् ॥नैषधीयचरितम्१७.७१ ॥")</f>
        <v>बिभ्रत्युपरियानाय जना जनितमज्जनाः । विग्रहायाग्रतः पश्चाद्गत्वरोरभ्रविभ्रमम् ॥नैषधीयचरितम्१७.७१ ॥</v>
      </c>
      <c r="B4301" s="4" t="s">
        <v>12</v>
      </c>
      <c r="C4301" s="4"/>
    </row>
    <row r="4302" spans="1:3" ht="24" customHeight="1">
      <c r="A4302" s="4" t="str">
        <f ca="1">IFERROR(__xludf.DUMMYFUNCTION("""COMPUTED_VALUE"""),"एनसानेन तिर्यक्स्यादित्यादिः का बिभीषिका । राजिलोऽपि हि राजेव स्वैः सुखी सुखहेतुभिः ॥नैषधीयचरितम्१७.७२ ॥")</f>
        <v>एनसानेन तिर्यक्स्यादित्यादिः का बिभीषिका । राजिलोऽपि हि राजेव स्वैः सुखी सुखहेतुभिः ॥नैषधीयचरितम्१७.७२ ॥</v>
      </c>
      <c r="B4302" s="4" t="s">
        <v>6</v>
      </c>
      <c r="C4302" s="4"/>
    </row>
    <row r="4303" spans="1:3" ht="24" customHeight="1">
      <c r="A4303" s="4" t="str">
        <f ca="1">IFERROR(__xludf.DUMMYFUNCTION("""COMPUTED_VALUE"""),"हताश्चेद्दिवि दीव्यन्ति दैत्या दैत्यारिणा रणे । तत्रापि तेन युध्यन्तां हता अपि तथैव ते ॥नैषधीयचरितम्१७.७३ ॥")</f>
        <v>हताश्चेद्दिवि दीव्यन्ति दैत्या दैत्यारिणा रणे । तत्रापि तेन युध्यन्तां हता अपि तथैव ते ॥नैषधीयचरितम्१७.७३ ॥</v>
      </c>
      <c r="B4303" s="4" t="s">
        <v>2</v>
      </c>
      <c r="C4303" s="4"/>
    </row>
    <row r="4304" spans="1:3" ht="24" customHeight="1">
      <c r="A4304" s="4" t="str">
        <f ca="1">IFERROR(__xludf.DUMMYFUNCTION("""COMPUTED_VALUE"""),"स्वं च ब्रह्म च संसारे मुक्तौ तु ब्रह्म केवलम् । इति स्वोच्छित्तिमुक्त्युक्तिवैदग्धी वेदवादिनाम् ॥नैषधीयचरितम्१७.७४ ॥")</f>
        <v>स्वं च ब्रह्म च संसारे मुक्तौ तु ब्रह्म केवलम् । इति स्वोच्छित्तिमुक्त्युक्तिवैदग्धी वेदवादिनाम् ॥नैषधीयचरितम्१७.७४ ॥</v>
      </c>
      <c r="B4304" s="4" t="s">
        <v>1</v>
      </c>
      <c r="C4304" s="4"/>
    </row>
    <row r="4305" spans="1:3" ht="24" customHeight="1">
      <c r="A4305" s="4" t="str">
        <f ca="1">IFERROR(__xludf.DUMMYFUNCTION("""COMPUTED_VALUE"""),"मुक्तये यः शिलात्वाय शास्त्रमूचे सचेतसाम् । गोतमं तमवेक्ष्यैव यथा वित्थ तथैव सः ॥नैषधीयचरितम्१७.७५ ॥")</f>
        <v>मुक्तये यः शिलात्वाय शास्त्रमूचे सचेतसाम् । गोतमं तमवेक्ष्यैव यथा वित्थ तथैव सः ॥नैषधीयचरितम्१७.७५ ॥</v>
      </c>
      <c r="B4305" s="4" t="s">
        <v>18</v>
      </c>
      <c r="C4305" s="4"/>
    </row>
    <row r="4306" spans="1:3" ht="24" customHeight="1">
      <c r="A4306" s="4" t="str">
        <f ca="1">IFERROR(__xludf.DUMMYFUNCTION("""COMPUTED_VALUE"""),"दारा हरिहरादीनां तन्मग्नमनसो भृशम् । किं न मुक्ताःकुतः सन्ति कारागारे मनोभुवः ॥नैषधीयचरितम्१७.७६ ॥")</f>
        <v>दारा हरिहरादीनां तन्मग्नमनसो भृशम् । किं न मुक्ताःकुतः सन्ति कारागारे मनोभुवः ॥नैषधीयचरितम्१७.७६ ॥</v>
      </c>
      <c r="B4306" s="4" t="s">
        <v>4</v>
      </c>
      <c r="C4306" s="4"/>
    </row>
    <row r="4307" spans="1:3" ht="24" customHeight="1">
      <c r="A4307" s="4" t="str">
        <f ca="1">IFERROR(__xludf.DUMMYFUNCTION("""COMPUTED_VALUE"""),"देवश्चेदस्ति सर्वज्ञः करुणाभागवन्ध्यवाक् । तत्किं वाग्व्ययमात्रान्नः कृतार्थयति नाऋथिनः ॥नैषधीयचरितम्१७.७७ ॥")</f>
        <v>देवश्चेदस्ति सर्वज्ञः करुणाभागवन्ध्यवाक् । तत्किं वाग्व्ययमात्रान्नः कृतार्थयति नाऋथिनः ॥नैषधीयचरितम्१७.७७ ॥</v>
      </c>
      <c r="B4307" s="4" t="s">
        <v>1</v>
      </c>
      <c r="C4307" s="4"/>
    </row>
    <row r="4308" spans="1:3" ht="24" customHeight="1">
      <c r="A4308" s="4" t="str">
        <f ca="1">IFERROR(__xludf.DUMMYFUNCTION("""COMPUTED_VALUE"""),"भविनां भावयन्दुःखं स्वकर्मजमपीश्वरः । स्यादकारणवैरी नः कारणादपरे परे ॥नैषधीयचरितम्१७.७८ ॥")</f>
        <v>भविनां भावयन्दुःखं स्वकर्मजमपीश्वरः । स्यादकारणवैरी नः कारणादपरे परे ॥नैषधीयचरितम्१७.७८ ॥</v>
      </c>
      <c r="B4308" s="4" t="s">
        <v>0</v>
      </c>
      <c r="C4308" s="4"/>
    </row>
    <row r="4309" spans="1:3" ht="24" customHeight="1">
      <c r="A4309" s="4" t="str">
        <f ca="1">IFERROR(__xludf.DUMMYFUNCTION("""COMPUTED_VALUE"""),"तर्काप्रतिष्ठया साम्यादन्योन्यस्य व्यतिघ्नताम् । नाप्रामाण्यं मतानां स्यात्केषां सत्प्रतिपक्षवत् ॥नैषधीयचरितम्१७.७९ ॥")</f>
        <v>तर्काप्रतिष्ठया साम्यादन्योन्यस्य व्यतिघ्नताम् । नाप्रामाण्यं मतानां स्यात्केषां सत्प्रतिपक्षवत् ॥नैषधीयचरितम्१७.७९ ॥</v>
      </c>
      <c r="B4309" s="4" t="s">
        <v>4</v>
      </c>
      <c r="C4309" s="4"/>
    </row>
    <row r="4310" spans="1:3" ht="24" customHeight="1">
      <c r="A4310" s="4" t="str">
        <f ca="1">IFERROR(__xludf.DUMMYFUNCTION("""COMPUTED_VALUE"""),"अक्रोधं शिक्षयन्त्यन्यैः क्रोधना ये तपोधनाः । निर्धनास्ते धनायैव धातुवादोपदेशिनः ॥नैषधीयचरितम्१७.८ ॥")</f>
        <v>अक्रोधं शिक्षयन्त्यन्यैः क्रोधना ये तपोधनाः । निर्धनास्ते धनायैव धातुवादोपदेशिनः ॥नैषधीयचरितम्१७.८ ॥</v>
      </c>
      <c r="B4310" s="4" t="s">
        <v>1</v>
      </c>
      <c r="C4310" s="4"/>
    </row>
    <row r="4311" spans="1:3" ht="24" customHeight="1">
      <c r="A4311" s="4" t="str">
        <f ca="1">IFERROR(__xludf.DUMMYFUNCTION("""COMPUTED_VALUE"""),"किं वित्तं दत्त तुष्टेयमदातरि हरिप्रिया । दत्त्वा सर्वं धनं मुग्धो बन्धनं लब्धवान्बलिः ॥नैषधीयचरितम्१७.८१ ॥")</f>
        <v>किं वित्तं दत्त तुष्टेयमदातरि हरिप्रिया । दत्त्वा सर्वं धनं मुग्धो बन्धनं लब्धवान्बलिः ॥नैषधीयचरितम्१७.८१ ॥</v>
      </c>
      <c r="B4311" s="4" t="s">
        <v>11</v>
      </c>
      <c r="C4311" s="4"/>
    </row>
    <row r="4312" spans="1:3" ht="24" customHeight="1">
      <c r="A4312" s="4" t="str">
        <f ca="1">IFERROR(__xludf.DUMMYFUNCTION("""COMPUTED_VALUE"""),"दोग्धा द्रोग्धा च सर्वोऽयं धनिनश्चेतसा जनः । विसृज्य लोभसंक्षोभमेकद्वा यद्युदासते ॥नैषधीयचरितम्१७.८२ ॥")</f>
        <v>दोग्धा द्रोग्धा च सर्वोऽयं धनिनश्चेतसा जनः । विसृज्य लोभसंक्षोभमेकद्वा यद्युदासते ॥नैषधीयचरितम्१७.८२ ॥</v>
      </c>
      <c r="B4312" s="4" t="s">
        <v>2</v>
      </c>
      <c r="C4312" s="4"/>
    </row>
    <row r="4313" spans="1:3" ht="24" customHeight="1">
      <c r="A4313" s="4" t="str">
        <f ca="1">IFERROR(__xludf.DUMMYFUNCTION("""COMPUTED_VALUE"""),"दैन्यस्यायुष्यमस्तैन्यमभक्ष्यं कुक्षिवञ्चना । स्वाच्छन्द्यमृच्छतानन्दकन्दलीकन्दमेककम् ॥नैषधीयचरितम्१७.८३ ॥")</f>
        <v>दैन्यस्यायुष्यमस्तैन्यमभक्ष्यं कुक्षिवञ्चना । स्वाच्छन्द्यमृच्छतानन्दकन्दलीकन्दमेककम् ॥नैषधीयचरितम्१७.८३ ॥</v>
      </c>
      <c r="B4313" s="4" t="s">
        <v>19</v>
      </c>
      <c r="C4313" s="4"/>
    </row>
    <row r="4314" spans="1:3" ht="24" customHeight="1">
      <c r="A4314" s="4" t="str">
        <f ca="1">IFERROR(__xludf.DUMMYFUNCTION("""COMPUTED_VALUE"""),"इत्थमाकर्ण्य दुर्वर्णं शक्रः सक्रोधतां दधे । अवोचदुच्चैः कस्कोयं धर्ममर्माणि कृन्तति ॥नैषधीयचरितम्१७.८४ ॥")</f>
        <v>इत्थमाकर्ण्य दुर्वर्णं शक्रः सक्रोधतां दधे । अवोचदुच्चैः कस्कोयं धर्ममर्माणि कृन्तति ॥नैषधीयचरितम्१७.८४ ॥</v>
      </c>
      <c r="B4314" s="4" t="s">
        <v>2</v>
      </c>
      <c r="C4314" s="4"/>
    </row>
    <row r="4315" spans="1:3" ht="24" customHeight="1">
      <c r="A4315" s="4" t="str">
        <f ca="1">IFERROR(__xludf.DUMMYFUNCTION("""COMPUTED_VALUE"""),"लोकत्रयीं त्रयीनेत्रां वज्रवीर्यस्फुरत्करे । क इत्थं भाषते पाकशासने मयि शासति ॥नैषधीयचरितम्१७.८५ ॥")</f>
        <v>लोकत्रयीं त्रयीनेत्रां वज्रवीर्यस्फुरत्करे । क इत्थं भाषते पाकशासने मयि शासति ॥नैषधीयचरितम्१७.८५ ॥</v>
      </c>
      <c r="B4315" s="4" t="s">
        <v>2</v>
      </c>
      <c r="C4315" s="4"/>
    </row>
    <row r="4316" spans="1:3" ht="24" customHeight="1">
      <c r="A4316" s="4" t="str">
        <f ca="1">IFERROR(__xludf.DUMMYFUNCTION("""COMPUTED_VALUE"""),"वर्णासंकीर्णतायां वा जात्यलोपोऽन्यथापि वा । ब्रह्महादेः परीक्षासु भङ्गमङ्ग प्रमाणय ॥नैषधीयचरितम्१७.८६ ॥")</f>
        <v>वर्णासंकीर्णतायां वा जात्यलोपोऽन्यथापि वा । ब्रह्महादेः परीक्षासु भङ्गमङ्ग प्रमाणय ॥नैषधीयचरितम्१७.८६ ॥</v>
      </c>
      <c r="B4316" s="4" t="s">
        <v>5</v>
      </c>
      <c r="C4316" s="4"/>
    </row>
    <row r="4317" spans="1:3" ht="24" customHeight="1">
      <c r="A4317" s="4" t="str">
        <f ca="1">IFERROR(__xludf.DUMMYFUNCTION("""COMPUTED_VALUE"""),"ब्राह्मण्यादिप्रसिद्धाया गन्ता यन्नेक्षते जयम् । तद्विशुद्धिमशेषस्य वर्णवंशस्य शंसति ॥नैषधीयचरितम्१७.८७ ॥")</f>
        <v>ब्राह्मण्यादिप्रसिद्धाया गन्ता यन्नेक्षते जयम् । तद्विशुद्धिमशेषस्य वर्णवंशस्य शंसति ॥नैषधीयचरितम्१७.८७ ॥</v>
      </c>
      <c r="B4317" s="4" t="s">
        <v>2</v>
      </c>
      <c r="C4317" s="4"/>
    </row>
    <row r="4318" spans="1:3" ht="24" customHeight="1">
      <c r="A4318" s="4" t="str">
        <f ca="1">IFERROR(__xludf.DUMMYFUNCTION("""COMPUTED_VALUE"""),"जलानलपरीक्षादौ संवादो वेदवेदिते । गलहस्तितनास्तिक्यां धिग्धियं कुरुतेऽनते ॥नैषधीयचरितम्१७.८८ ॥")</f>
        <v>जलानलपरीक्षादौ संवादो वेदवेदिते । गलहस्तितनास्तिक्यां धिग्धियं कुरुतेऽनते ॥नैषधीयचरितम्१७.८८ ॥</v>
      </c>
      <c r="B4318" s="4" t="s">
        <v>2</v>
      </c>
      <c r="C4318" s="4"/>
    </row>
    <row r="4319" spans="1:3" ht="24" customHeight="1">
      <c r="A4319" s="4" t="str">
        <f ca="1">IFERROR(__xludf.DUMMYFUNCTION("""COMPUTED_VALUE"""),"सत्येव पतियोगादौ गर्भादेरध्रुवोदयात् । आक्षिप्तं नास्तिकाः कर्म न किं मर्म भिनत्ति वः ॥नैषधीयचरितम्१७.८९ ॥")</f>
        <v>सत्येव पतियोगादौ गर्भादेरध्रुवोदयात् । आक्षिप्तं नास्तिकाः कर्म न किं मर्म भिनत्ति वः ॥नैषधीयचरितम्१७.८९ ॥</v>
      </c>
      <c r="B4319" s="4" t="s">
        <v>4</v>
      </c>
      <c r="C4319" s="4"/>
    </row>
    <row r="4320" spans="1:3" ht="24" customHeight="1">
      <c r="A4320" s="4" t="str">
        <f ca="1">IFERROR(__xludf.DUMMYFUNCTION("""COMPUTED_VALUE"""),"याचतः स्वगयाश्राद्धं प्रेतस्याविश्य कंचन । नानादेशजनोपज्ञाः प्रत्येषि न कथाः कथम् ॥नैषधीयचरितम्१७.९ ॥")</f>
        <v>याचतः स्वगयाश्राद्धं प्रेतस्याविश्य कंचन । नानादेशजनोपज्ञाः प्रत्येषि न कथाः कथम् ॥नैषधीयचरितम्१७.९ ॥</v>
      </c>
      <c r="B4320" s="4" t="s">
        <v>10</v>
      </c>
      <c r="C4320" s="4"/>
    </row>
    <row r="4321" spans="1:3" ht="24" customHeight="1">
      <c r="A4321" s="4" t="str">
        <f ca="1">IFERROR(__xludf.DUMMYFUNCTION("""COMPUTED_VALUE"""),"नीतानां यमदूतेन नामभ्रान्तेरुपागतौ । श्रद्धत्से संवदन्तीं न परलोककथां कथम् ॥नैषधीयचरितम्१७.९१ ॥")</f>
        <v>नीतानां यमदूतेन नामभ्रान्तेरुपागतौ । श्रद्धत्से संवदन्तीं न परलोककथां कथम् ॥नैषधीयचरितम्१७.९१ ॥</v>
      </c>
      <c r="B4321" s="4" t="s">
        <v>10</v>
      </c>
      <c r="C4321" s="4"/>
    </row>
    <row r="4322" spans="1:3" ht="24" customHeight="1">
      <c r="A4322" s="4" t="str">
        <f ca="1">IFERROR(__xludf.DUMMYFUNCTION("""COMPUTED_VALUE"""),"जज्वाल ज्वलनः क्रोधादाचख्यौ चाक्षिपन्नमुम् । किमात्थ रे किमात्थेदमस्मदग्रे निरर्गलम् ॥नैषधीयचरितम्१७.९२ ॥")</f>
        <v>जज्वाल ज्वलनः क्रोधादाचख्यौ चाक्षिपन्नमुम् । किमात्थ रे किमात्थेदमस्मदग्रे निरर्गलम् ॥नैषधीयचरितम्१७.९२ ॥</v>
      </c>
      <c r="B4322" s="4" t="s">
        <v>11</v>
      </c>
      <c r="C4322" s="4"/>
    </row>
    <row r="4323" spans="1:3" ht="24" customHeight="1">
      <c r="A4323" s="4" t="str">
        <f ca="1">IFERROR(__xludf.DUMMYFUNCTION("""COMPUTED_VALUE"""),"महापराकिणः श्रौतधर्मैकबलजीविनः । क्षणाभक्षणमूर्च्छाल स्मरन्विस्मयसे न किम् ॥नैषधीयचरितम्१७.९३ ॥")</f>
        <v>महापराकिणः श्रौतधर्मैकबलजीविनः । क्षणाभक्षणमूर्च्छाल स्मरन्विस्मयसे न किम् ॥नैषधीयचरितम्१७.९३ ॥</v>
      </c>
      <c r="B4323" s="4" t="s">
        <v>19</v>
      </c>
      <c r="C4323" s="4"/>
    </row>
    <row r="4324" spans="1:3" ht="24" customHeight="1">
      <c r="A4324" s="4" t="str">
        <f ca="1">IFERROR(__xludf.DUMMYFUNCTION("""COMPUTED_VALUE"""),"पुत्रेष्टिश्येनकारीरीमुखा दृष्टफला मखाः । न वः किं धर्मसंदेहमन्देहजयभानवः ॥नैषधीयचरितम्१७.९४ ॥")</f>
        <v>पुत्रेष्टिश्येनकारीरीमुखा दृष्टफला मखाः । न वः किं धर्मसंदेहमन्देहजयभानवः ॥नैषधीयचरितम्१७.९४ ॥</v>
      </c>
      <c r="B4324" s="4" t="s">
        <v>4</v>
      </c>
      <c r="C4324" s="4"/>
    </row>
    <row r="4325" spans="1:3" ht="24" customHeight="1">
      <c r="A4325" s="4" t="str">
        <f ca="1">IFERROR(__xludf.DUMMYFUNCTION("""COMPUTED_VALUE"""),"दण्डताण्डवनैः कुर्वन्स्फुलिङ्गालिङ्गितं नभः । निर्ममेऽथ गिरामूर्मीर्भिन्नमर्मेव धर्मराट् ॥नैषधीयचरितम्१७.९५ ॥")</f>
        <v>दण्डताण्डवनैः कुर्वन्स्फुलिङ्गालिङ्गितं नभः । निर्ममेऽथ गिरामूर्मीर्भिन्नमर्मेव धर्मराट् ॥नैषधीयचरितम्१७.९५ ॥</v>
      </c>
      <c r="B4325" s="4" t="s">
        <v>0</v>
      </c>
      <c r="C4325" s="4"/>
    </row>
    <row r="4326" spans="1:3" ht="24" customHeight="1">
      <c r="A4326" s="4" t="str">
        <f ca="1">IFERROR(__xludf.DUMMYFUNCTION("""COMPUTED_VALUE"""),"तिष्ठ भोस्तिष्ठ कण्ठोष्ठं कुण्ठयामि हठादयम् । अपष्ठु पठतः पाठ्यमधिगोष्ठि शठस्य ते ॥नैषधीयचरितम्१७.९६ ॥")</f>
        <v>तिष्ठ भोस्तिष्ठ कण्ठोष्ठं कुण्ठयामि हठादयम् । अपष्ठु पठतः पाठ्यमधिगोष्ठि शठस्य ते ॥नैषधीयचरितम्१७.९६ ॥</v>
      </c>
      <c r="B4326" s="4" t="s">
        <v>2</v>
      </c>
      <c r="C4326" s="4"/>
    </row>
    <row r="4327" spans="1:3" ht="24" customHeight="1">
      <c r="A4327" s="4" t="str">
        <f ca="1">IFERROR(__xludf.DUMMYFUNCTION("""COMPUTED_VALUE"""),"वेदैस्तद्वेषिभिस्तद्वत्स्थिरं मतशतैः कृतम् । परं कस्ते परं वाचा लोकं लोकायत त्यजेत् ॥नैषधीयचरितम्१७.९७ ॥")</f>
        <v>वेदैस्तद्वेषिभिस्तद्वत्स्थिरं मतशतैः कृतम् । परं कस्ते परं वाचा लोकं लोकायत त्यजेत् ॥नैषधीयचरितम्१७.९७ ॥</v>
      </c>
      <c r="B4327" s="4" t="s">
        <v>3</v>
      </c>
      <c r="C4327" s="4"/>
    </row>
    <row r="4328" spans="1:3" ht="24" customHeight="1">
      <c r="A4328" s="4" t="str">
        <f ca="1">IFERROR(__xludf.DUMMYFUNCTION("""COMPUTED_VALUE"""),"समज्ञानाल्पभूयिष्ठपान्थवैमत्यमेत्य यम् । लोके प्रयासि पन्थानं परलोके न तं कुतः ॥नैषधीयचरितम्१७.९८ ॥")</f>
        <v>समज्ञानाल्पभूयिष्ठपान्थवैमत्यमेत्य यम् । लोके प्रयासि पन्थानं परलोके न तं कुतः ॥नैषधीयचरितम्१७.९८ ॥</v>
      </c>
      <c r="B4328" s="4" t="s">
        <v>2</v>
      </c>
      <c r="C4328" s="4"/>
    </row>
    <row r="4329" spans="1:3" ht="24" customHeight="1">
      <c r="A4329" s="4" t="str">
        <f ca="1">IFERROR(__xludf.DUMMYFUNCTION("""COMPUTED_VALUE"""),"स्वकन्यामन्यसात्कर्तुं विश्वानुमतिदृश्वनः । लोके परत्र लोकस्य कस्य न स्यादृढं मनः ॥नैषधीयचरितम्१७.९९ ॥")</f>
        <v>स्वकन्यामन्यसात्कर्तुं विश्वानुमतिदृश्वनः । लोके परत्र लोकस्य कस्य न स्यादृढं मनः ॥नैषधीयचरितम्१७.९९ ॥</v>
      </c>
      <c r="B4329" s="4" t="s">
        <v>1</v>
      </c>
      <c r="C4329" s="4"/>
    </row>
    <row r="4330" spans="1:3" ht="24" customHeight="1">
      <c r="A4330" s="4" t="str">
        <f ca="1">IFERROR(__xludf.DUMMYFUNCTION("""COMPUTED_VALUE"""),"कस्मिन्नपि मते सत्ये हताः सर्वमतत्यजः । तद्दृष्ट्या व्यर्थतामात्रमनर्थस्तु न धर्मजः ॥नैषधीयचरितम्१७.१ ॥")</f>
        <v>कस्मिन्नपि मते सत्ये हताः सर्वमतत्यजः । तद्दृष्ट्या व्यर्थतामात्रमनर्थस्तु न धर्मजः ॥नैषधीयचरितम्१७.१ ॥</v>
      </c>
      <c r="B4330" s="4" t="s">
        <v>3</v>
      </c>
      <c r="C4330" s="4"/>
    </row>
    <row r="4331" spans="1:3" ht="24" customHeight="1">
      <c r="A4331" s="4" t="str">
        <f ca="1">IFERROR(__xludf.DUMMYFUNCTION("""COMPUTED_VALUE"""),"क्वापि सर्वैरवैमत्यात्पातित्यादन्यथा क्वचित् । स्थातव्यं श्रौत एव स्याद्धर्मे शेषेऽपि तत्कृतेः ॥नैषधीयचरितम्१७.१०१ ॥")</f>
        <v>क्वापि सर्वैरवैमत्यात्पातित्यादन्यथा क्वचित् । स्थातव्यं श्रौत एव स्याद्धर्मे शेषेऽपि तत्कृतेः ॥नैषधीयचरितम्१७.१०१ ॥</v>
      </c>
      <c r="B4331" s="4" t="s">
        <v>2</v>
      </c>
      <c r="C4331" s="4"/>
    </row>
    <row r="4332" spans="1:3" ht="24" customHeight="1">
      <c r="A4332" s="4" t="str">
        <f ca="1">IFERROR(__xludf.DUMMYFUNCTION("""COMPUTED_VALUE"""),"बभाण वरुणः क्रोधादरुणः करुणोज्झितम् । किं न प्रचण्डात्पाखण्डपाश पाशाद्बिभेषि नः ॥नैषधीयचरितम्१७.१०२ ॥")</f>
        <v>बभाण वरुणः क्रोधादरुणः करुणोज्झितम् । किं न प्रचण्डात्पाखण्डपाश पाशाद्बिभेषि नः ॥नैषधीयचरितम्१७.१०२ ॥</v>
      </c>
      <c r="B4332" s="4" t="s">
        <v>1</v>
      </c>
      <c r="C4332" s="4"/>
    </row>
    <row r="4333" spans="1:3" ht="24" customHeight="1">
      <c r="A4333" s="4" t="str">
        <f ca="1">IFERROR(__xludf.DUMMYFUNCTION("""COMPUTED_VALUE"""),"मानवाशक्यनिर्माणा कूर्माद्यङ्कबिला शिला । न श्रद्धापयते मुग्धास्तीर्थिकाध्वनि वः कथम् ॥नैषधीयचरितम्१७.१०३ ॥")</f>
        <v>मानवाशक्यनिर्माणा कूर्माद्यङ्कबिला शिला । न श्रद्धापयते मुग्धास्तीर्थिकाध्वनि वः कथम् ॥नैषधीयचरितम्१७.१०३ ॥</v>
      </c>
      <c r="B4333" s="4" t="s">
        <v>10</v>
      </c>
      <c r="C4333" s="4"/>
    </row>
    <row r="4334" spans="1:3" ht="24" customHeight="1">
      <c r="A4334" s="4" t="str">
        <f ca="1">IFERROR(__xludf.DUMMYFUNCTION("""COMPUTED_VALUE"""),"शतक्रतूरुजाद्याख्याविख्यातिर्नास्तिकाः कथम् । श्रुतिवृत्तान्तसंवादैर्न वश्चमदचीकरत् ॥नैषधीयचरितम्१७.१०४ ॥")</f>
        <v>शतक्रतूरुजाद्याख्याविख्यातिर्नास्तिकाः कथम् । श्रुतिवृत्तान्तसंवादैर्न वश्चमदचीकरत् ॥नैषधीयचरितम्१७.१०४ ॥</v>
      </c>
      <c r="B4334" s="4" t="s">
        <v>0</v>
      </c>
      <c r="C4334" s="4"/>
    </row>
    <row r="4335" spans="1:3" ht="24" customHeight="1">
      <c r="A4335" s="4" t="str">
        <f ca="1">IFERROR(__xludf.DUMMYFUNCTION("""COMPUTED_VALUE"""),"तत्तज्जनकृतावेशान्गयाश्राद्धादियाचिनः । भूताननुभवन्तोऽपि कथं श्रद्धत्थ न श्रुतीः ॥नैषधीयचरितम्१७.१०५ ॥")</f>
        <v>तत्तज्जनकृतावेशान्गयाश्राद्धादियाचिनः । भूताननुभवन्तोऽपि कथं श्रद्धत्थ न श्रुतीः ॥नैषधीयचरितम्१७.१०५ ॥</v>
      </c>
      <c r="B4335" s="4" t="s">
        <v>2</v>
      </c>
      <c r="C4335" s="4"/>
    </row>
    <row r="4336" spans="1:3" ht="24" customHeight="1">
      <c r="A4336" s="4" t="str">
        <f ca="1">IFERROR(__xludf.DUMMYFUNCTION("""COMPUTED_VALUE"""),"नामभ्रमाद्यमं नीतानथ स्वतनुमागतान् । संवादवादिनो जीवान्वीक्ष्य मा त्यजत श्रुतीः ॥नैषधीयचरितम्१७.१०६ ॥")</f>
        <v>नामभ्रमाद्यमं नीतानथ स्वतनुमागतान् । संवादवादिनो जीवान्वीक्ष्य मा त्यजत श्रुतीः ॥नैषधीयचरितम्१७.१०६ ॥</v>
      </c>
      <c r="B4336" s="4" t="s">
        <v>2</v>
      </c>
      <c r="C4336" s="4"/>
    </row>
    <row r="4337" spans="1:3" ht="24" customHeight="1">
      <c r="A4337" s="4" t="str">
        <f ca="1">IFERROR(__xludf.DUMMYFUNCTION("""COMPUTED_VALUE"""),"संरम्भैर्जम्भजैत्रादेस्तभ्यमानाद्बलाद्वलन् । मूर्धबद्धाञ्जलिर्देवानथैवं कश्चिदूचिवान् ॥नैषधीयचरितम्१७.१०७ ॥")</f>
        <v>संरम्भैर्जम्भजैत्रादेस्तभ्यमानाद्बलाद्वलन् । मूर्धबद्धाञ्जलिर्देवानथैवं कश्चिदूचिवान् ॥नैषधीयचरितम्१७.१०७ ॥</v>
      </c>
      <c r="B4337" s="4" t="s">
        <v>4</v>
      </c>
      <c r="C4337" s="4"/>
    </row>
    <row r="4338" spans="1:3" ht="24" customHeight="1">
      <c r="A4338" s="4" t="str">
        <f ca="1">IFERROR(__xludf.DUMMYFUNCTION("""COMPUTED_VALUE"""),"नापराधी पराधीनो जनोऽयं नाकनायकाः । कालस्याहं कलेर्बन्दी तच्चाटुचटुलाननः ॥नैषधीयचरितम्१७.१०८ ॥")</f>
        <v>नापराधी पराधीनो जनोऽयं नाकनायकाः । कालस्याहं कलेर्बन्दी तच्चाटुचटुलाननः ॥नैषधीयचरितम्१७.१०८ ॥</v>
      </c>
      <c r="B4338" s="4" t="s">
        <v>1</v>
      </c>
      <c r="C4338" s="4"/>
    </row>
    <row r="4339" spans="1:3" ht="24" customHeight="1">
      <c r="A4339" s="4" t="str">
        <f ca="1">IFERROR(__xludf.DUMMYFUNCTION("""COMPUTED_VALUE"""),"इति तस्मिन्वदत्येव देवाः स्यन्दनमन्दिरम् । कलिमाकलयांचक्रुर्द्वापरं चापरं पुरः ॥नैषधीयचरितम्१७.१०९ ॥")</f>
        <v>इति तस्मिन्वदत्येव देवाः स्यन्दनमन्दिरम् । कलिमाकलयांचक्रुर्द्वापरं चापरं पुरः ॥नैषधीयचरितम्१७.१०९ ॥</v>
      </c>
      <c r="B4339" s="4" t="s">
        <v>0</v>
      </c>
      <c r="C4339" s="4"/>
    </row>
    <row r="4340" spans="1:3" ht="24" customHeight="1">
      <c r="A4340" s="4" t="str">
        <f ca="1">IFERROR(__xludf.DUMMYFUNCTION("""COMPUTED_VALUE"""),"संददर्शोन्नमद्ग्रीवः श्रीबहुत्वकृताद्भुतान् । तत्तत्पापपरीतस्तान्नाकीयान्नारकीव सः ॥नैषधीयचरितम्१७.११ ॥")</f>
        <v>संददर्शोन्नमद्ग्रीवः श्रीबहुत्वकृताद्भुतान् । तत्तत्पापपरीतस्तान्नाकीयान्नारकीव सः ॥नैषधीयचरितम्१७.११ ॥</v>
      </c>
      <c r="B4340" s="4" t="s">
        <v>18</v>
      </c>
      <c r="C4340" s="4"/>
    </row>
    <row r="4341" spans="1:3" ht="24" customHeight="1">
      <c r="A4341" s="4" t="str">
        <f ca="1">IFERROR(__xludf.DUMMYFUNCTION("""COMPUTED_VALUE"""),"गुरुरीढावलीढः प्रागभून्नमितमस्तकः । स त्रिशङ्कुरिवाक्रान्ततेजसेव बिडौजसः ॥नैषधीयचरितम्१७.१११ ॥")</f>
        <v>गुरुरीढावलीढः प्रागभून्नमितमस्तकः । स त्रिशङ्कुरिवाक्रान्ततेजसेव बिडौजसः ॥नैषधीयचरितम्१७.१११ ॥</v>
      </c>
      <c r="B4341" s="4" t="s">
        <v>18</v>
      </c>
      <c r="C4341" s="4"/>
    </row>
    <row r="4342" spans="1:3" ht="24" customHeight="1">
      <c r="A4342" s="4" t="str">
        <f ca="1">IFERROR(__xludf.DUMMYFUNCTION("""COMPUTED_VALUE"""),"विमुखान्द्रष्टुमप्येनं जनंगम इव द्विजान् । एष मत्तः सहेलं तानुपेत्य समभाषत ॥नैषधीयचरितम्१७.११२ ॥")</f>
        <v>विमुखान्द्रष्टुमप्येनं जनंगम इव द्विजान् । एष मत्तः सहेलं तानुपेत्य समभाषत ॥नैषधीयचरितम्१७.११२ ॥</v>
      </c>
      <c r="B4342" s="4" t="s">
        <v>2</v>
      </c>
      <c r="C4342" s="4"/>
    </row>
    <row r="4343" spans="1:3" ht="24" customHeight="1">
      <c r="A4343" s="4" t="str">
        <f ca="1">IFERROR(__xludf.DUMMYFUNCTION("""COMPUTED_VALUE"""),"स्वस्ति वास्तोष्पते तुभ्यं शिखिन्नस्ति न खिन्नता । सखे काल सुखेनासि पाशहस्त मुदस्तव ॥नैषधीयचरितम्१७.११३ ॥")</f>
        <v>स्वस्ति वास्तोष्पते तुभ्यं शिखिन्नस्ति न खिन्नता । सखे काल सुखेनासि पाशहस्त मुदस्तव ॥नैषधीयचरितम्१७.११३ ॥</v>
      </c>
      <c r="B4343" s="4" t="s">
        <v>4</v>
      </c>
      <c r="C4343" s="4"/>
    </row>
    <row r="4344" spans="1:3" ht="24" customHeight="1">
      <c r="A4344" s="4" t="str">
        <f ca="1">IFERROR(__xludf.DUMMYFUNCTION("""COMPUTED_VALUE"""),"स्वयंवरमहे भैमीवरणाय त्वरामहे । तदस्माननुमन्यध्वमध्वने तत्र धाविने ॥नैषधीयचरितम्१७.११४ ॥")</f>
        <v>स्वयंवरमहे भैमीवरणाय त्वरामहे । तदस्माननुमन्यध्वमध्वने तत्र धाविने ॥नैषधीयचरितम्१७.११४ ॥</v>
      </c>
      <c r="B4344" s="4" t="s">
        <v>1</v>
      </c>
      <c r="C4344" s="4"/>
    </row>
    <row r="4345" spans="1:3" ht="24" customHeight="1">
      <c r="A4345" s="4" t="str">
        <f ca="1">IFERROR(__xludf.DUMMYFUNCTION("""COMPUTED_VALUE"""),"तेऽवज्ञाय तमस्योच्चैरहंकारमकारणम् । ऊचिरेऽतिचिरेणैनं स्मित्वा दृष्टमुखा मिथः ॥नैषधीयचरितम्१७.११५ ॥")</f>
        <v>तेऽवज्ञाय तमस्योच्चैरहंकारमकारणम् । ऊचिरेऽतिचिरेणैनं स्मित्वा दृष्टमुखा मिथः ॥नैषधीयचरितम्१७.११५ ॥</v>
      </c>
      <c r="B4345" s="4" t="s">
        <v>10</v>
      </c>
      <c r="C4345" s="4"/>
    </row>
    <row r="4346" spans="1:3" ht="24" customHeight="1">
      <c r="A4346" s="4" t="str">
        <f ca="1">IFERROR(__xludf.DUMMYFUNCTION("""COMPUTED_VALUE"""),"पुनर्वक्ष्यसि मा मैवं कथमुद्वक्ष्यसे तु सः । सृष्टवान्परमेष्ठी यं नैष्ठिकब्रह्मचारिणम् ॥नैषधीयचरितम्१७.११६ ॥")</f>
        <v>पुनर्वक्ष्यसि मा मैवं कथमुद्वक्ष्यसे तु सः । सृष्टवान्परमेष्ठी यं नैष्ठिकब्रह्मचारिणम् ॥नैषधीयचरितम्१७.११६ ॥</v>
      </c>
      <c r="B4346" s="4" t="s">
        <v>7</v>
      </c>
      <c r="C4346" s="4"/>
    </row>
    <row r="4347" spans="1:3" ht="24" customHeight="1">
      <c r="A4347" s="4" t="str">
        <f ca="1">IFERROR(__xludf.DUMMYFUNCTION("""COMPUTED_VALUE"""),"द्रोहिणं द्रुहिणो वेत्तु त्वामाकर्ण्यावकीर्णिनम् । त्वज्जनैरपि वा धातुः सेतुर्लङ्घ्यस्त्वया न किम् ॥नैषधीयचरितम्१७.११७ ॥")</f>
        <v>द्रोहिणं द्रुहिणो वेत्तु त्वामाकर्ण्यावकीर्णिनम् । त्वज्जनैरपि वा धातुः सेतुर्लङ्घ्यस्त्वया न किम् ॥नैषधीयचरितम्१७.११७ ॥</v>
      </c>
      <c r="B4347" s="4" t="s">
        <v>19</v>
      </c>
      <c r="C4347" s="4"/>
    </row>
    <row r="4348" spans="1:3" ht="24" customHeight="1">
      <c r="A4348" s="4" t="str">
        <f ca="1">IFERROR(__xludf.DUMMYFUNCTION("""COMPUTED_VALUE"""),"अतिवृत्तः स वृत्तान्तस्त्रिजगद्युवगर्वनुत् । आगच्छतामपादानं स स्वयंवर एव नः ॥नैषधीयचरितम्१७.११८ ॥")</f>
        <v>अतिवृत्तः स वृत्तान्तस्त्रिजगद्युवगर्वनुत् । आगच्छतामपादानं स स्वयंवर एव नः ॥नैषधीयचरितम्१७.११८ ॥</v>
      </c>
      <c r="B4348" s="4" t="s">
        <v>1</v>
      </c>
      <c r="C4348" s="4"/>
    </row>
    <row r="4349" spans="1:3" ht="24" customHeight="1">
      <c r="A4349" s="4" t="str">
        <f ca="1">IFERROR(__xludf.DUMMYFUNCTION("""COMPUTED_VALUE"""),"नागेषु सानुरागेषु पश्यत्सु दिविषत्सु च । भूमिपालं नरं भैमी वरं साऽववरद्वरम् ॥नैषधीयचरितम्१७.११९ ॥")</f>
        <v>नागेषु सानुरागेषु पश्यत्सु दिविषत्सु च । भूमिपालं नरं भैमी वरं साऽववरद्वरम् ॥नैषधीयचरितम्१७.११९ ॥</v>
      </c>
      <c r="B4349" s="4" t="s">
        <v>0</v>
      </c>
      <c r="C4349" s="4"/>
    </row>
    <row r="4350" spans="1:3" ht="24" customHeight="1">
      <c r="A4350" s="4" t="str">
        <f ca="1">IFERROR(__xludf.DUMMYFUNCTION("""COMPUTED_VALUE"""),"भुजगेशानसद्वेशान्वानरानितरान्नरान् । अमरान्पामरान्भैमी नलं वेद गुणोज्ज्वलम् ॥नैषधीयचरितम्१७.१२ ॥")</f>
        <v>भुजगेशानसद्वेशान्वानरानितरान्नरान् । अमरान्पामरान्भैमी नलं वेद गुणोज्ज्वलम् ॥नैषधीयचरितम्१७.१२ ॥</v>
      </c>
      <c r="B4350" s="4" t="s">
        <v>11</v>
      </c>
      <c r="C4350" s="4"/>
    </row>
    <row r="4351" spans="1:3" ht="24" customHeight="1">
      <c r="A4351" s="4" t="str">
        <f ca="1">IFERROR(__xludf.DUMMYFUNCTION("""COMPUTED_VALUE"""),"इति श्रुत्वा स रोषान्धः परमश्चरमं युगम् । जगन्नाशनिशारुद्रमुद्रस्तानुक्तवानदः ॥नैषधीयचरितम्१७.१२१ ॥")</f>
        <v>इति श्रुत्वा स रोषान्धः परमश्चरमं युगम् । जगन्नाशनिशारुद्रमुद्रस्तानुक्तवानदः ॥नैषधीयचरितम्१७.१२१ ॥</v>
      </c>
      <c r="B4351" s="4" t="s">
        <v>17</v>
      </c>
      <c r="C4351" s="4"/>
    </row>
    <row r="4352" spans="1:3" ht="24" customHeight="1">
      <c r="A4352" s="4" t="str">
        <f ca="1">IFERROR(__xludf.DUMMYFUNCTION("""COMPUTED_VALUE"""),"कयापि क्रीडतु ब्रह्मा दिव्याः स्त्रीर्दीव्यत स्वयम् । कलिस्तु चरतु ब्रह्म प्रैतु वातिप्रियाय वः ॥नैषधीयचरितम्१७.१२२ ॥")</f>
        <v>कयापि क्रीडतु ब्रह्मा दिव्याः स्त्रीर्दीव्यत स्वयम् । कलिस्तु चरतु ब्रह्म प्रैतु वातिप्रियाय वः ॥नैषधीयचरितम्१७.१२२ ॥</v>
      </c>
      <c r="B4352" s="4" t="s">
        <v>4</v>
      </c>
      <c r="C4352" s="4"/>
    </row>
    <row r="4353" spans="1:3" ht="24" customHeight="1">
      <c r="A4353" s="4" t="str">
        <f ca="1">IFERROR(__xludf.DUMMYFUNCTION("""COMPUTED_VALUE"""),"चर्येव कतमेयं वः परस्मै धर्मदेशिनाम् । स्वयं तत्कुर्वतां सर्वं श्रोतुं यद्बिभितः श्रुती ॥नैषधीयचरितम्१७.१२३ ॥")</f>
        <v>चर्येव कतमेयं वः परस्मै धर्मदेशिनाम् । स्वयं तत्कुर्वतां सर्वं श्रोतुं यद्बिभितः श्रुती ॥नैषधीयचरितम्१७.१२३ ॥</v>
      </c>
      <c r="B4353" s="4" t="s">
        <v>2</v>
      </c>
      <c r="C4353" s="4"/>
    </row>
    <row r="4354" spans="1:3" ht="24" customHeight="1">
      <c r="A4354" s="4" t="str">
        <f ca="1">IFERROR(__xludf.DUMMYFUNCTION("""COMPUTED_VALUE"""),"तत्र स्वयंवरेऽलम्भि भुवः श्रीर्नैषाधेन सा । जगतो ह्रीस्तु युष्माभिर्लाभस्तुल्याभ एव वः ॥नैषधीयचरितम्१७.१२४ ॥")</f>
        <v>तत्र स्वयंवरेऽलम्भि भुवः श्रीर्नैषाधेन सा । जगतो ह्रीस्तु युष्माभिर्लाभस्तुल्याभ एव वः ॥नैषधीयचरितम्१७.१२४ ॥</v>
      </c>
      <c r="B4354" s="4" t="s">
        <v>4</v>
      </c>
      <c r="C4354" s="4"/>
    </row>
    <row r="4355" spans="1:3" ht="24" customHeight="1">
      <c r="A4355" s="4" t="str">
        <f ca="1">IFERROR(__xludf.DUMMYFUNCTION("""COMPUTED_VALUE"""),"दूरान्नः प्रेक्ष्य यौष्माकी युक्तेयं वक्त्रवक्रणा । लज्जयैवासमर्थानां मुखमास्माकमीक्षितुम् ॥नैषधीयचरितम्१७.१२५ ॥")</f>
        <v>दूरान्नः प्रेक्ष्य यौष्माकी युक्तेयं वक्त्रवक्रणा । लज्जयैवासमर्थानां मुखमास्माकमीक्षितुम् ॥नैषधीयचरितम्१७.१२५ ॥</v>
      </c>
      <c r="B4355" s="4" t="s">
        <v>2</v>
      </c>
      <c r="C4355" s="4"/>
    </row>
    <row r="4356" spans="1:3" ht="24" customHeight="1">
      <c r="A4356" s="4" t="str">
        <f ca="1">IFERROR(__xludf.DUMMYFUNCTION("""COMPUTED_VALUE"""),"स्थितं भवद्भिः पश्यद्भिः कथं भोस्तदसांप्रतम् । निर्दग्धा दुर्विदग्धा किं सा दृशा न ज्वलत्क्रुधा ॥नैषधीयचरितम्१७.१२६ ॥")</f>
        <v>स्थितं भवद्भिः पश्यद्भिः कथं भोस्तदसांप्रतम् । निर्दग्धा दुर्विदग्धा किं सा दृशा न ज्वलत्क्रुधा ॥नैषधीयचरितम्१७.१२६ ॥</v>
      </c>
      <c r="B4356" s="4" t="s">
        <v>20</v>
      </c>
      <c r="C4356" s="4"/>
    </row>
    <row r="4357" spans="1:3" ht="24" customHeight="1">
      <c r="A4357" s="4" t="str">
        <f ca="1">IFERROR(__xludf.DUMMYFUNCTION("""COMPUTED_VALUE"""),"महावंशाननादृत्य महान्तमभिलाषुका । स्वीचकार कथंकारमहो सा तरलं नलम् ॥नैषधीयचरितम्१७.१२७ ॥")</f>
        <v>महावंशाननादृत्य महान्तमभिलाषुका । स्वीचकार कथंकारमहो सा तरलं नलम् ॥नैषधीयचरितम्१७.१२७ ॥</v>
      </c>
      <c r="B4357" s="4" t="s">
        <v>11</v>
      </c>
      <c r="C4357" s="4"/>
    </row>
    <row r="4358" spans="1:3" ht="24" customHeight="1">
      <c r="A4358" s="4" t="str">
        <f ca="1">IFERROR(__xludf.DUMMYFUNCTION("""COMPUTED_VALUE"""),"भवादृशैर्दिशामीशैर्मृग्यमाणां मृगेक्षणाम् । स्वीकुर्वाणः कथं सोढः कृतरीढस्तृणं नलः ॥नैषधीयचरितम्१७.१२८ ॥")</f>
        <v>भवादृशैर्दिशामीशैर्मृग्यमाणां मृगेक्षणाम् । स्वीकुर्वाणः कथं सोढः कृतरीढस्तृणं नलः ॥नैषधीयचरितम्१७.१२८ ॥</v>
      </c>
      <c r="B4358" s="4" t="s">
        <v>11</v>
      </c>
      <c r="C4358" s="4"/>
    </row>
    <row r="4359" spans="1:3" ht="24" customHeight="1">
      <c r="A4359" s="4" t="str">
        <f ca="1">IFERROR(__xludf.DUMMYFUNCTION("""COMPUTED_VALUE"""),"दारुणः कूटमाश्रित्य शिखी साक्षीभवन्नपि । नावहत्किं तदुद्वाहे कूटसाक्षिक्रियामयम् ॥नैषधीयचरितम्१७.१२९ ॥")</f>
        <v>दारुणः कूटमाश्रित्य शिखी साक्षीभवन्नपि । नावहत्किं तदुद्वाहे कूटसाक्षिक्रियामयम् ॥नैषधीयचरितम्१७.१२९ ॥</v>
      </c>
      <c r="B4359" s="4" t="s">
        <v>5</v>
      </c>
      <c r="C4359" s="4"/>
    </row>
    <row r="4360" spans="1:3" ht="24" customHeight="1">
      <c r="A4360" s="4" t="str">
        <f ca="1">IFERROR(__xludf.DUMMYFUNCTION("""COMPUTED_VALUE"""),"अहो महःसहायानां संभूता भवतामपि । क्षमैवास्मै कलङ्काय देवस्येवामृतद्युतेः ॥नैषधीयचरितम्१७.१३ ॥")</f>
        <v>अहो महःसहायानां संभूता भवतामपि । क्षमैवास्मै कलङ्काय देवस्येवामृतद्युतेः ॥नैषधीयचरितम्१७.१३ ॥</v>
      </c>
      <c r="B4360" s="4" t="s">
        <v>2</v>
      </c>
      <c r="C4360" s="4"/>
    </row>
    <row r="4361" spans="1:3" ht="24" customHeight="1">
      <c r="A4361" s="4" t="str">
        <f ca="1">IFERROR(__xludf.DUMMYFUNCTION("""COMPUTED_VALUE"""),"सा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॥नैषधीयचरितम्१७.१३१ ॥")</f>
        <v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॥नैषधीयचरितम्१७.१३१ ॥</v>
      </c>
      <c r="B4361" s="4" t="s">
        <v>2</v>
      </c>
      <c r="C4361" s="4"/>
    </row>
    <row r="4362" spans="1:3" ht="24" customHeight="1">
      <c r="A4362" s="4" t="str">
        <f ca="1">IFERROR(__xludf.DUMMYFUNCTION("""COMPUTED_VALUE"""),"यतध्वं सहकर्तुं मां पाञ्चाली पाण्डवैरिव । सापि पञ्चभिरस्माभिः संविभज्यैव भुज्यताम् ॥नैषधीयचरितम्१७.१३२ ॥")</f>
        <v>यतध्वं सहकर्तुं मां पाञ्चाली पाण्डवैरिव । सापि पञ्चभिरस्माभिः संविभज्यैव भुज्यताम् ॥नैषधीयचरितम्१७.१३२ ॥</v>
      </c>
      <c r="B4362" s="4" t="s">
        <v>2</v>
      </c>
      <c r="C4362" s="4"/>
    </row>
    <row r="4363" spans="1:3" ht="24" customHeight="1">
      <c r="A4363" s="4" t="str">
        <f ca="1">IFERROR(__xludf.DUMMYFUNCTION("""COMPUTED_VALUE"""),"अथापरिवृढा सोढुं मूर्खतां मुखरस्य ताम् । चक्रे गिरा शराघातं भारती सारतीव्रया ॥नैषधीयचरितम्१७.१३३ ॥")</f>
        <v>अथापरिवृढा सोढुं मूर्खतां मुखरस्य ताम् । चक्रे गिरा शराघातं भारती सारतीव्रया ॥नैषधीयचरितम्१७.१३३ ॥</v>
      </c>
      <c r="B4363" s="4" t="s">
        <v>5</v>
      </c>
      <c r="C4363" s="4"/>
    </row>
    <row r="4364" spans="1:3" ht="24" customHeight="1">
      <c r="A4364" s="4" t="str">
        <f ca="1">IFERROR(__xludf.DUMMYFUNCTION("""COMPUTED_VALUE"""),"कीर्तिं भैमीं वरं चास्मै दातुमेवागमन्नमी । न लीढे धीरवैदग्धीं धीरगम्भीरगाहिनी ॥नैषधीयचरितम्१७.१३४ ॥")</f>
        <v>कीर्तिं भैमीं वरं चास्मै दातुमेवागमन्नमी । न लीढे धीरवैदग्धीं धीरगम्भीरगाहिनी ॥नैषधीयचरितम्१७.१३४ ॥</v>
      </c>
      <c r="B4364" s="4" t="s">
        <v>1</v>
      </c>
      <c r="C4364" s="4"/>
    </row>
    <row r="4365" spans="1:3" ht="24" customHeight="1">
      <c r="A4365" s="4" t="str">
        <f ca="1">IFERROR(__xludf.DUMMYFUNCTION("""COMPUTED_VALUE"""),"वाग्ग्मिनीं जडजिह्वस्तां प्रतिवक्तुमशक्तिमान् । लीलावहेलितां कृत्वा देवानेवावदत्कलिः ॥नैषधीयचरितम्१७.१३५ ॥")</f>
        <v>वाग्ग्मिनीं जडजिह्वस्तां प्रतिवक्तुमशक्तिमान् । लीलावहेलितां कृत्वा देवानेवावदत्कलिः ॥नैषधीयचरितम्१७.१३५ ॥</v>
      </c>
      <c r="B4365" s="4" t="s">
        <v>11</v>
      </c>
      <c r="C4365" s="4"/>
    </row>
    <row r="4366" spans="1:3" ht="24" customHeight="1">
      <c r="A4366" s="4" t="str">
        <f ca="1">IFERROR(__xludf.DUMMYFUNCTION("""COMPUTED_VALUE"""),"प्रौञ्छि वाञ्छितमस्माभिरपि तां प्रति संप्रति । तस्मिन्नले न लेशोऽपि कारुण्यस्यास्ति नः पुनः ॥नैषधीयचरितम्१७.१३६ ॥")</f>
        <v>प्रौञ्छि वाञ्छितमस्माभिरपि तां प्रति संप्रति । तस्मिन्नले न लेशोऽपि कारुण्यस्यास्ति नः पुनः ॥नैषधीयचरितम्१७.१३६ ॥</v>
      </c>
      <c r="B4366" s="4" t="s">
        <v>1</v>
      </c>
      <c r="C4366" s="4"/>
    </row>
    <row r="4367" spans="1:3" ht="24" customHeight="1">
      <c r="A4367" s="4" t="str">
        <f ca="1">IFERROR(__xludf.DUMMYFUNCTION("""COMPUTED_VALUE"""),"वृत्ते कर्मणि कुर्मः किं तदा नाभूम तत्र यत् । कालोचितमिदानीं यः शृणुतालोचितं पुनः ॥नैषधीयचरितम्१७.१३७ ॥")</f>
        <v>वृत्ते कर्मणि कुर्मः किं तदा नाभूम तत्र यत् । कालोचितमिदानीं यः शृणुतालोचितं पुनः ॥नैषधीयचरितम्१७.१३७ ॥</v>
      </c>
      <c r="B4367" s="4" t="s">
        <v>1</v>
      </c>
      <c r="C4367" s="4"/>
    </row>
    <row r="4368" spans="1:3" ht="24" customHeight="1">
      <c r="A4368" s="4" t="str">
        <f ca="1">IFERROR(__xludf.DUMMYFUNCTION("""COMPUTED_VALUE"""),"प्रतिज्ञेयं नले विज्ञाः कलेर्विज्ञायतां मम । तेन भैमीं च भूमिं च त्याजयामि जयामि तम् ॥नैषधीयचरितम्१७.१३८ ॥")</f>
        <v>प्रतिज्ञेयं नले विज्ञाः कलेर्विज्ञायतां मम । तेन भैमीं च भूमिं च त्याजयामि जयामि तम् ॥नैषधीयचरितम्१७.१३८ ॥</v>
      </c>
      <c r="B4368" s="4" t="s">
        <v>2</v>
      </c>
      <c r="C4368" s="4"/>
    </row>
    <row r="4369" spans="1:3" ht="24" customHeight="1">
      <c r="A4369" s="4" t="str">
        <f ca="1">IFERROR(__xludf.DUMMYFUNCTION("""COMPUTED_VALUE"""),"नैषधेन विरोधं मे चण्डतामण्डितैजसः । जगन्ति हन्त गायन्तु रवेः कैरववैरवत् ॥नैषधीयचरितम्१७.१३९ ॥")</f>
        <v>नैषधेन विरोधं मे चण्डतामण्डितैजसः । जगन्ति हन्त गायन्तु रवेः कैरववैरवत् ॥नैषधीयचरितम्१७.१३९ ॥</v>
      </c>
      <c r="B4369" s="4" t="s">
        <v>4</v>
      </c>
      <c r="C4369" s="4"/>
    </row>
    <row r="4370" spans="1:3" ht="24" customHeight="1">
      <c r="A4370" s="4" t="str">
        <f ca="1">IFERROR(__xludf.DUMMYFUNCTION("""COMPUTED_VALUE"""),"द्वापरः साधुकारेण तद्विकारमदीदिपत् । प्रणीय श्रवणे पाणिमवोचन्नमुचे रिपुः ॥नैषधीयचरितम्१७.१४ ॥")</f>
        <v>द्वापरः साधुकारेण तद्विकारमदीदिपत् । प्रणीय श्रवणे पाणिमवोचन्नमुचे रिपुः ॥नैषधीयचरितम्१७.१४ ॥</v>
      </c>
      <c r="B4370" s="4" t="s">
        <v>9</v>
      </c>
      <c r="C4370" s="4"/>
    </row>
    <row r="4371" spans="1:3" ht="24" customHeight="1">
      <c r="A4371" s="4" t="str">
        <f ca="1">IFERROR(__xludf.DUMMYFUNCTION("""COMPUTED_VALUE"""),"विस्मेयमतिरस्मासु साधु वैलक्ष्यमीक्षसे । यद्दत्तेऽल्पमनल्पाय तद्दत्ते ह्रियमात्मनः ॥नैषधीयचरितम्१७.१४१ ॥")</f>
        <v>विस्मेयमतिरस्मासु साधु वैलक्ष्यमीक्षसे । यद्दत्तेऽल्पमनल्पाय तद्दत्ते ह्रियमात्मनः ॥नैषधीयचरितम्१७.१४१ ॥</v>
      </c>
      <c r="B4371" s="4" t="s">
        <v>1</v>
      </c>
      <c r="C4371" s="4"/>
    </row>
    <row r="4372" spans="1:3" ht="24" customHeight="1">
      <c r="A4372" s="4" t="str">
        <f ca="1">IFERROR(__xludf.DUMMYFUNCTION("""COMPUTED_VALUE"""),"फलसीमां चतुर्वर्गं यच्छतांशोऽपि यच्छति । नलस्यास्मदुपघ्ना सा भक्तिर्भूतावकेशिनी ॥नैषधीयचरितम्१७.१४२ ॥")</f>
        <v>फलसीमां चतुर्वर्गं यच्छतांशोऽपि यच्छति । नलस्यास्मदुपघ्ना सा भक्तिर्भूतावकेशिनी ॥नैषधीयचरितम्१७.१४२ ॥</v>
      </c>
      <c r="B4372" s="4" t="s">
        <v>1</v>
      </c>
      <c r="C4372" s="4"/>
    </row>
    <row r="4373" spans="1:3" ht="24" customHeight="1">
      <c r="A4373" s="4" t="str">
        <f ca="1">IFERROR(__xludf.DUMMYFUNCTION("""COMPUTED_VALUE"""),"भव्यो न व्यवसायस्ते नले साधुमतौ कले । लोकपालविशालोऽयं निषाधानां सुधाकरः ॥नैषधीयचरितम्१७.१४३ ॥")</f>
        <v>भव्यो न व्यवसायस्ते नले साधुमतौ कले । लोकपालविशालोऽयं निषाधानां सुधाकरः ॥नैषधीयचरितम्१७.१४३ ॥</v>
      </c>
      <c r="B4373" s="4" t="s">
        <v>0</v>
      </c>
      <c r="C4373" s="4"/>
    </row>
    <row r="4374" spans="1:3" ht="24" customHeight="1">
      <c r="A4374" s="4" t="str">
        <f ca="1">IFERROR(__xludf.DUMMYFUNCTION("""COMPUTED_VALUE"""),"न पश्यामः कलेस्तस्मिन्नवकाशं क्षामाभृति । निचिताखिलधर्मे च द्वापरस्योदयं वयम् ॥नैषधीयचरितम्१७.१४४ ॥")</f>
        <v>न पश्यामः कलेस्तस्मिन्नवकाशं क्षामाभृति । निचिताखिलधर्मे च द्वापरस्योदयं वयम् ॥नैषधीयचरितम्१७.१४४ ॥</v>
      </c>
      <c r="B4374" s="4" t="s">
        <v>5</v>
      </c>
      <c r="C4374" s="4"/>
    </row>
    <row r="4375" spans="1:3" ht="24" customHeight="1">
      <c r="A4375" s="4" t="str">
        <f ca="1">IFERROR(__xludf.DUMMYFUNCTION("""COMPUTED_VALUE"""),"सा विनीतअतमा भैमी व्यर्थानर्थग्रहैरहो । कथं भवद्विधैर्बाध्या प्रमितिर्विभ्रमैरिव ॥नैषधीयचरितम्१७.१४५ ॥")</f>
        <v>सा विनीतअतमा भैमी व्यर्थानर्थग्रहैरहो । कथं भवद्विधैर्बाध्या प्रमितिर्विभ्रमैरिव ॥नैषधीयचरितम्१७.१४५ ॥</v>
      </c>
      <c r="B4375" s="4" t="s">
        <v>4</v>
      </c>
      <c r="C4375" s="4"/>
    </row>
    <row r="4376" spans="1:3" ht="24" customHeight="1">
      <c r="A4376" s="4" t="str">
        <f ca="1">IFERROR(__xludf.DUMMYFUNCTION("""COMPUTED_VALUE"""),"तं नासत्ययुगं तां वा त्रेता स्पर्धितुमर्हति । एकप्रकाशधर्माणं न कलिद्वापरौ युवाम् ॥नैषधीयचरितम्१७.१४६ ॥")</f>
        <v>तं नासत्ययुगं तां वा त्रेता स्पर्धितुमर्हति । एकप्रकाशधर्माणं न कलिद्वापरौ युवाम् ॥नैषधीयचरितम्१७.१४६ ॥</v>
      </c>
      <c r="B4376" s="4" t="s">
        <v>4</v>
      </c>
      <c r="C4376" s="4"/>
    </row>
    <row r="4377" spans="1:3" ht="24" customHeight="1">
      <c r="A4377" s="4" t="str">
        <f ca="1">IFERROR(__xludf.DUMMYFUNCTION("""COMPUTED_VALUE"""),"करिष्येऽवश्यमित्युक्तिः करिष्यन्नपि दुष्यसि । दृष्टादृष्टा हि नायत्ताः कार्यीया हेतवस्तव ॥नैषधीयचरितम्१७.१४७ ॥")</f>
        <v>करिष्येऽवश्यमित्युक्तिः करिष्यन्नपि दुष्यसि । दृष्टादृष्टा हि नायत्ताः कार्यीया हेतवस्तव ॥नैषधीयचरितम्१७.१४७ ॥</v>
      </c>
      <c r="B4377" s="4" t="s">
        <v>4</v>
      </c>
      <c r="C4377" s="4"/>
    </row>
    <row r="4378" spans="1:3" ht="24" customHeight="1">
      <c r="A4378" s="4" t="str">
        <f ca="1">IFERROR(__xludf.DUMMYFUNCTION("""COMPUTED_VALUE"""),"द्रोहं मोहेन यस्तस्मिन्नाचरेदचिरेण सः । तत्पापसंभवं तापमाप्नुयादनयात्ततः ॥नैषधीयचरितम्१७.१४८ ॥")</f>
        <v>द्रोहं मोहेन यस्तस्मिन्नाचरेदचिरेण सः । तत्पापसंभवं तापमाप्नुयादनयात्ततः ॥नैषधीयचरितम्१७.१४८ ॥</v>
      </c>
      <c r="B4378" s="4" t="s">
        <v>2</v>
      </c>
      <c r="C4378" s="4"/>
    </row>
    <row r="4379" spans="1:3" ht="24" customHeight="1">
      <c r="A4379" s="4" t="str">
        <f ca="1">IFERROR(__xludf.DUMMYFUNCTION("""COMPUTED_VALUE"""),"युगशेष तव द्वेषस्तस्मिन्नेष न सांप्रतम् । भविता न हितायैतद्वैरं ते वैरसेनिना ॥नैषधीयचरितम्१७.१४९ ॥")</f>
        <v>युगशेष तव द्वेषस्तस्मिन्नेष न सांप्रतम् । भविता न हितायैतद्वैरं ते वैरसेनिना ॥नैषधीयचरितम्१७.१४९ ॥</v>
      </c>
      <c r="B4379" s="4" t="s">
        <v>1</v>
      </c>
      <c r="C4379" s="4"/>
    </row>
    <row r="4380" spans="1:3" ht="24" customHeight="1">
      <c r="A4380" s="4" t="str">
        <f ca="1">IFERROR(__xludf.DUMMYFUNCTION("""COMPUTED_VALUE"""),"तत्र यामीत्यसज्ज्ञानं राजसं सदिहास्यताम् । इति तर गतो मा गा राजसंसदि हास्यताम् ॥नैषधीयचरितम्१७.१५ ॥")</f>
        <v>तत्र यामीत्यसज्ज्ञानं राजसं सदिहास्यताम् । इति तर गतो मा गा राजसंसदि हास्यताम् ॥नैषधीयचरितम्१७.१५ ॥</v>
      </c>
      <c r="B4380" s="4" t="s">
        <v>2</v>
      </c>
      <c r="C4380" s="4"/>
    </row>
    <row r="4381" spans="1:3" ht="24" customHeight="1">
      <c r="A4381" s="4" t="str">
        <f ca="1">IFERROR(__xludf.DUMMYFUNCTION("""COMPUTED_VALUE"""),"गत्वान्तरा नलं भैमीं नाकस्मात्त्वं प्रवेक्ष्यसि । षण्णां चक्रमसंयुक्तं पठ्यमानं डकारवत् ॥नैषधीयचरितम्१७.१५१ ॥")</f>
        <v>गत्वान्तरा नलं भैमीं नाकस्मात्त्वं प्रवेक्ष्यसि । षण्णां चक्रमसंयुक्तं पठ्यमानं डकारवत् ॥नैषधीयचरितम्१७.१५१ ॥</v>
      </c>
      <c r="B4381" s="4" t="s">
        <v>4</v>
      </c>
      <c r="C4381" s="4"/>
    </row>
    <row r="4382" spans="1:3" ht="24" customHeight="1">
      <c r="A4382" s="4" t="str">
        <f ca="1">IFERROR(__xludf.DUMMYFUNCTION("""COMPUTED_VALUE"""),"अपरेऽपि दिशामीशा वाचमेतां शचीपतेः । अन्वमन्यन्त किंत्वेनां नादत्त युगयोर्युगम् ॥नैषधीयचरितम्१७.१५२ ॥")</f>
        <v>अपरेऽपि दिशामीशा वाचमेतां शचीपतेः । अन्वमन्यन्त किंत्वेनां नादत्त युगयोर्युगम् ॥नैषधीयचरितम्१७.१५२ ॥</v>
      </c>
      <c r="B4382" s="4" t="s">
        <v>15</v>
      </c>
      <c r="C4382" s="4"/>
    </row>
    <row r="4383" spans="1:3" ht="24" customHeight="1">
      <c r="A4383" s="4" t="str">
        <f ca="1">IFERROR(__xludf.DUMMYFUNCTION("""COMPUTED_VALUE"""),"कलिं प्रति कलिं देवा देवान्प्रत्येकशः कलिः । सोपहासं समैर्वर्णैरित्थं व्यररचन्मिथः ॥नैषधीयचरितम्१७.१५३ ॥")</f>
        <v>कलिं प्रति कलिं देवा देवान्प्रत्येकशः कलिः । सोपहासं समैर्वर्णैरित्थं व्यररचन्मिथः ॥नैषधीयचरितम्१७.१५३ ॥</v>
      </c>
      <c r="B4383" s="4" t="s">
        <v>10</v>
      </c>
      <c r="C4383" s="4"/>
    </row>
    <row r="4384" spans="1:3" ht="24" customHeight="1">
      <c r="A4384" s="4" t="str">
        <f ca="1">IFERROR(__xludf.DUMMYFUNCTION("""COMPUTED_VALUE"""),"तवाऽगमनमेवार्हं वैरसेनौ तया वृते । उद्वेगेन विमानेन किमनेनापि धावता ॥नैषधीयचरितम्१७.१५४ ॥")</f>
        <v>तवाऽगमनमेवार्हं वैरसेनौ तया वृते । उद्वेगेन विमानेन किमनेनापि धावता ॥नैषधीयचरितम्१७.१५४ ॥</v>
      </c>
      <c r="B4384" s="4" t="s">
        <v>2</v>
      </c>
      <c r="C4384" s="4"/>
    </row>
    <row r="4385" spans="1:3" ht="24" customHeight="1">
      <c r="A4385" s="4" t="str">
        <f ca="1">IFERROR(__xludf.DUMMYFUNCTION("""COMPUTED_VALUE"""),"पुरा यासि वरीतुं यामग्र एव तया वृते । अन्यस्मिन्भवतो हास्यं वृत्तमेतत्त्रपाकरम् ॥नैषधीयचरितम्१७.१५५ ॥")</f>
        <v>पुरा यासि वरीतुं यामग्र एव तया वृते । अन्यस्मिन्भवतो हास्यं वृत्तमेतत्त्रपाकरम् ॥नैषधीयचरितम्१७.१५५ ॥</v>
      </c>
      <c r="B4385" s="4" t="s">
        <v>0</v>
      </c>
      <c r="C4385" s="4"/>
    </row>
    <row r="4386" spans="1:3" ht="24" customHeight="1">
      <c r="A4386" s="4" t="str">
        <f ca="1">IFERROR(__xludf.DUMMYFUNCTION("""COMPUTED_VALUE"""),"पत्यौ तया वृतेऽन्यस्मिन्यदर्थं गतवानसि । भवतः कोपरोधस्तादक्षमस्य वृथारुषः ॥नैषधीयचरितम्१७.१५६ ॥")</f>
        <v>पत्यौ तया वृतेऽन्यस्मिन्यदर्थं गतवानसि । भवतः कोपरोधस्तादक्षमस्य वृथारुषः ॥नैषधीयचरितम्१७.१५६ ॥</v>
      </c>
      <c r="B4386" s="4" t="s">
        <v>13</v>
      </c>
      <c r="C4386" s="4"/>
    </row>
    <row r="4387" spans="1:3" ht="24" customHeight="1">
      <c r="A4387" s="4" t="str">
        <f ca="1">IFERROR(__xludf.DUMMYFUNCTION("""COMPUTED_VALUE"""),"यासि स्मरञ्जयन्कान्त्या योजनौघं महार्वता । समूढस्तं वृतेऽन्यस्मिन्किं न हीस्तेऽत्र पामर ॥नैषधीयचरितम्१७.१५७ ॥")</f>
        <v>यासि स्मरञ्जयन्कान्त्या योजनौघं महार्वता । समूढस्तं वृतेऽन्यस्मिन्किं न हीस्तेऽत्र पामर ॥नैषधीयचरितम्१७.१५७ ॥</v>
      </c>
      <c r="B4387" s="4" t="s">
        <v>0</v>
      </c>
      <c r="C4387" s="4"/>
    </row>
    <row r="4388" spans="1:3" ht="24" customHeight="1">
      <c r="A4388" s="4" t="str">
        <f ca="1">IFERROR(__xludf.DUMMYFUNCTION("""COMPUTED_VALUE"""),"नलं प्रत्यनपेतार्ति तार्तीयीकतुरीययोः । युगयोर्युगलं बुद्ध्वा दिवि देवा धियं दधुः ॥नैषधीयचरितम्१७.१५८ ॥")</f>
        <v>नलं प्रत्यनपेतार्ति तार्तीयीकतुरीययोः । युगयोर्युगलं बुद्ध्वा दिवि देवा धियं दधुः ॥नैषधीयचरितम्१७.१५८ ॥</v>
      </c>
      <c r="B4388" s="4" t="s">
        <v>20</v>
      </c>
      <c r="C4388" s="4"/>
    </row>
    <row r="4389" spans="1:3" ht="24" customHeight="1">
      <c r="A4389" s="4" t="str">
        <f ca="1">IFERROR(__xludf.DUMMYFUNCTION("""COMPUTED_VALUE"""),"द्वापरैकपरीवारः कलिर्मत्सरमूर्च्छितः । नलनिग्राहिणीं यात्रां जग्राह ग्रहिलः किल ॥नैषधीयचरितम्१७.१५९ ॥")</f>
        <v>द्वापरैकपरीवारः कलिर्मत्सरमूर्च्छितः । नलनिग्राहिणीं यात्रां जग्राह ग्रहिलः किल ॥नैषधीयचरितम्१७.१५९ ॥</v>
      </c>
      <c r="B4389" s="4" t="s">
        <v>11</v>
      </c>
      <c r="C4389" s="4"/>
    </row>
    <row r="4390" spans="1:3" ht="24" customHeight="1">
      <c r="A4390" s="4" t="str">
        <f ca="1">IFERROR(__xludf.DUMMYFUNCTION("""COMPUTED_VALUE"""),"नलेष्टापूर्तसंपूर्तेर्दूरं दुर्गानमुं प्रति । निषेधन्निषधान्गन्तुं विघ्नः संजघटे घनः ॥नैषधीयचरितम्१७.१६ ॥")</f>
        <v>नलेष्टापूर्तसंपूर्तेर्दूरं दुर्गानमुं प्रति । निषेधन्निषधान्गन्तुं विघ्नः संजघटे घनः ॥नैषधीयचरितम्१७.१६ ॥</v>
      </c>
      <c r="B4390" s="4" t="s">
        <v>1</v>
      </c>
      <c r="C4390" s="4"/>
    </row>
    <row r="4391" spans="1:3" ht="24" customHeight="1">
      <c r="A4391" s="4" t="str">
        <f ca="1">IFERROR(__xludf.DUMMYFUNCTION("""COMPUTED_VALUE"""),"मण्डलं निषाधेन्द्रस्य चन्द्रस्येवामलं कलिः । प्राप म्लापयितुं पापः स्वर्भानुरिव संग्रहात् ॥नैषधीयचरितम्१७.१६१ ॥")</f>
        <v>मण्डलं निषाधेन्द्रस्य चन्द्रस्येवामलं कलिः । प्राप म्लापयितुं पापः स्वर्भानुरिव संग्रहात् ॥नैषधीयचरितम्१७.१६१ ॥</v>
      </c>
      <c r="B4391" s="4" t="s">
        <v>24</v>
      </c>
      <c r="C4391" s="4"/>
    </row>
    <row r="4392" spans="1:3" ht="24" customHeight="1">
      <c r="A4392" s="4" t="str">
        <f ca="1">IFERROR(__xludf.DUMMYFUNCTION("""COMPUTED_VALUE"""),"कियतापि च कालेन कालः कलिरुपेयिवान् । भैमीभर्तुरहंमानी राजधानीं महीभुजः ॥नैषधीयचरितम्१७.१६२ ॥")</f>
        <v>कियतापि च कालेन कालः कलिरुपेयिवान् । भैमीभर्तुरहंमानी राजधानीं महीभुजः ॥नैषधीयचरितम्१७.१६२ ॥</v>
      </c>
      <c r="B4392" s="4" t="s">
        <v>3</v>
      </c>
      <c r="C4392" s="4"/>
    </row>
    <row r="4393" spans="1:3" ht="24" customHeight="1">
      <c r="A4393" s="4" t="str">
        <f ca="1">IFERROR(__xludf.DUMMYFUNCTION("""COMPUTED_VALUE"""),"वेदानुद्धरतां तत्र मुखादाकर्णयन्पदम् । न प्रसारयितुं कालः कलिः पदमपारयत् ॥नैषधीयचरितम्१७.१६३ ॥")</f>
        <v>वेदानुद्धरतां तत्र मुखादाकर्णयन्पदम् । न प्रसारयितुं कालः कलिः पदमपारयत् ॥नैषधीयचरितम्१७.१६३ ॥</v>
      </c>
      <c r="B4393" s="4" t="s">
        <v>5</v>
      </c>
      <c r="C4393" s="4"/>
    </row>
    <row r="4394" spans="1:3" ht="24" customHeight="1">
      <c r="A4394" s="4" t="str">
        <f ca="1">IFERROR(__xludf.DUMMYFUNCTION("""COMPUTED_VALUE"""),"श्रुतिपाठकवक्त्रेभ्यस्तत्राकर्णयतः क्रमम् । क्रमः संकुचितस्तस्य पुरे दूरमवर्तत ॥नैषधीयचरितम्१७.१६४ ॥")</f>
        <v>श्रुतिपाठकवक्त्रेभ्यस्तत्राकर्णयतः क्रमम् । क्रमः संकुचितस्तस्य पुरे दूरमवर्तत ॥नैषधीयचरितम्१७.१६४ ॥</v>
      </c>
      <c r="B4394" s="4" t="s">
        <v>2</v>
      </c>
      <c r="C4394" s="4"/>
    </row>
    <row r="4395" spans="1:3" ht="24" customHeight="1">
      <c r="A4395" s="4" t="str">
        <f ca="1">IFERROR(__xludf.DUMMYFUNCTION("""COMPUTED_VALUE"""),"तावद्गतिर्धृताटोपा पादयोस्तेन संहिता । न वेदपाठिकण्ठेभ्यो यावदअश्रावि संहिता ॥नैषधीयचरितम्१७.१६५ ॥")</f>
        <v>तावद्गतिर्धृताटोपा पादयोस्तेन संहिता । न वेदपाठिकण्ठेभ्यो यावदअश्रावि संहिता ॥नैषधीयचरितम्१७.१६५ ॥</v>
      </c>
      <c r="B4395" s="4" t="s">
        <v>2</v>
      </c>
      <c r="C4395" s="4"/>
    </row>
    <row r="4396" spans="1:3" ht="24" customHeight="1">
      <c r="A4396" s="4" t="str">
        <f ca="1">IFERROR(__xludf.DUMMYFUNCTION("""COMPUTED_VALUE"""),"तस्य होमाज्यगन्धेन नासा नाशमिवागमत् । तथातत दृशौ नासौ क्रतुधूमकदर्थितः ॥नैषधीयचरितम्१७.१६६ ॥")</f>
        <v>तस्य होमाज्यगन्धेन नासा नाशमिवागमत् । तथातत दृशौ नासौ क्रतुधूमकदर्थितः ॥नैषधीयचरितम्१७.१६६ ॥</v>
      </c>
      <c r="B4396" s="4" t="s">
        <v>2</v>
      </c>
      <c r="C4396" s="4"/>
    </row>
    <row r="4397" spans="1:3" ht="24" customHeight="1">
      <c r="A4397" s="4" t="str">
        <f ca="1">IFERROR(__xludf.DUMMYFUNCTION("""COMPUTED_VALUE"""),"अतिथीनां पदाम्भोभिरिमं प्रत्यतिपिच्छिले । अङ्गणे गृहिणां तत्र खलेनानेन चस्खले ॥नैषधीयचरितम्१७.१६७ ॥")</f>
        <v>अतिथीनां पदाम्भोभिरिमं प्रत्यतिपिच्छिले । अङ्गणे गृहिणां तत्र खलेनानेन चस्खले ॥नैषधीयचरितम्१७.१६७ ॥</v>
      </c>
      <c r="B4397" s="4" t="s">
        <v>11</v>
      </c>
      <c r="C4397" s="4"/>
    </row>
    <row r="4398" spans="1:3" ht="24" customHeight="1">
      <c r="A4398" s="4" t="str">
        <f ca="1">IFERROR(__xludf.DUMMYFUNCTION("""COMPUTED_VALUE"""),"पुटपाकमसौ प्राप क्रतुशुष्ममहोष्मभिः । तत्प्रत्यङ्गमिवाकर्ति पूर्तोर्मिव्यजनानिलैः ॥नैषधीयचरितम्१७.१६८ ॥")</f>
        <v>पुटपाकमसौ प्राप क्रतुशुष्ममहोष्मभिः । तत्प्रत्यङ्गमिवाकर्ति पूर्तोर्मिव्यजनानिलैः ॥नैषधीयचरितम्१७.१६८ ॥</v>
      </c>
      <c r="B4398" s="4" t="s">
        <v>11</v>
      </c>
      <c r="C4398" s="4"/>
    </row>
    <row r="4399" spans="1:3" ht="24" customHeight="1">
      <c r="A4399" s="4" t="str">
        <f ca="1">IFERROR(__xludf.DUMMYFUNCTION("""COMPUTED_VALUE"""),"पित्ṝणां तर्पणे वर्णैः कीर्णाद्वेश्मनि वेश्मनि । कालादिव तिलात्कालाद्दूरमत्रसदत्र सः ॥नैषधीयचरितम्१७.१६९ ॥")</f>
        <v>पित्ṝणां तर्पणे वर्णैः कीर्णाद्वेश्मनि वेश्मनि । कालादिव तिलात्कालाद्दूरमत्रसदत्र सः ॥नैषधीयचरितम्१७.१६९ ॥</v>
      </c>
      <c r="B4399" s="4" t="s">
        <v>18</v>
      </c>
      <c r="C4399" s="4"/>
    </row>
    <row r="4400" spans="1:3" ht="24" customHeight="1">
      <c r="A4400" s="4" t="str">
        <f ca="1">IFERROR(__xludf.DUMMYFUNCTION("""COMPUTED_VALUE"""),"स्नात्ṝणां तिलकैर्मेने स्वमन्तर्दीर्णमेव सः । कृपाणीभूय हृदयं प्रविष्टैरिव तत्र तैः ॥नैषधीयचरितम्१७.१७ ॥")</f>
        <v>स्नात्ṝणां तिलकैर्मेने स्वमन्तर्दीर्णमेव सः । कृपाणीभूय हृदयं प्रविष्टैरिव तत्र तैः ॥नैषधीयचरितम्१७.१७ ॥</v>
      </c>
      <c r="B4400" s="4" t="s">
        <v>2</v>
      </c>
      <c r="C4400" s="4"/>
    </row>
    <row r="4401" spans="1:3" ht="24" customHeight="1">
      <c r="A4401" s="4" t="str">
        <f ca="1">IFERROR(__xludf.DUMMYFUNCTION("""COMPUTED_VALUE"""),"पुमांसं मुमुदे तत्र विदन्मिथ्यावदावदम् । स्त्रियं प्रति तथा वीक्ष्य तमथ म्लानवानयम् ॥नैषधीयचरितम्१७.१७१ ॥")</f>
        <v>पुमांसं मुमुदे तत्र विदन्मिथ्यावदावदम् । स्त्रियं प्रति तथा वीक्ष्य तमथ म्लानवानयम् ॥नैषधीयचरितम्१७.१७१ ॥</v>
      </c>
      <c r="B4401" s="4" t="s">
        <v>5</v>
      </c>
      <c r="C4401" s="4"/>
    </row>
    <row r="4402" spans="1:3" ht="24" customHeight="1">
      <c r="A4402" s="4" t="str">
        <f ca="1">IFERROR(__xludf.DUMMYFUNCTION("""COMPUTED_VALUE"""),"यज्ञयूपघनां जज्ञौ स पुरं शङ्कुसंकुलाम् । जनैर्धर्मधनैः कीर्णां व्यालक्रोडीकृतां च ताम् ॥नैषधीयचरितम्१७.१७२ ॥")</f>
        <v>यज्ञयूपघनां जज्ञौ स पुरं शङ्कुसंकुलाम् । जनैर्धर्मधनैः कीर्णां व्यालक्रोडीकृतां च ताम् ॥नैषधीयचरितम्१७.१७२ ॥</v>
      </c>
      <c r="B4402" s="4" t="s">
        <v>2</v>
      </c>
      <c r="C4402" s="4"/>
    </row>
    <row r="4403" spans="1:3" ht="24" customHeight="1">
      <c r="A4403" s="4" t="str">
        <f ca="1">IFERROR(__xludf.DUMMYFUNCTION("""COMPUTED_VALUE"""),"स पार्श्वमशकद्गन्तुं न वराकः पराकिणाम् । मासोपवासिनां छायालङ्घने घनमस्खलत् ॥नैषधीयचरितम्१७.१७३ ॥")</f>
        <v>स पार्श्वमशकद्गन्तुं न वराकः पराकिणाम् । मासोपवासिनां छायालङ्घने घनमस्खलत् ॥नैषधीयचरितम्१७.१७३ ॥</v>
      </c>
      <c r="B4403" s="4" t="s">
        <v>11</v>
      </c>
      <c r="C4403" s="4"/>
    </row>
    <row r="4404" spans="1:3" ht="24" customHeight="1">
      <c r="A4404" s="4" t="str">
        <f ca="1">IFERROR(__xludf.DUMMYFUNCTION("""COMPUTED_VALUE"""),"आवाहितां द्विजैस्तत्र गायत्रीमर्कमण्डलात् । स संनिदधतीं पश्यन्दृष्टनष्टोऽभवद्भिया ॥नैषधीयचरितम्१७.१७४ ॥")</f>
        <v>आवाहितां द्विजैस्तत्र गायत्रीमर्कमण्डलात् । स संनिदधतीं पश्यन्दृष्टनष्टोऽभवद्भिया ॥नैषधीयचरितम्१७.१७४ ॥</v>
      </c>
      <c r="B4404" s="4" t="s">
        <v>5</v>
      </c>
      <c r="C4404" s="4"/>
    </row>
    <row r="4405" spans="1:3" ht="24" customHeight="1">
      <c r="A4405" s="4" t="str">
        <f ca="1">IFERROR(__xludf.DUMMYFUNCTION("""COMPUTED_VALUE"""),"स गृहे गृहिभिः पूर्णे वने वैखानसैर्घने । यत्याधारेऽमरागारे क्वापि न स्थानमानशे ॥नैषधीयचरितम्१७.१७५ ॥")</f>
        <v>स गृहे गृहिभिः पूर्णे वने वैखानसैर्घने । यत्याधारेऽमरागारे क्वापि न स्थानमानशे ॥नैषधीयचरितम्१७.१७५ ॥</v>
      </c>
      <c r="B4405" s="4" t="s">
        <v>8</v>
      </c>
      <c r="C4405" s="4"/>
    </row>
    <row r="4406" spans="1:3" ht="24" customHeight="1">
      <c r="A4406" s="4" t="str">
        <f ca="1">IFERROR(__xludf.DUMMYFUNCTION("""COMPUTED_VALUE"""),"क्वापि नापश्यदन्विष्यन्हिंसामात्मप्रियामसौ । स्वमित्त्रं तत्र न प्राप्नोदपि मूर्खमुखे कलिम् ॥नैषधीयचरितम्१७.१७६ ॥")</f>
        <v>क्वापि नापश्यदन्विष्यन्हिंसामात्मप्रियामसौ । स्वमित्त्रं तत्र न प्राप्नोदपि मूर्खमुखे कलिम् ॥नैषधीयचरितम्१७.१७६ ॥</v>
      </c>
      <c r="B4406" s="4" t="s">
        <v>11</v>
      </c>
      <c r="C4406" s="4"/>
    </row>
    <row r="4407" spans="1:3" ht="24" customHeight="1">
      <c r="A4407" s="4" t="str">
        <f ca="1">IFERROR(__xludf.DUMMYFUNCTION("""COMPUTED_VALUE"""),"हिंसागवीं मखे वीक्ष्य रिरंसुर्धावति स्म सः । सा तु सौम्यवृषासक्ता खरं दूरान्निरास तम् ॥नैषधीयचरितम्१७.१७७ ॥")</f>
        <v>हिंसागवीं मखे वीक्ष्य रिरंसुर्धावति स्म सः । सा तु सौम्यवृषासक्ता खरं दूरान्निरास तम् ॥नैषधीयचरितम्१७.१७७ ॥</v>
      </c>
      <c r="B4407" s="4" t="s">
        <v>2</v>
      </c>
      <c r="C4407" s="4"/>
    </row>
    <row r="4408" spans="1:3" ht="24" customHeight="1">
      <c r="A4408" s="4" t="str">
        <f ca="1">IFERROR(__xludf.DUMMYFUNCTION("""COMPUTED_VALUE"""),"मौनेन व्रतनिष्ठानां स्वाक्रोशं मन्यते स्म सः । वन्द्यवन्दारुभिर्जज्ञौ स्व शिरश्च पदाहतम् ॥नैषधीयचरितम्१७.१७८ ॥")</f>
        <v>मौनेन व्रतनिष्ठानां स्वाक्रोशं मन्यते स्म सः । वन्द्यवन्दारुभिर्जज्ञौ स्व शिरश्च पदाहतम् ॥नैषधीयचरितम्१७.१७८ ॥</v>
      </c>
      <c r="B4408" s="4" t="s">
        <v>2</v>
      </c>
      <c r="C4408" s="4"/>
    </row>
    <row r="4409" spans="1:3" ht="24" customHeight="1">
      <c r="A4409" s="4" t="str">
        <f ca="1">IFERROR(__xludf.DUMMYFUNCTION("""COMPUTED_VALUE"""),"ऋषीणां स बृसीः पाणौ पश्यन्नाचामतामपः । मेने घनैरमी हन्तुं शप्तुं मामद्भिरुद्यताः ॥नैषधीयचरितम्१७.१७९ ॥")</f>
        <v>ऋषीणां स बृसीः पाणौ पश्यन्नाचामतामपः । मेने घनैरमी हन्तुं शप्तुं मामद्भिरुद्यताः ॥नैषधीयचरितम्१७.१७९ ॥</v>
      </c>
      <c r="B4409" s="4" t="s">
        <v>2</v>
      </c>
      <c r="C4409" s="4"/>
    </row>
    <row r="4410" spans="1:3" ht="24" customHeight="1">
      <c r="A4410" s="4" t="str">
        <f ca="1">IFERROR(__xludf.DUMMYFUNCTION("""COMPUTED_VALUE"""),"मौञ्जीधृतो धृताषाढानाशशङ्के स वर्णिनः । रज्ज्वामी बन्द्धुमायान्ति हन्तुं दण्डेन मां ततः ॥नैषधीयचरितम्१७.१८ ॥")</f>
        <v>मौञ्जीधृतो धृताषाढानाशशङ्के स वर्णिनः । रज्ज्वामी बन्द्धुमायान्ति हन्तुं दण्डेन मां ततः ॥नैषधीयचरितम्१७.१८ ॥</v>
      </c>
      <c r="B4410" s="4" t="s">
        <v>2</v>
      </c>
      <c r="C4410" s="4"/>
    </row>
    <row r="4411" spans="1:3" ht="24" customHeight="1">
      <c r="A4411" s="4" t="str">
        <f ca="1">IFERROR(__xludf.DUMMYFUNCTION("""COMPUTED_VALUE"""),"दृष्ट्वा पुरः पुरोडाशमासीदुत्त्रासदुर्मनाः । मन्वानः फणिनीस्तत्र स मुमोचास्रु च स्रुचः ॥नैषधीयचरितम्१७.१८१ ॥")</f>
        <v>दृष्ट्वा पुरः पुरोडाशमासीदुत्त्रासदुर्मनाः । मन्वानः फणिनीस्तत्र स मुमोचास्रु च स्रुचः ॥नैषधीयचरितम्१७.१८१ ॥</v>
      </c>
      <c r="B4411" s="4" t="s">
        <v>16</v>
      </c>
      <c r="C4411" s="4"/>
    </row>
    <row r="4412" spans="1:3" ht="24" customHeight="1">
      <c r="A4412" s="4" t="str">
        <f ca="1">IFERROR(__xludf.DUMMYFUNCTION("""COMPUTED_VALUE"""),"मुमुदे मदिरादानं विदन्नेष द्विजन्मनः । दृष्ट्वा सौत्रामणीमिष्टिं तं कुर्वन्तमदूयत ॥नैषधीयचरितम्१७.१८२ ॥")</f>
        <v>मुमुदे मदिरादानं विदन्नेष द्विजन्मनः । दृष्ट्वा सौत्रामणीमिष्टिं तं कुर्वन्तमदूयत ॥नैषधीयचरितम्१७.१८२ ॥</v>
      </c>
      <c r="B4412" s="4" t="s">
        <v>2</v>
      </c>
      <c r="C4412" s="4"/>
    </row>
    <row r="4413" spans="1:3" ht="24" customHeight="1">
      <c r="A4413" s="4" t="str">
        <f ca="1">IFERROR(__xludf.DUMMYFUNCTION("""COMPUTED_VALUE"""),"अपश्यद्यावतो वेदविदां ब्रह्माञ्जलीनसौ । उदडीयन्त तावन्तस्तस्यास्राञ्जलयो हृदः ॥नैषधीयचरितम्१७.१८३ ॥")</f>
        <v>अपश्यद्यावतो वेदविदां ब्रह्माञ्जलीनसौ । उदडीयन्त तावन्तस्तस्यास्राञ्जलयो हृदः ॥नैषधीयचरितम्१७.१८३ ॥</v>
      </c>
      <c r="B4413" s="4" t="s">
        <v>17</v>
      </c>
      <c r="C4413" s="4"/>
    </row>
    <row r="4414" spans="1:3" ht="24" customHeight="1">
      <c r="A4414" s="4" t="str">
        <f ca="1">IFERROR(__xludf.DUMMYFUNCTION("""COMPUTED_VALUE"""),"स्नातकं घातकं जज्ञे जज्ञौ दान्तं कृतान्तवत् । वाचंयमस्य दृष्ट्येव यमस्येव बिभाय सः ॥नैषधीयचरितम्१७.१८४ ॥")</f>
        <v>स्नातकं घातकं जज्ञे जज्ञौ दान्तं कृतान्तवत् । वाचंयमस्य दृष्ट्येव यमस्येव बिभाय सः ॥नैषधीयचरितम्१७.१८४ ॥</v>
      </c>
      <c r="B4414" s="4" t="s">
        <v>18</v>
      </c>
      <c r="C4414" s="4"/>
    </row>
    <row r="4415" spans="1:3" ht="24" customHeight="1">
      <c r="A4415" s="4" t="str">
        <f ca="1">IFERROR(__xludf.DUMMYFUNCTION("""COMPUTED_VALUE"""),"स पाखण्डजनान्वेषी प्राप्नुवन्वेदपण्डितान् । जलार्थीवानलं प्राप्य पापस्तापादपासरत् ॥नैषधीयचरितम्१७.१८५ ॥")</f>
        <v>स पाखण्डजनान्वेषी प्राप्नुवन्वेदपण्डितान् । जलार्थीवानलं प्राप्य पापस्तापादपासरत् ॥नैषधीयचरितम्१७.१८५ ॥</v>
      </c>
      <c r="B4415" s="4" t="s">
        <v>0</v>
      </c>
      <c r="C4415" s="4"/>
    </row>
    <row r="4416" spans="1:3" ht="24" customHeight="1">
      <c r="A4416" s="4" t="str">
        <f ca="1">IFERROR(__xludf.DUMMYFUNCTION("""COMPUTED_VALUE"""),"तत्र ब्रह्महणं पश्यन्नतिसंतोषामानशे । निर्वर्ण्य सर्वमेधस्य यज्वानं ज्वरति स्म सः ॥नैषधीयचरितम्१७.१८६ ॥")</f>
        <v>तत्र ब्रह्महणं पश्यन्नतिसंतोषामानशे । निर्वर्ण्य सर्वमेधस्य यज्वानं ज्वरति स्म सः ॥नैषधीयचरितम्१७.१८६ ॥</v>
      </c>
      <c r="B4416" s="4" t="s">
        <v>18</v>
      </c>
      <c r="C4416" s="4"/>
    </row>
    <row r="4417" spans="1:3" ht="24" customHeight="1">
      <c r="A4417" s="4" t="str">
        <f ca="1">IFERROR(__xludf.DUMMYFUNCTION("""COMPUTED_VALUE"""),"यतिहस्तस्थितैस्तस्य राम्भैरारम्भि तर्जना । दुर्जनस्याजनि क्लिष्टिर्गृहिणां वेदयष्टिभिः ॥नैषधीयचरितम्१७.१८७ ॥")</f>
        <v>यतिहस्तस्थितैस्तस्य राम्भैरारम्भि तर्जना । दुर्जनस्याजनि क्लिष्टिर्गृहिणां वेदयष्टिभिः ॥नैषधीयचरितम्१७.१८७ ॥</v>
      </c>
      <c r="B4417" s="4" t="s">
        <v>6</v>
      </c>
      <c r="C4417" s="4"/>
    </row>
    <row r="4418" spans="1:3" ht="24" customHeight="1">
      <c r="A4418" s="4" t="str">
        <f ca="1">IFERROR(__xludf.DUMMYFUNCTION("""COMPUTED_VALUE"""),"मण्डलत्यागमेवैच्छद्वीक्ष्य स्थण्डिलशायिनः । पवित्रालोकनादेष पवित्रासमविन्दत ॥नैषधीयचरितम्१७.१८८ ॥")</f>
        <v>मण्डलत्यागमेवैच्छद्वीक्ष्य स्थण्डिलशायिनः । पवित्रालोकनादेष पवित्रासमविन्दत ॥नैषधीयचरितम्१७.१८८ ॥</v>
      </c>
      <c r="B4418" s="4" t="s">
        <v>2</v>
      </c>
      <c r="C4418" s="4"/>
    </row>
    <row r="4419" spans="1:3" ht="24" customHeight="1">
      <c r="A4419" s="4" t="str">
        <f ca="1">IFERROR(__xludf.DUMMYFUNCTION("""COMPUTED_VALUE"""),"अपश्यञ्जिनमन्विष्यन्नजिनं ब्रह्मचारिणा । क्षपणार्थी सदीक्षस्य स चाक्षपणमैक्षत ॥नैषधीयचरितम्१७.१८९ ॥")</f>
        <v>अपश्यञ्जिनमन्विष्यन्नजिनं ब्रह्मचारिणा । क्षपणार्थी सदीक्षस्य स चाक्षपणमैक्षत ॥नैषधीयचरितम्१७.१८९ ॥</v>
      </c>
      <c r="B4419" s="4" t="s">
        <v>2</v>
      </c>
      <c r="C4419" s="4"/>
    </row>
    <row r="4420" spans="1:3" ht="24" customHeight="1">
      <c r="A4420" s="4" t="str">
        <f ca="1">IFERROR(__xludf.DUMMYFUNCTION("""COMPUTED_VALUE"""),"जपतामक्षमालासु बीजाकर्षणदर्शनात् । स जीवाकृष्टिकष्टानि विपरीतदृगन्वभूत् ॥नैषधीयचरितम्१७.१९ ॥")</f>
        <v>जपतामक्षमालासु बीजाकर्षणदर्शनात् । स जीवाकृष्टिकष्टानि विपरीतदृगन्वभूत् ॥नैषधीयचरितम्१७.१९ ॥</v>
      </c>
      <c r="B4420" s="4" t="s">
        <v>6</v>
      </c>
      <c r="C4420" s="4"/>
    </row>
    <row r="4421" spans="1:3" ht="24" customHeight="1">
      <c r="A4421" s="4" t="str">
        <f ca="1">IFERROR(__xludf.DUMMYFUNCTION("""COMPUTED_VALUE"""),"त्रिसंध्यं तत्र विप्राणां स पश्यन्नघमर्षणम् । वरमैच्छद्दृशोरेव निजयोरपकर्षणम् ॥नैषधीयचरितम्१७.१९१ ॥")</f>
        <v>त्रिसंध्यं तत्र विप्राणां स पश्यन्नघमर्षणम् । वरमैच्छद्दृशोरेव निजयोरपकर्षणम् ॥नैषधीयचरितम्१७.१९१ ॥</v>
      </c>
      <c r="B4421" s="4" t="s">
        <v>7</v>
      </c>
      <c r="C4421" s="4"/>
    </row>
    <row r="4422" spans="1:3" ht="24" customHeight="1">
      <c r="A4422" s="4" t="str">
        <f ca="1">IFERROR(__xludf.DUMMYFUNCTION("""COMPUTED_VALUE"""),"अद्राक्षीत्तत्र किंचिन्न कलिः परिचितं क्वचित् । भैमीनलव्यलीकाणुप्रश्नकामः परिभ्रमन् ॥नैषधीयचरितम्१७.१९२ ॥")</f>
        <v>अद्राक्षीत्तत्र किंचिन्न कलिः परिचितं क्वचित् । भैमीनलव्यलीकाणुप्रश्नकामः परिभ्रमन् ॥नैषधीयचरितम्१७.१९२ ॥</v>
      </c>
      <c r="B4422" s="4" t="s">
        <v>12</v>
      </c>
      <c r="C4422" s="4"/>
    </row>
    <row r="4423" spans="1:3" ht="24" customHeight="1">
      <c r="A4423" s="4" t="str">
        <f ca="1">IFERROR(__xludf.DUMMYFUNCTION("""COMPUTED_VALUE"""),"तपः स्वाध्याययज्ञानामकाण्डद्विष्टतापसः । स्वविद्विषां श्रियं तस्मिन्पश्यन्नुपतताप सः ॥नैषधीयचरितम्१७.१९३ ॥")</f>
        <v>तपः स्वाध्याययज्ञानामकाण्डद्विष्टतापसः । स्वविद्विषां श्रियं तस्मिन्पश्यन्नुपतताप सः ॥नैषधीयचरितम्१७.१९३ ॥</v>
      </c>
      <c r="B4423" s="4" t="s">
        <v>18</v>
      </c>
      <c r="C4423" s="4"/>
    </row>
    <row r="4424" spans="1:3" ht="24" customHeight="1">
      <c r="A4424" s="4" t="str">
        <f ca="1">IFERROR(__xludf.DUMMYFUNCTION("""COMPUTED_VALUE"""),"कम्रं तत्रोपनम्राया विश्वस्या वीक्ष्य तुष्टवान् । स मम्लौ तं विभाव्याथ वामदेव्याभ्युपासकम् ॥नैषधीयचरितम्१७.१९४ ॥")</f>
        <v>कम्रं तत्रोपनम्राया विश्वस्या वीक्ष्य तुष्टवान् । स मम्लौ तं विभाव्याथ वामदेव्याभ्युपासकम् ॥नैषधीयचरितम्१७.१९४ ॥</v>
      </c>
      <c r="B4424" s="4" t="s">
        <v>19</v>
      </c>
      <c r="C4424" s="4"/>
    </row>
    <row r="4425" spans="1:3" ht="24" customHeight="1">
      <c r="A4425" s="4" t="str">
        <f ca="1">IFERROR(__xludf.DUMMYFUNCTION("""COMPUTED_VALUE"""),"वैरिणी शुचिता तस्मै न प्रवेशं ददौ भुवि । न वेदध्वनिरालम्बमम्बरे विततार वा ॥नैषधीयचरितम्१७.१९५ ॥")</f>
        <v>वैरिणी शुचिता तस्मै न प्रवेशं ददौ भुवि । न वेदध्वनिरालम्बमम्बरे विततार वा ॥नैषधीयचरितम्१७.१९५ ॥</v>
      </c>
      <c r="B4425" s="4" t="s">
        <v>4</v>
      </c>
      <c r="C4425" s="4"/>
    </row>
    <row r="4426" spans="1:3" ht="24" customHeight="1">
      <c r="A4426" s="4" t="str">
        <f ca="1">IFERROR(__xludf.DUMMYFUNCTION("""COMPUTED_VALUE"""),"दर्शस्य दर्शनात्कष्टमग्निष्टोमस्य चानशे । जुघूर्णे पौर्णमासेक्षी सोमं सोऽमनतान्तकम् ॥नैषधीयचरितम्१७.१९६ ॥")</f>
        <v>दर्शस्य दर्शनात्कष्टमग्निष्टोमस्य चानशे । जुघूर्णे पौर्णमासेक्षी सोमं सोऽमनतान्तकम् ॥नैषधीयचरितम्१७.१९६ ॥</v>
      </c>
      <c r="B4426" s="4" t="s">
        <v>19</v>
      </c>
      <c r="C4426" s="4"/>
    </row>
    <row r="4427" spans="1:3" ht="24" customHeight="1">
      <c r="A4427" s="4" t="str">
        <f ca="1">IFERROR(__xludf.DUMMYFUNCTION("""COMPUTED_VALUE"""),"तेनादृश्यन्त वीरघ्ना न तु वीरहणो जनाः । नापश्यत्सोऽभिनिर्मुक्ताञ्जीवन्मुक्तानवैक्षत ॥नैषधीयचरितम्१७.१९७ ॥")</f>
        <v>तेनादृश्यन्त वीरघ्ना न तु वीरहणो जनाः । नापश्यत्सोऽभिनिर्मुक्ताञ्जीवन्मुक्तानवैक्षत ॥नैषधीयचरितम्१७.१९७ ॥</v>
      </c>
      <c r="B4427" s="4" t="s">
        <v>2</v>
      </c>
      <c r="C4427" s="4"/>
    </row>
    <row r="4428" spans="1:3" ht="24" customHeight="1">
      <c r="A4428" s="4" t="str">
        <f ca="1">IFERROR(__xludf.DUMMYFUNCTION("""COMPUTED_VALUE"""),"स तुतोषाश्नतो विप्रान्दृष्ट्वा स्पृष्टपरस्परान् । होमशेषीभवत्सोमभुजस्तान्वीक्ष्य दूनवान् ॥नैषधीयचरितम्१७.१९८ ॥")</f>
        <v>स तुतोषाश्नतो विप्रान्दृष्ट्वा स्पृष्टपरस्परान् । होमशेषीभवत्सोमभुजस्तान्वीक्ष्य दूनवान् ॥नैषधीयचरितम्१७.१९८ ॥</v>
      </c>
      <c r="B4428" s="4" t="s">
        <v>4</v>
      </c>
      <c r="C4428" s="4"/>
    </row>
    <row r="4429" spans="1:3" ht="24" customHeight="1">
      <c r="A4429" s="4" t="str">
        <f ca="1">IFERROR(__xludf.DUMMYFUNCTION("""COMPUTED_VALUE"""),"श्रुत्वा जनं रजोजुष्टं तुष्टिं प्राप्नोज्झटित्यसौ । तं पश्यन्पावनस्नानावस्थं दुःस्थस्ततोऽभवत् ॥नैषधीयचरितम्१७.१९९ ॥")</f>
        <v>श्रुत्वा जनं रजोजुष्टं तुष्टिं प्राप्नोज्झटित्यसौ । तं पश्यन्पावनस्नानावस्थं दुःस्थस्ततोऽभवत् ॥नैषधीयचरितम्१७.१९९ ॥</v>
      </c>
      <c r="B4429" s="4" t="s">
        <v>4</v>
      </c>
      <c r="C4429" s="4"/>
    </row>
    <row r="4430" spans="1:3" ht="24" customHeight="1">
      <c r="A4430" s="4" t="str">
        <f ca="1">IFERROR(__xludf.DUMMYFUNCTION("""COMPUTED_VALUE"""),"अधावत्क्वापि गां वीक्ष्य हन्यमानामयं मुदा । अतिथिभ्यस्तथा बुद्ध्वा मन्दो मन्दं न्यवर्तत ॥नैषधीयचरितम्१७.२ ॥")</f>
        <v>अधावत्क्वापि गां वीक्ष्य हन्यमानामयं मुदा । अतिथिभ्यस्तथा बुद्ध्वा मन्दो मन्दं न्यवर्तत ॥नैषधीयचरितम्१७.२ ॥</v>
      </c>
      <c r="B4430" s="4" t="s">
        <v>2</v>
      </c>
      <c r="C4430" s="4"/>
    </row>
    <row r="4431" spans="1:3" ht="24" customHeight="1">
      <c r="A4431" s="4" t="str">
        <f ca="1">IFERROR(__xludf.DUMMYFUNCTION("""COMPUTED_VALUE"""),"हृष्टवान्स द्विजं दृष्ट्वा नित्यनैमित्तिकत्यजम् । यजमानं निरूप्यैनं दूरं दीनमुखोऽद्रवत् ॥नैषधीयचरितम्१७.२०१ ॥")</f>
        <v>हृष्टवान्स द्विजं दृष्ट्वा नित्यनैमित्तिकत्यजम् । यजमानं निरूप्यैनं दूरं दीनमुखोऽद्रवत् ॥नैषधीयचरितम्१७.२०१ ॥</v>
      </c>
      <c r="B4431" s="4" t="s">
        <v>4</v>
      </c>
      <c r="C4431" s="4"/>
    </row>
    <row r="4432" spans="1:3" ht="24" customHeight="1">
      <c r="A4432" s="4" t="str">
        <f ca="1">IFERROR(__xludf.DUMMYFUNCTION("""COMPUTED_VALUE"""),"आननन्द निरीक्ष्यायं पुरे तरात्मघातिनम् । सर्वस्वारस्य यज्वानमेनं दृष्ट्वाथ विव्यथे ॥नैषधीयचरितम्१७.२०२ ॥")</f>
        <v>आननन्द निरीक्ष्यायं पुरे तरात्मघातिनम् । सर्वस्वारस्य यज्वानमेनं दृष्ट्वाथ विव्यथे ॥नैषधीयचरितम्१७.२०२ ॥</v>
      </c>
      <c r="B4432" s="4" t="s">
        <v>10</v>
      </c>
      <c r="C4432" s="4"/>
    </row>
    <row r="4433" spans="1:3" ht="24" customHeight="1">
      <c r="A4433" s="4" t="str">
        <f ca="1">IFERROR(__xludf.DUMMYFUNCTION("""COMPUTED_VALUE"""),"क्रतौ महाव्रते पश्यन्ब्रह्मचारीत्वरीरतम् । जज्ञे यज्ञक्रियामज्ञः स भण्डाकाण्डताण्डवम् ॥नैषधीयचरितम्१७.२०३ ॥")</f>
        <v>क्रतौ महाव्रते पश्यन्ब्रह्मचारीत्वरीरतम् । जज्ञे यज्ञक्रियामज्ञः स भण्डाकाण्डताण्डवम् ॥नैषधीयचरितम्१७.२०३ ॥</v>
      </c>
      <c r="B4433" s="4" t="s">
        <v>4</v>
      </c>
      <c r="C4433" s="4"/>
    </row>
    <row r="4434" spans="1:3" ht="24" customHeight="1">
      <c r="A4434" s="4" t="str">
        <f ca="1">IFERROR(__xludf.DUMMYFUNCTION("""COMPUTED_VALUE"""),"यज्वभार्याश्वमेधाश्वलिङ्गालिङ्गिवराङ्गताम् । दृष्ट्वाचष्ट स कर्तारं शृउतेर्भण्डमपण्डितः ॥नैषधीयचरितम्१७.२०४ ॥")</f>
        <v>यज्वभार्याश्वमेधाश्वलिङ्गालिङ्गिवराङ्गताम् । दृष्ट्वाचष्ट स कर्तारं शृउतेर्भण्डमपण्डितः ॥नैषधीयचरितम्१७.२०४ ॥</v>
      </c>
      <c r="B4434" s="4" t="s">
        <v>2</v>
      </c>
      <c r="C4434" s="4"/>
    </row>
    <row r="4435" spans="1:3" ht="24" customHeight="1">
      <c r="A4435" s="4" t="str">
        <f ca="1">IFERROR(__xludf.DUMMYFUNCTION("""COMPUTED_VALUE"""),"अथ भीमजया जुष्टं व्यलोकत कलिर्नलम् । दुष्टदृग्भिर्दुरालोकं प्रभयेव प्रभाप्रभुम् ॥नैषधीयचरितम्१७.२०५ ॥")</f>
        <v>अथ भीमजया जुष्टं व्यलोकत कलिर्नलम् । दुष्टदृग्भिर्दुरालोकं प्रभयेव प्रभाप्रभुम् ॥नैषधीयचरितम्१७.२०५ ॥</v>
      </c>
      <c r="B4435" s="4" t="s">
        <v>6</v>
      </c>
      <c r="C4435" s="4"/>
    </row>
    <row r="4436" spans="1:3" ht="24" customHeight="1">
      <c r="A4436" s="4" t="str">
        <f ca="1">IFERROR(__xludf.DUMMYFUNCTION("""COMPUTED_VALUE"""),"तयोः सौहार्दसान्द्रत्वं पश्यञ्शल्यमिवानशे । मर्मच्छेदमिवानर्च्छ स तन्नर्मोर्मिभिर्मिथः ॥नैषधीयचरितम्१७.२०६ ॥")</f>
        <v>तयोः सौहार्दसान्द्रत्वं पश्यञ्शल्यमिवानशे । मर्मच्छेदमिवानर्च्छ स तन्नर्मोर्मिभिर्मिथः ॥नैषधीयचरितम्१७.२०६ ॥</v>
      </c>
      <c r="B4436" s="4" t="s">
        <v>10</v>
      </c>
      <c r="C4436" s="4"/>
    </row>
    <row r="4437" spans="1:3" ht="24" customHeight="1">
      <c r="A4437" s="4" t="str">
        <f ca="1">IFERROR(__xludf.DUMMYFUNCTION("""COMPUTED_VALUE"""),"अमर्षादात्मनो दोषात्तयोस्तेजस्वितागुणात् । स्प्रष्टुं दृशाप्यनीशस्तौ तस्मादप्यचलत्कलिः ॥नैषधीयचरितम्१७.२०७ ॥")</f>
        <v>अमर्षादात्मनो दोषात्तयोस्तेजस्वितागुणात् । स्प्रष्टुं दृशाप्यनीशस्तौ तस्मादप्यचलत्कलिः ॥नैषधीयचरितम्१७.२०७ ॥</v>
      </c>
      <c r="B4437" s="4" t="s">
        <v>11</v>
      </c>
      <c r="C4437" s="4"/>
    </row>
    <row r="4438" spans="1:3" ht="24" customHeight="1">
      <c r="A4438" s="4" t="str">
        <f ca="1">IFERROR(__xludf.DUMMYFUNCTION("""COMPUTED_VALUE"""),"अगच्छदाश्रयान्वेषी नलद्वेषी स निःश्वसन् । अभिरामं गृहारामं तस्य रामसमश्रियः ॥नैषधीयचरितम्१७.२०८ ॥")</f>
        <v>अगच्छदाश्रयान्वेषी नलद्वेषी स निःश्वसन् । अभिरामं गृहारामं तस्य रामसमश्रियः ॥नैषधीयचरितम्१७.२०८ ॥</v>
      </c>
      <c r="B4438" s="4" t="s">
        <v>5</v>
      </c>
      <c r="C4438" s="4"/>
    </row>
    <row r="4439" spans="1:3" ht="24" customHeight="1">
      <c r="A4439" s="4" t="str">
        <f ca="1">IFERROR(__xludf.DUMMYFUNCTION("""COMPUTED_VALUE"""),"रक्षिलक्षवृतत्वेन बाधनं न तपोधनैः । मेने मानी मनाक्तत्र स्वानुकूलं कलिः किल ॥नैषधीयचरितम्१७.२०९ ॥")</f>
        <v>रक्षिलक्षवृतत्वेन बाधनं न तपोधनैः । मेने मानी मनाक्तत्र स्वानुकूलं कलिः किल ॥नैषधीयचरितम्१७.२०९ ॥</v>
      </c>
      <c r="B4439" s="4" t="s">
        <v>11</v>
      </c>
      <c r="C4439" s="4"/>
    </row>
    <row r="4440" spans="1:3" ht="24" customHeight="1">
      <c r="A4440" s="4" t="str">
        <f ca="1">IFERROR(__xludf.DUMMYFUNCTION("""COMPUTED_VALUE"""),"दलपुष्पफलैर्देवद्विजपूजाभिसंधिना । स नलेनार्जितान्प्राप तत्र नाक्रमितुं द्रुमान् ॥नैषधीयचरितम्१७.२१ ॥")</f>
        <v>दलपुष्पफलैर्देवद्विजपूजाभिसंधिना । स नलेनार्जितान्प्राप तत्र नाक्रमितुं द्रुमान् ॥नैषधीयचरितम्१७.२१ ॥</v>
      </c>
      <c r="B4440" s="4" t="s">
        <v>12</v>
      </c>
      <c r="C4440" s="4"/>
    </row>
    <row r="4441" spans="1:3" ht="24" customHeight="1">
      <c r="A4441" s="4" t="str">
        <f ca="1">IFERROR(__xludf.DUMMYFUNCTION("""COMPUTED_VALUE"""),"अथ सर्वोद्भिदासत्तिपूरणाय स रोपितम् । बिभीतकं ददर्शैकं कुटं धर्मेऽप्यकर्मठम् ॥नैषधीयचरितम्१७.२११ ॥")</f>
        <v>अथ सर्वोद्भिदासत्तिपूरणाय स रोपितम् । बिभीतकं ददर्शैकं कुटं धर्मेऽप्यकर्मठम् ॥नैषधीयचरितम्१७.२११ ॥</v>
      </c>
      <c r="B4441" s="4" t="s">
        <v>22</v>
      </c>
      <c r="C4441" s="4"/>
    </row>
    <row r="4442" spans="1:3" ht="24" customHeight="1">
      <c r="A4442" s="4" t="str">
        <f ca="1">IFERROR(__xludf.DUMMYFUNCTION("""COMPUTED_VALUE"""),"स तं नैषधसौधस्य निकटं निष्कुटध्वजम् । बहु मेने निजं तस्मिन्कलिरालम्बनं वने ॥नैषधीयचरितम्१७.२१२ ॥")</f>
        <v>स तं नैषधसौधस्य निकटं निष्कुटध्वजम् । बहु मेने निजं तस्मिन्कलिरालम्बनं वने ॥नैषधीयचरितम्१७.२१२ ॥</v>
      </c>
      <c r="B4442" s="4" t="s">
        <v>1</v>
      </c>
      <c r="C4442" s="4"/>
    </row>
    <row r="4443" spans="1:3" ht="24" customHeight="1">
      <c r="A4443" s="4" t="str">
        <f ca="1">IFERROR(__xludf.DUMMYFUNCTION("""COMPUTED_VALUE"""),"निष्पदस्य कलेस्तत्र स्थानदानाद्बिभीतकम् । कलिद्रुमः परं नासीदासीत्कल्पद्रुमोऽपि सः ॥नैषधीयचरितम्१७.२१३ ॥")</f>
        <v>निष्पदस्य कलेस्तत्र स्थानदानाद्बिभीतकम् । कलिद्रुमः परं नासीदासीत्कल्पद्रुमोऽपि सः ॥नैषधीयचरितम्१७.२१३ ॥</v>
      </c>
      <c r="B4443" s="4" t="s">
        <v>18</v>
      </c>
      <c r="C4443" s="4"/>
    </row>
    <row r="4444" spans="1:3" ht="24" customHeight="1">
      <c r="A4444" s="4" t="str">
        <f ca="1">IFERROR(__xludf.DUMMYFUNCTION("""COMPUTED_VALUE"""),"ददौ पदेन धर्मस्य स्थातुमेकेन यत्कलिः । एकः सोऽपि तदा तस्य पदं मन्येऽमिलत्ततः ॥नैषधीयचरितम्१७.२१४ ॥")</f>
        <v>ददौ पदेन धर्मस्य स्थातुमेकेन यत्कलिः । एकः सोऽपि तदा तस्य पदं मन्येऽमिलत्ततः ॥नैषधीयचरितम्१७.२१४ ॥</v>
      </c>
      <c r="B4444" s="4" t="s">
        <v>2</v>
      </c>
      <c r="C4444" s="4"/>
    </row>
    <row r="4445" spans="1:3" ht="24" customHeight="1">
      <c r="A4445" s="4" t="str">
        <f ca="1">IFERROR(__xludf.DUMMYFUNCTION("""COMPUTED_VALUE"""),"उद्भिद्विरचितावासः कपोतादिव तत्र सः । राज्ञः साग्रेर्द्विजादस्मात्संतापं प्राप दीक्षितात् ॥नैषधीयचरितम्१७.२१५ ॥")</f>
        <v>उद्भिद्विरचितावासः कपोतादिव तत्र सः । राज्ञः साग्रेर्द्विजादस्मात्संतापं प्राप दीक्षितात् ॥नैषधीयचरितम्१७.२१५ ॥</v>
      </c>
      <c r="B4445" s="4" t="s">
        <v>2</v>
      </c>
      <c r="C4445" s="4"/>
    </row>
    <row r="4446" spans="1:3" ht="24" customHeight="1">
      <c r="A4446" s="4" t="str">
        <f ca="1">IFERROR(__xludf.DUMMYFUNCTION("""COMPUTED_VALUE"""),"बिभीतकमधिष्ठाय तथाभूतेन तिष्ठता । तेन भीमभुवोऽभीकः स राजर्षिरधर्षि न ॥नैषधीयचरितम्१७.२१६ ॥")</f>
        <v>बिभीतकमधिष्ठाय तथाभूतेन तिष्ठता । तेन भीमभुवोऽभीकः स राजर्षिरधर्षि न ॥नैषधीयचरितम्१७.२१६ ॥</v>
      </c>
      <c r="B4446" s="4" t="s">
        <v>1</v>
      </c>
      <c r="C4446" s="4"/>
    </row>
    <row r="4447" spans="1:3" ht="24" customHeight="1">
      <c r="A4447" s="4" t="str">
        <f ca="1">IFERROR(__xludf.DUMMYFUNCTION("""COMPUTED_VALUE"""),"तमालम्बनमासाद्य वैदर्भीनिषाधेशयोः । कलुषं कलिरन्विष्यन्नवात्सीद्वत्सरान्बहून् ॥नैषधीयचरितम्१७.२१७ ॥")</f>
        <v>तमालम्बनमासाद्य वैदर्भीनिषाधेशयोः । कलुषं कलिरन्विष्यन्नवात्सीद्वत्सरान्बहून् ॥नैषधीयचरितम्१७.२१७ ॥</v>
      </c>
      <c r="B4447" s="4" t="s">
        <v>24</v>
      </c>
      <c r="C4447" s="4"/>
    </row>
    <row r="4448" spans="1:3" ht="24" customHeight="1">
      <c r="A4448" s="4" t="str">
        <f ca="1">IFERROR(__xludf.DUMMYFUNCTION("""COMPUTED_VALUE"""),"यथासीत्कानने तत्र विनिद्रकलिका लता । तथा नलच्छलासक्तिविनिद्रकलिकालता ॥नैषधीयचरितम्१७.२१८ ॥")</f>
        <v>यथासीत्कानने तत्र विनिद्रकलिका लता । तथा नलच्छलासक्तिविनिद्रकलिकालता ॥नैषधीयचरितम्१७.२१८ ॥</v>
      </c>
      <c r="B4448" s="4" t="s">
        <v>2</v>
      </c>
      <c r="C4448" s="4"/>
    </row>
    <row r="4449" spans="1:3" ht="24" customHeight="1">
      <c r="A4449" s="4" t="str">
        <f ca="1">IFERROR(__xludf.DUMMYFUNCTION("""COMPUTED_VALUE"""),"दोषं नलस्य जिज्ञासुर्बभ्राम द्वापरः क्षितौ । अदोषः कोऽपि लोकस्य मुखेऽस्तीति दुराशया ॥नैषधीयचरितम्१७.२१९ ॥")</f>
        <v>दोषं नलस्य जिज्ञासुर्बभ्राम द्वापरः क्षितौ । अदोषः कोऽपि लोकस्य मुखेऽस्तीति दुराशया ॥नैषधीयचरितम्१७.२१९ ॥</v>
      </c>
      <c r="B4449" s="4" t="s">
        <v>5</v>
      </c>
      <c r="C4449" s="4"/>
    </row>
    <row r="4450" spans="1:3" ht="24" customHeight="1">
      <c r="A4450" s="4" t="str">
        <f ca="1">IFERROR(__xludf.DUMMYFUNCTION("""COMPUTED_VALUE"""),"अमुष्मिन्नारामे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॥नैषधीयचरितम्१७.२२ ॥")</f>
        <v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॥नैषधीयचरितम्१७.२२ ॥</v>
      </c>
      <c r="B4450" s="4" t="s">
        <v>15</v>
      </c>
      <c r="C4450" s="4"/>
    </row>
    <row r="4451" spans="1:3" ht="24" customHeight="1">
      <c r="A4451" s="4" t="str">
        <f ca="1">IFERROR(__xludf.DUMMYFUNCTION("""COMPUTED_VALUE"""),"स्फारे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॥नैषधीयचरितम्१७.२२१ ॥")</f>
        <v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॥नैषधीयचरितम्१७.२२१ ॥</v>
      </c>
      <c r="B4451" s="4" t="s">
        <v>1</v>
      </c>
      <c r="C4451" s="4"/>
    </row>
    <row r="4452" spans="1:3" ht="24" customHeight="1">
      <c r="A4452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॥नैषधीयचरितम्१७.२२२ ॥")</f>
        <v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॥नैषधीयचरितम्१७.२२२ ॥</v>
      </c>
      <c r="B4452" s="4" t="s">
        <v>11</v>
      </c>
      <c r="C4452" s="4"/>
    </row>
    <row r="4453" spans="1:3" ht="24" customHeight="1">
      <c r="A4453" s="4" t="str">
        <f ca="1">IFERROR(__xludf.DUMMYFUNCTION("""COMPUTED_VALUE"""),"निशि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॥नैषधीयचरितम्१९.१ ॥")</f>
        <v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॥नैषधीयचरितम्१९.१ ॥</v>
      </c>
      <c r="B4453" s="4" t="s">
        <v>0</v>
      </c>
      <c r="C4453" s="4"/>
    </row>
    <row r="4454" spans="1:3" ht="24" customHeight="1">
      <c r="A4454" s="4" t="str">
        <f ca="1">IFERROR(__xludf.DUMMYFUNCTION("""COMPUTED_VALUE"""),"जय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॥नैषधीयचरितम्१९.२ ॥")</f>
        <v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॥नैषधीयचरितम्१९.२ ॥</v>
      </c>
      <c r="B4454" s="4" t="s">
        <v>11</v>
      </c>
      <c r="C4454" s="4"/>
    </row>
    <row r="4455" spans="1:3" ht="24" customHeight="1">
      <c r="A4455" s="4" t="str">
        <f ca="1">IFERROR(__xludf.DUMMYFUNCTION("""COMPUTED_VALUE"""),"वरुणगृहिणीमाशामासादयन्तममुं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॥नैषधीयचरितम्१९.३ ॥")</f>
        <v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॥नैषधीयचरितम्१९.३ ॥</v>
      </c>
      <c r="B4455" s="4" t="s">
        <v>0</v>
      </c>
      <c r="C4455" s="4"/>
    </row>
    <row r="4456" spans="1:3" ht="24" customHeight="1">
      <c r="A4456" s="4" t="str">
        <f ca="1">IFERROR(__xludf.DUMMYFUNCTION("""COMPUTED_VALUE"""),"अमहतितरास्तादृक्तारा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॥नैषधीयचरितम्१९.४ ॥")</f>
        <v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॥नैषधीयचरितम्१९.४ ॥</v>
      </c>
      <c r="B4456" s="4" t="s">
        <v>13</v>
      </c>
      <c r="C4456" s="4"/>
    </row>
    <row r="4457" spans="1:3" ht="24" customHeight="1">
      <c r="A4457" s="4" t="str">
        <f ca="1">IFERROR(__xludf.DUMMYFUNCTION("""COMPUTED_VALUE"""),"स्फुरति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॥नैषधीयचरितम्१९.५ ॥")</f>
        <v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॥नैषधीयचरितम्१९.५ ॥</v>
      </c>
      <c r="B4457" s="4" t="s">
        <v>19</v>
      </c>
      <c r="C4457" s="4"/>
    </row>
    <row r="4458" spans="1:3" ht="24" customHeight="1">
      <c r="A4458" s="4" t="str">
        <f ca="1">IFERROR(__xludf.DUMMYFUNCTION("""COMPUTED_VALUE"""),"रजनिवमथुप्रालेयाम्भःकणक्रमसंभृतैः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॥नैषधीयचरितम्१९.६ ॥")</f>
        <v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॥नैषधीयचरितम्१९.६ ॥</v>
      </c>
      <c r="B4458" s="4" t="s">
        <v>0</v>
      </c>
      <c r="C4458" s="4"/>
    </row>
    <row r="4459" spans="1:3" ht="24" customHeight="1">
      <c r="A4459" s="4" t="str">
        <f ca="1">IFERROR(__xludf.DUMMYFUNCTION("""COMPUTED_VALUE"""),"रविरुचिऋचामोकारेषु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॥नैषधीयचरितम्१९.७ ॥")</f>
        <v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॥नैषधीयचरितम्१९.७ ॥</v>
      </c>
      <c r="B4459" s="4" t="s">
        <v>4</v>
      </c>
      <c r="C4459" s="4"/>
    </row>
    <row r="4460" spans="1:3" ht="24" customHeight="1">
      <c r="A4460" s="4" t="str">
        <f ca="1">IFERROR(__xludf.DUMMYFUNCTION("""COMPUTED_VALUE"""),"व्रजति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॥नैषधीयचरितम्१९.८ ॥")</f>
        <v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॥नैषधीयचरितम्१९.८ ॥</v>
      </c>
      <c r="B4460" s="4" t="s">
        <v>0</v>
      </c>
      <c r="C4460" s="4"/>
    </row>
    <row r="4461" spans="1:3" ht="24" customHeight="1">
      <c r="A4461" s="4" t="str">
        <f ca="1">IFERROR(__xludf.DUMMYFUNCTION("""COMPUTED_VALUE"""),"त्रिदशमिथुनक्रीडातल्पे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॥नैषधीयचरितम्१९.९ ॥")</f>
        <v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॥नैषधीयचरितम्१९.९ ॥</v>
      </c>
      <c r="B4461" s="4" t="s">
        <v>20</v>
      </c>
      <c r="C4461" s="4"/>
    </row>
    <row r="4462" spans="1:3" ht="24" customHeight="1">
      <c r="A4462" s="4" t="str">
        <f ca="1">IFERROR(__xludf.DUMMYFUNCTION("""COMPUTED_VALUE"""),"दशशतचतुर्वेदीशाखाविवर्तनमूर्तयः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॥नैषधीयचरितम्१९.१ ॥")</f>
        <v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॥नैषधीयचरितम्१९.१ ॥</v>
      </c>
      <c r="B4462" s="4" t="s">
        <v>1</v>
      </c>
      <c r="C4462" s="4"/>
    </row>
    <row r="4463" spans="1:3" ht="24" customHeight="1">
      <c r="A4463" s="4" t="str">
        <f ca="1">IFERROR(__xludf.DUMMYFUNCTION("""COMPUTED_VALUE"""),"नयति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॥नैषधीयचरितम्१९.११ ॥")</f>
        <v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॥नैषधीयचरितम्१९.११ ॥</v>
      </c>
      <c r="B4463" s="4" t="s">
        <v>12</v>
      </c>
      <c r="C4463" s="4"/>
    </row>
    <row r="4464" spans="1:3" ht="24" customHeight="1">
      <c r="A4464" s="4" t="str">
        <f ca="1">IFERROR(__xludf.DUMMYFUNCTION("""COMPUTED_VALUE"""),"नभसि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॥नैषधीयचरितम्१९.१२ ॥")</f>
        <v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॥नैषधीयचरितम्१९.१२ ॥</v>
      </c>
      <c r="B4464" s="4" t="s">
        <v>2</v>
      </c>
      <c r="C4464" s="4"/>
    </row>
    <row r="4465" spans="1:3" ht="24" customHeight="1">
      <c r="A4465" s="4" t="str">
        <f ca="1">IFERROR(__xludf.DUMMYFUNCTION("""COMPUTED_VALUE"""),"भृशमबिभरुस्तारा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॥नैषधीयचरितम्१९.१३ ॥")</f>
        <v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॥नैषधीयचरितम्१९.१३ ॥</v>
      </c>
      <c r="B4465" s="4" t="s">
        <v>2</v>
      </c>
      <c r="C4465" s="4"/>
    </row>
    <row r="4466" spans="1:3" ht="24" customHeight="1">
      <c r="A4466" s="4" t="str">
        <f ca="1">IFERROR(__xludf.DUMMYFUNCTION("""COMPUTED_VALUE"""),"प्रथममुपहृत्यार्घं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॥नैषधीयचरितम्१९.१४ ॥")</f>
        <v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॥नैषधीयचरितम्१९.१४ ॥</v>
      </c>
      <c r="B4466" s="4" t="s">
        <v>6</v>
      </c>
      <c r="C4466" s="4"/>
    </row>
    <row r="4467" spans="1:3" ht="24" customHeight="1">
      <c r="A4467" s="4" t="str">
        <f ca="1">IFERROR(__xludf.DUMMYFUNCTION("""COMPUTED_VALUE"""),"असुरहितमप्यादित्योत्थां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॥नैषधीयचरितम्१९.१५ ॥")</f>
        <v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॥नैषधीयचरितम्१९.१५ ॥</v>
      </c>
      <c r="B4467" s="4" t="s">
        <v>2</v>
      </c>
      <c r="C4467" s="4"/>
    </row>
    <row r="4468" spans="1:3" ht="24" customHeight="1">
      <c r="A4468" s="4" t="str">
        <f ca="1">IFERROR(__xludf.DUMMYFUNCTION("""COMPUTED_VALUE"""),"उदयशिखरिप्रस्थान्यह्ना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॥नैषधीयचरितम्१९.१६ ॥")</f>
        <v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॥नैषधीयचरितम्१९.१६ ॥</v>
      </c>
      <c r="B4468" s="4" t="s">
        <v>1</v>
      </c>
      <c r="C4468" s="4"/>
    </row>
    <row r="4469" spans="1:3" ht="24" customHeight="1">
      <c r="A4469" s="4" t="str">
        <f ca="1">IFERROR(__xludf.DUMMYFUNCTION("""COMPUTED_VALUE"""),"रविरथहयानश्वस्यन्ति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॥नैषधीयचरितम्१९.१७ ॥")</f>
        <v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॥नैषधीयचरितम्१९.१७ ॥</v>
      </c>
      <c r="B4469" s="4" t="s">
        <v>2</v>
      </c>
      <c r="C4469" s="4"/>
    </row>
    <row r="4470" spans="1:3" ht="24" customHeight="1">
      <c r="A4470" s="4" t="str">
        <f ca="1">IFERROR(__xludf.DUMMYFUNCTION("""COMPUTED_VALUE"""),"निशि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॥नैषधीयचरितम्१९.१८ ॥")</f>
        <v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॥नैषधीयचरितम्१९.१८ ॥</v>
      </c>
      <c r="B4470" s="4" t="s">
        <v>2</v>
      </c>
      <c r="C4470" s="4"/>
    </row>
    <row r="4471" spans="1:3" ht="24" customHeight="1">
      <c r="A4471" s="4" t="str">
        <f ca="1">IFERROR(__xludf.DUMMYFUNCTION("""COMPUTED_VALUE"""),"उडुपरिषदः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॥नैषधीयचरितम्१९.१९ ॥")</f>
        <v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॥नैषधीयचरितम्१९.१९ ॥</v>
      </c>
      <c r="B4471" s="4" t="s">
        <v>2</v>
      </c>
      <c r="C4471" s="4"/>
    </row>
    <row r="4472" spans="1:3" ht="24" customHeight="1">
      <c r="A4472" s="4" t="str">
        <f ca="1">IFERROR(__xludf.DUMMYFUNCTION("""COMPUTED_VALUE"""),"अरुणकिरणे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॥नैषधीयचरितम्१९.२ ॥")</f>
        <v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॥नैषधीयचरितम्१९.२ ॥</v>
      </c>
      <c r="B4472" s="4" t="s">
        <v>2</v>
      </c>
      <c r="C4472" s="4"/>
    </row>
    <row r="4473" spans="1:3" ht="24" customHeight="1">
      <c r="A4473" s="4" t="str">
        <f ca="1">IFERROR(__xludf.DUMMYFUNCTION("""COMPUTED_VALUE"""),"रतिरतिपतिद्वैतश्रीकौ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॥नैषधीयचरितम्१९.२१ ॥")</f>
        <v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॥नैषधीयचरितम्१९.२१ ॥</v>
      </c>
      <c r="B4473" s="4" t="s">
        <v>2</v>
      </c>
      <c r="C4473" s="4"/>
    </row>
    <row r="4474" spans="1:3" ht="24" customHeight="1">
      <c r="A4474" s="4" t="str">
        <f ca="1">IFERROR(__xludf.DUMMYFUNCTION("""COMPUTED_VALUE"""),"भव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॥नैषधीयचरितम्१९.२२ ॥")</f>
        <v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॥नैषधीयचरितम्१९.२२ ॥</v>
      </c>
      <c r="B4474" s="4" t="s">
        <v>1</v>
      </c>
      <c r="C4474" s="4"/>
    </row>
    <row r="4475" spans="1:3" ht="24" customHeight="1">
      <c r="A4475" s="4" t="str">
        <f ca="1">IFERROR(__xludf.DUMMYFUNCTION("""COMPUTED_VALUE"""),"मुषितमनसश्चित्रं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॥नैषधीयचरितम्१९.२३ ॥")</f>
        <v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॥नैषधीयचरितम्१९.२३ ॥</v>
      </c>
      <c r="B4475" s="4" t="s">
        <v>7</v>
      </c>
      <c r="C4475" s="4"/>
    </row>
    <row r="4476" spans="1:3" ht="24" customHeight="1">
      <c r="A4476" s="4" t="str">
        <f ca="1">IFERROR(__xludf.DUMMYFUNCTION("""COMPUTED_VALUE"""),"न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॥नैषधीयचरितम्१९.२४ ॥")</f>
        <v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॥नैषधीयचरितम्१९.२४ ॥</v>
      </c>
      <c r="B4476" s="4" t="s">
        <v>17</v>
      </c>
      <c r="C4476" s="4"/>
    </row>
    <row r="4477" spans="1:3" ht="24" customHeight="1">
      <c r="A4477" s="4" t="str">
        <f ca="1">IFERROR(__xludf.DUMMYFUNCTION("""COMPUTED_VALUE"""),"रह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॥नैषधीयचरितम्१९.२५ ॥")</f>
        <v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॥नैषधीयचरितम्१९.२५ ॥</v>
      </c>
      <c r="B4477" s="4" t="s">
        <v>17</v>
      </c>
      <c r="C4477" s="4"/>
    </row>
    <row r="4478" spans="1:3" ht="24" customHeight="1">
      <c r="A4478" s="4" t="str">
        <f ca="1">IFERROR(__xludf.DUMMYFUNCTION("""COMPUTED_VALUE"""),"प्रथमककुभः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॥नैषधीयचरितम्१९.२६ ॥")</f>
        <v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॥नैषधीयचरितम्१९.२६ ॥</v>
      </c>
      <c r="B4478" s="4" t="s">
        <v>0</v>
      </c>
      <c r="C4478" s="4"/>
    </row>
    <row r="4479" spans="1:3" ht="24" customHeight="1">
      <c r="A4479" s="4" t="str">
        <f ca="1">IFERROR(__xludf.DUMMYFUNCTION("""COMPUTED_VALUE"""),"अनतिशिथिले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॥नैषधीयचरितम्१९.२७ ॥")</f>
        <v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॥नैषधीयचरितम्१९.२७ ॥</v>
      </c>
      <c r="B4479" s="4" t="s">
        <v>0</v>
      </c>
      <c r="C4479" s="4"/>
    </row>
    <row r="4480" spans="1:3" ht="24" customHeight="1">
      <c r="A4480" s="4" t="str">
        <f ca="1">IFERROR(__xludf.DUMMYFUNCTION("""COMPUTED_VALUE"""),"मिहिरकिरणाभोगं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॥नैषधीयचरितम्१९.२८ ॥")</f>
        <v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॥नैषधीयचरितम्१९.२८ ॥</v>
      </c>
      <c r="B4480" s="4" t="s">
        <v>5</v>
      </c>
      <c r="C4480" s="4"/>
    </row>
    <row r="4481" spans="1:3" ht="24" customHeight="1">
      <c r="A4481" s="4" t="str">
        <f ca="1">IFERROR(__xludf.DUMMYFUNCTION("""COMPUTED_VALUE"""),"तटतरुखगश्रेणीसांराविणैरिव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॥नैषधीयचरितम्१९.२९ ॥")</f>
        <v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॥नैषधीयचरितम्१९.२९ ॥</v>
      </c>
      <c r="B4481" s="4" t="s">
        <v>24</v>
      </c>
      <c r="C4481" s="4"/>
    </row>
    <row r="4482" spans="1:3" ht="24" customHeight="1">
      <c r="A4482" s="4" t="str">
        <f ca="1">IFERROR(__xludf.DUMMYFUNCTION("""COMPUTED_VALUE"""),"गतचरदिनस्यायुर्भ्रंशे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॥नैषधीयचरितम्१९.३ ॥")</f>
        <v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॥नैषधीयचरितम्१९.३ ॥</v>
      </c>
      <c r="B4482" s="4" t="s">
        <v>7</v>
      </c>
      <c r="C4482" s="4"/>
    </row>
    <row r="4483" spans="1:3" ht="24" customHeight="1">
      <c r="A4483" s="4" t="str">
        <f ca="1">IFERROR(__xludf.DUMMYFUNCTION("""COMPUTED_VALUE"""),"तिमिरविरहात्पाण्डूयन्ते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॥नैषधीयचरितम्१९.३१ ॥")</f>
        <v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॥नैषधीयचरितम्१९.३१ ॥</v>
      </c>
      <c r="B4483" s="4" t="s">
        <v>0</v>
      </c>
      <c r="C4483" s="4"/>
    </row>
    <row r="4484" spans="1:3" ht="24" customHeight="1">
      <c r="A4484" s="4" t="str">
        <f ca="1">IFERROR(__xludf.DUMMYFUNCTION("""COMPUTED_VALUE"""),"सरसिजवनान्युद्यत्पक्षार्यमाणि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॥नैषधीयचरितम्१९.३२ ॥")</f>
        <v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॥नैषधीयचरितम्१९.३२ ॥</v>
      </c>
      <c r="B4484" s="4" t="s">
        <v>5</v>
      </c>
      <c r="C4484" s="4"/>
    </row>
    <row r="4485" spans="1:3" ht="24" customHeight="1">
      <c r="A4485" s="4" t="str">
        <f ca="1">IFERROR(__xludf.DUMMYFUNCTION("""COMPUTED_VALUE"""),"धयतु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॥नैषधीयचरितम्१९.३३ ॥")</f>
        <v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॥नैषधीयचरितम्१९.३३ ॥</v>
      </c>
      <c r="B4485" s="4" t="s">
        <v>19</v>
      </c>
      <c r="C4485" s="4"/>
    </row>
    <row r="4486" spans="1:3" ht="24" customHeight="1">
      <c r="A4486" s="4" t="str">
        <f ca="1">IFERROR(__xludf.DUMMYFUNCTION("""COMPUTED_VALUE"""),"जगति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॥नैषधीयचरितम्१९.३४ ॥")</f>
        <v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॥नैषधीयचरितम्१९.३४ ॥</v>
      </c>
      <c r="B4486" s="4" t="s">
        <v>6</v>
      </c>
      <c r="C4486" s="4"/>
    </row>
    <row r="4487" spans="1:3" ht="24" customHeight="1">
      <c r="A4487" s="4" t="str">
        <f ca="1">IFERROR(__xludf.DUMMYFUNCTION("""COMPUTED_VALUE"""),"विशति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॥नैषधीयचरितम्१९.३५ ॥")</f>
        <v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॥नैषधीयचरितम्१९.३५ ॥</v>
      </c>
      <c r="B4487" s="4" t="s">
        <v>12</v>
      </c>
      <c r="C4487" s="4"/>
    </row>
    <row r="4488" spans="1:3" ht="24" customHeight="1">
      <c r="A4488" s="4" t="str">
        <f ca="1">IFERROR(__xludf.DUMMYFUNCTION("""COMPUTED_VALUE"""),"स्वमुकुलमयैर्नेत्रैरन्धंभविष्णुतया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॥नैषधीयचरितम्१९.३६ ॥")</f>
        <v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॥नैषधीयचरितम्१९.३६ ॥</v>
      </c>
      <c r="B4488" s="4" t="s">
        <v>1</v>
      </c>
      <c r="C4488" s="4"/>
    </row>
    <row r="4489" spans="1:3" ht="24" customHeight="1">
      <c r="A4489" s="4" t="str">
        <f ca="1">IFERROR(__xludf.DUMMYFUNCTION("""COMPUTED_VALUE"""),"चुलुकिततमःसिन्धोर्भृङ्गैः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॥नैषधीयचरितम्१९.३७ ॥")</f>
        <v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॥नैषधीयचरितम्१९.३७ ॥</v>
      </c>
      <c r="B4489" s="4" t="s">
        <v>2</v>
      </c>
      <c r="C4489" s="4"/>
    </row>
    <row r="4490" spans="1:3" ht="24" customHeight="1">
      <c r="A4490" s="4" t="str">
        <f ca="1">IFERROR(__xludf.DUMMYFUNCTION("""COMPUTED_VALUE"""),"घुसृणसुमनःशृएणीश्रीणामनादरिभिः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॥नैषधीयचरितम्१९.३८ ॥")</f>
        <v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॥नैषधीयचरितम्१९.३८ ॥</v>
      </c>
      <c r="B4490" s="4" t="s">
        <v>6</v>
      </c>
      <c r="C4490" s="4"/>
    </row>
    <row r="4491" spans="1:3" ht="24" customHeight="1">
      <c r="A4491" s="4" t="str">
        <f ca="1">IFERROR(__xludf.DUMMYFUNCTION("""COMPUTED_VALUE"""),"रचयति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॥नैषधीयचरितम्१९.३९ ॥")</f>
        <v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॥नैषधीयचरितम्१९.३९ ॥</v>
      </c>
      <c r="B4491" s="4" t="s">
        <v>11</v>
      </c>
      <c r="C4491" s="4"/>
    </row>
    <row r="4492" spans="1:3" ht="24" customHeight="1">
      <c r="A4492" s="4" t="str">
        <f ca="1">IFERROR(__xludf.DUMMYFUNCTION("""COMPUTED_VALUE"""),"कमलकुशलाधाने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॥नैषधीयचरितम्१९.४ ॥")</f>
        <v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॥नैषधीयचरितम्१९.४ ॥</v>
      </c>
      <c r="B4492" s="4" t="s">
        <v>1</v>
      </c>
      <c r="C4492" s="4"/>
    </row>
    <row r="4493" spans="1:3" ht="24" customHeight="1">
      <c r="A4493" s="4" t="str">
        <f ca="1">IFERROR(__xludf.DUMMYFUNCTION("""COMPUTED_VALUE"""),"यदतिमहती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॥नैषधीयचरितम्१९.४१ ॥")</f>
        <v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॥नैषधीयचरितम्१९.४१ ॥</v>
      </c>
      <c r="B4493" s="4" t="s">
        <v>11</v>
      </c>
      <c r="C4493" s="4"/>
    </row>
    <row r="4494" spans="1:3" ht="24" customHeight="1">
      <c r="A4494" s="4" t="str">
        <f ca="1">IFERROR(__xludf.DUMMYFUNCTION("""COMPUTED_VALUE"""),"उदयशिखरिप्रस्थावस्थायिनी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॥नैषधीयचरितम्१९.४२ ॥")</f>
        <v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॥नैषधीयचरितम्१९.४२ ॥</v>
      </c>
      <c r="B4494" s="4" t="s">
        <v>2</v>
      </c>
      <c r="C4494" s="4"/>
    </row>
    <row r="4495" spans="1:3" ht="24" customHeight="1">
      <c r="A4495" s="4" t="str">
        <f ca="1">IFERROR(__xludf.DUMMYFUNCTION("""COMPUTED_VALUE"""),"सुरपरिवृढः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॥नैषधीयचरितम्१९.४३ ॥")</f>
        <v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॥नैषधीयचरितम्१९.४३ ॥</v>
      </c>
      <c r="B4495" s="4" t="s">
        <v>7</v>
      </c>
      <c r="C4495" s="4"/>
    </row>
    <row r="4496" spans="1:3" ht="24" customHeight="1">
      <c r="A4496" s="4" t="str">
        <f ca="1">IFERROR(__xludf.DUMMYFUNCTION("""COMPUTED_VALUE"""),"दहनमविशद्दीप्तिर्यास्तं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॥नैषधीयचरितम्१९.४४ ॥")</f>
        <v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॥नैषधीयचरितम्१९.४४ ॥</v>
      </c>
      <c r="B4496" s="4" t="s">
        <v>2</v>
      </c>
      <c r="C4496" s="4"/>
    </row>
    <row r="4497" spans="1:3" ht="24" customHeight="1">
      <c r="A4497" s="4" t="str">
        <f ca="1">IFERROR(__xludf.DUMMYFUNCTION("""COMPUTED_VALUE"""),"बधुजनकथा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॥नैषधीयचरितम्१९.४५ ॥")</f>
        <v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॥नैषधीयचरितम्१९.४५ ॥</v>
      </c>
      <c r="B4497" s="4" t="s">
        <v>2</v>
      </c>
      <c r="C4497" s="4"/>
    </row>
    <row r="4498" spans="1:3" ht="24" customHeight="1">
      <c r="A4498" s="4" t="str">
        <f ca="1">IFERROR(__xludf.DUMMYFUNCTION("""COMPUTED_VALUE"""),"अभजत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॥नैषधीयचरितम्१९.४६ ॥")</f>
        <v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॥नैषधीयचरितम्१९.४६ ॥</v>
      </c>
      <c r="B4498" s="4" t="s">
        <v>2</v>
      </c>
      <c r="C4498" s="4"/>
    </row>
    <row r="4499" spans="1:3" ht="24" customHeight="1">
      <c r="A4499" s="4" t="str">
        <f ca="1">IFERROR(__xludf.DUMMYFUNCTION("""COMPUTED_VALUE"""),"रुचिरचरणः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॥नैषधीयचरितम्१९.४७ ॥")</f>
        <v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॥नैषधीयचरितम्१९.४७ ॥</v>
      </c>
      <c r="B4499" s="4" t="s">
        <v>11</v>
      </c>
      <c r="C4499" s="4"/>
    </row>
    <row r="4500" spans="1:3" ht="24" customHeight="1">
      <c r="A4500" s="4" t="str">
        <f ca="1">IFERROR(__xludf.DUMMYFUNCTION("""COMPUTED_VALUE"""),"शिशिरजरुजां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॥नैषधीयचरितम्१९.४८ ॥")</f>
        <v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॥नैषधीयचरितम्१९.४८ ॥</v>
      </c>
      <c r="B4500" s="4" t="s">
        <v>2</v>
      </c>
      <c r="C4500" s="4"/>
    </row>
    <row r="4501" spans="1:3" ht="24" customHeight="1">
      <c r="A4501" s="4" t="str">
        <f ca="1">IFERROR(__xludf.DUMMYFUNCTION("""COMPUTED_VALUE"""),"इह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॥नैषधीयचरितम्१९.४९ ॥")</f>
        <v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॥नैषधीयचरितम्१९.४९ ॥</v>
      </c>
      <c r="B4501" s="4" t="s">
        <v>13</v>
      </c>
      <c r="C4501" s="4"/>
    </row>
    <row r="4502" spans="1:3" ht="24" customHeight="1">
      <c r="A4502" s="4" t="str">
        <f ca="1">IFERROR(__xludf.DUMMYFUNCTION("""COMPUTED_VALUE"""),"जगति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॥नैषधीयचरितम्१९. ॥")</f>
        <v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॥नैषधीयचरितम्१९. ॥</v>
      </c>
      <c r="B4502" s="4" t="s">
        <v>4</v>
      </c>
      <c r="C4502" s="4"/>
    </row>
    <row r="4503" spans="1:3" ht="24" customHeight="1">
      <c r="A4503" s="4" t="str">
        <f ca="1">IFERROR(__xludf.DUMMYFUNCTION("""COMPUTED_VALUE"""),"उडुपरिवृढः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॥नैषधीयचरितम्१९.५१ ॥")</f>
        <v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॥नैषधीयचरितम्१९.५१ ॥</v>
      </c>
      <c r="B4503" s="4" t="s">
        <v>13</v>
      </c>
      <c r="C4503" s="4"/>
    </row>
    <row r="4504" spans="1:3" ht="24" customHeight="1">
      <c r="A4504" s="4" t="str">
        <f ca="1">IFERROR(__xludf.DUMMYFUNCTION("""COMPUTED_VALUE"""),"श्रुतिमयतनोर्भानोर्जानेऽवनेरधराढ्वना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॥नैषधीयचरितम्१९.५२ ॥")</f>
        <v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॥नैषधीयचरितम्१९.५२ ॥</v>
      </c>
      <c r="B4504" s="4" t="s">
        <v>0</v>
      </c>
      <c r="C4504" s="4"/>
    </row>
    <row r="4505" spans="1:3" ht="24" customHeight="1">
      <c r="A4505" s="4" t="str">
        <f ca="1">IFERROR(__xludf.DUMMYFUNCTION("""COMPUTED_VALUE"""),"बहुनखरता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॥नैषधीयचरितम्१९.५३ ॥")</f>
        <v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॥नैषधीयचरितम्१९.५३ ॥</v>
      </c>
      <c r="B4505" s="4" t="s">
        <v>12</v>
      </c>
      <c r="C4505" s="4"/>
    </row>
    <row r="4506" spans="1:3" ht="24" customHeight="1">
      <c r="A4506" s="4" t="str">
        <f ca="1">IFERROR(__xludf.DUMMYFUNCTION("""COMPUTED_VALUE"""),"नय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॥नैषधीयचरितम्१९.५४ ॥")</f>
        <v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॥नैषधीयचरितम्१९.५४ ॥</v>
      </c>
      <c r="B4506" s="4" t="s">
        <v>4</v>
      </c>
      <c r="C4506" s="4"/>
    </row>
    <row r="4507" spans="1:3" ht="24" customHeight="1">
      <c r="A4507" s="4" t="str">
        <f ca="1">IFERROR(__xludf.DUMMYFUNCTION("""COMPUTED_VALUE"""),"दिनमिव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॥नैषधीयचरितम्१९.५५ ॥")</f>
        <v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॥नैषधीयचरितम्१९.५५ ॥</v>
      </c>
      <c r="B4507" s="4" t="s">
        <v>11</v>
      </c>
      <c r="C4507" s="4"/>
    </row>
    <row r="4508" spans="1:3" ht="24" customHeight="1">
      <c r="A4508" s="4" t="str">
        <f ca="1">IFERROR(__xludf.DUMMYFUNCTION("""COMPUTED_VALUE"""),"ब्रूमः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॥नैषधीयचरितम्१९.५६ ॥")</f>
        <v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॥नैषधीयचरितम्१९.५६ ॥</v>
      </c>
      <c r="B4508" s="4" t="s">
        <v>19</v>
      </c>
      <c r="C4508" s="4"/>
    </row>
    <row r="4509" spans="1:3" ht="24" customHeight="1">
      <c r="A4509" s="4" t="str">
        <f ca="1">IFERROR(__xludf.DUMMYFUNCTION("""COMPUTED_VALUE"""),"ताराशङ्खविलोपकस्य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॥नैषधीयचरितम्१९.५७ ॥")</f>
        <v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॥नैषधीयचरितम्१९.५७ ॥</v>
      </c>
      <c r="B4509" s="4" t="s">
        <v>20</v>
      </c>
      <c r="C4509" s="4"/>
    </row>
    <row r="4510" spans="1:3" ht="24" customHeight="1">
      <c r="A4510" s="4" t="str">
        <f ca="1">IFERROR(__xludf.DUMMYFUNCTION("""COMPUTED_VALUE"""),"जलजभिदुरीभावं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॥नैषधीयचरितम्१९.५८ ॥")</f>
        <v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॥नैषधीयचरितम्१९.५८ ॥</v>
      </c>
      <c r="B4510" s="4" t="s">
        <v>2</v>
      </c>
      <c r="C4510" s="4"/>
    </row>
    <row r="4511" spans="1:3" ht="24" customHeight="1">
      <c r="A4511" s="4" t="str">
        <f ca="1">IFERROR(__xludf.DUMMYFUNCTION("""COMPUTED_VALUE"""),"यत्पाथोजविमुद्रणप्रकरणे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॥नैषधीयचरितम्१९.५९ ॥")</f>
        <v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॥नैषधीयचरितम्१९.५९ ॥</v>
      </c>
      <c r="B4511" s="4" t="s">
        <v>13</v>
      </c>
      <c r="C4511" s="4"/>
    </row>
    <row r="4512" spans="1:3" ht="24" customHeight="1">
      <c r="A4512" s="4" t="str">
        <f ca="1">IFERROR(__xludf.DUMMYFUNCTION("""COMPUTED_VALUE"""),"अवैमि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॥नैषधीयचरितम्१९.६० ॥")</f>
        <v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॥नैषधीयचरितम्१९.६० ॥</v>
      </c>
      <c r="B4512" s="4" t="s">
        <v>17</v>
      </c>
      <c r="C4512" s="4"/>
    </row>
    <row r="4513" spans="1:3" ht="24" customHeight="1">
      <c r="A4513" s="4" t="str">
        <f ca="1">IFERROR(__xludf.DUMMYFUNCTION("""COMPUTED_VALUE"""),"इह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॥नैषधीयचरितम्१९.६१ ॥")</f>
        <v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॥नैषधीयचरितम्१९.६१ ॥</v>
      </c>
      <c r="B4513" s="4" t="s">
        <v>6</v>
      </c>
      <c r="C4513" s="4"/>
    </row>
    <row r="4514" spans="1:3" ht="24" customHeight="1">
      <c r="A4514" s="4" t="str">
        <f ca="1">IFERROR(__xludf.DUMMYFUNCTION("""COMPUTED_VALUE"""),"दाक्षीपुत्रस्य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॥नैषधीयचरितम्१९.६२ ॥")</f>
        <v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॥नैषधीयचरितम्१९.६२ ॥</v>
      </c>
      <c r="B4514" s="4" t="s">
        <v>1</v>
      </c>
      <c r="C4514" s="4"/>
    </row>
    <row r="4515" spans="1:3" ht="24" customHeight="1">
      <c r="A4515" s="4" t="str">
        <f ca="1">IFERROR(__xludf.DUMMYFUNCTION("""COMPUTED_VALUE"""),"पौरस्त्यायां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॥नैषधीयचरितम्१९.६३ ॥")</f>
        <v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॥नैषधीयचरितम्१९.६३ ॥</v>
      </c>
      <c r="B4515" s="4" t="s">
        <v>6</v>
      </c>
      <c r="C4515" s="4"/>
    </row>
    <row r="4516" spans="1:3" ht="24" customHeight="1">
      <c r="A4516" s="4" t="str">
        <f ca="1">IFERROR(__xludf.DUMMYFUNCTION("""COMPUTED_VALUE"""),"द्वित्रेरेव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॥नैषधीयचरितम्१९.६४ ॥")</f>
        <v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॥नैषधीयचरितम्१९.६४ ॥</v>
      </c>
      <c r="B4516" s="4" t="s">
        <v>2</v>
      </c>
      <c r="C4516" s="4"/>
    </row>
    <row r="4517" spans="1:3" ht="24" customHeight="1">
      <c r="A4517" s="4" t="str">
        <f ca="1">IFERROR(__xludf.DUMMYFUNCTION("""COMPUTED_VALUE"""),"दूरारूढस्तिमिरजलधेर्वाडवश्चित्रभानुर्भानुस्ताम्यद्वनरुहवनीकेलिवैहासिकोऽयम्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॥नैषधीयचरितम्१९.६५ ॥")</f>
        <v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॥नैषधीयचरितम्१९.६५ ॥</v>
      </c>
      <c r="B4517" s="4" t="s">
        <v>2</v>
      </c>
      <c r="C4517" s="4"/>
    </row>
    <row r="4518" spans="1:3" ht="24" customHeight="1">
      <c r="A4518" s="4" t="str">
        <f ca="1">IFERROR(__xludf.DUMMYFUNCTION("""COMPUTED_VALUE"""),"प्रातर्वर्णनयानया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॥नैषधीयचरितम्१९.६६ ॥")</f>
        <v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॥नैषधीयचरितम्१९.६६ ॥</v>
      </c>
      <c r="B4518" s="4" t="s">
        <v>7</v>
      </c>
      <c r="C4518" s="4"/>
    </row>
    <row r="4519" spans="1:3" ht="24" customHeight="1">
      <c r="A4519" s="4" t="str">
        <f ca="1">IFERROR(__xludf.DUMMYFUNCTION("""COMPUTED_VALUE"""),"आगच्छन्भणतामुषाः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॥नैषधीयचरितम्१९.६७ ॥")</f>
        <v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॥नैषधीयचरितम्१९.६७ ॥</v>
      </c>
      <c r="B4519" s="4" t="s">
        <v>12</v>
      </c>
      <c r="C4519" s="4"/>
    </row>
    <row r="4520" spans="1:3" ht="24" customHeight="1">
      <c r="A4520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॥नैषधीयचरितम्१९.६८ ॥")</f>
        <v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॥नैषधीयचरितम्१९.६८ ॥</v>
      </c>
      <c r="B4520" s="4" t="s">
        <v>15</v>
      </c>
      <c r="C4520" s="4"/>
    </row>
    <row r="4521" spans="1:3" ht="24" customHeight="1">
      <c r="A4521" s="4" t="str">
        <f ca="1">IFERROR(__xludf.DUMMYFUNCTION("""COMPUTED_VALUE"""),"सौधाद्रिकुट्टिमानेकधातुकाधित्यकातटम् । स प्राप रथपाथोभृद्वातजातजवो दिवः ॥नैषधीयचरितम्२०.१ ॥")</f>
        <v>सौधाद्रिकुट्टिमानेकधातुकाधित्यकातटम् । स प्राप रथपाथोभृद्वातजातजवो दिवः ॥नैषधीयचरितम्२०.१ ॥</v>
      </c>
      <c r="B4521" s="4" t="s">
        <v>4</v>
      </c>
      <c r="C4521" s="4"/>
    </row>
    <row r="4522" spans="1:3" ht="24" customHeight="1">
      <c r="A4522" s="4" t="str">
        <f ca="1">IFERROR(__xludf.DUMMYFUNCTION("""COMPUTED_VALUE"""),"ततः प्रत्युदगाद्भैमी कान्तमायान्तमन्तिकम् । प्रतीचीसिन्धुवीचीव दिनोंकारे सुधाकरम् ॥नैषधीयचरितम्२०.२ ॥")</f>
        <v>ततः प्रत्युदगाद्भैमी कान्तमायान्तमन्तिकम् । प्रतीचीसिन्धुवीचीव दिनोंकारे सुधाकरम् ॥नैषधीयचरितम्२०.२ ॥</v>
      </c>
      <c r="B4522" s="4" t="s">
        <v>0</v>
      </c>
      <c r="C4522" s="4"/>
    </row>
    <row r="4523" spans="1:3" ht="24" customHeight="1">
      <c r="A4523" s="4" t="str">
        <f ca="1">IFERROR(__xludf.DUMMYFUNCTION("""COMPUTED_VALUE"""),"स दूरमादरं तस्या वदने मदनैकदृक् । दृष्टमन्दाकिनीहेमारविन्दश्रीरविन्दत ॥नैषधीयचरितम्२०.३ ॥")</f>
        <v>स दूरमादरं तस्या वदने मदनैकदृक् । दृष्टमन्दाकिनीहेमारविन्दश्रीरविन्दत ॥नैषधीयचरितम्२०.३ ॥</v>
      </c>
      <c r="B4523" s="4" t="s">
        <v>2</v>
      </c>
      <c r="C4523" s="4"/>
    </row>
    <row r="4524" spans="1:3" ht="24" customHeight="1">
      <c r="A4524" s="4" t="str">
        <f ca="1">IFERROR(__xludf.DUMMYFUNCTION("""COMPUTED_VALUE"""),"तेन स्वर्देशसंदेशमर्षितं सा करोदरे । बभ्राजे बिभ्रती पद्मं पद्मेवोन्निद्रपद्मदृक् ॥नैषधीयचरितम्२०.४ ॥")</f>
        <v>तेन स्वर्देशसंदेशमर्षितं सा करोदरे । बभ्राजे बिभ्रती पद्मं पद्मेवोन्निद्रपद्मदृक् ॥नैषधीयचरितम्२०.४ ॥</v>
      </c>
      <c r="B4524" s="4" t="s">
        <v>17</v>
      </c>
      <c r="C4524" s="4"/>
    </row>
    <row r="4525" spans="1:3" ht="24" customHeight="1">
      <c r="A4525" s="4" t="str">
        <f ca="1">IFERROR(__xludf.DUMMYFUNCTION("""COMPUTED_VALUE"""),"प्रियेणाल्पमपि प्रत्तं बहु मेनेतरामसौ । एकलक्षतया दध्यौ यत्तमेकवराटकम् ॥नैषधीयचरितम्२०.५ ॥")</f>
        <v>प्रियेणाल्पमपि प्रत्तं बहु मेनेतरामसौ । एकलक्षतया दध्यौ यत्तमेकवराटकम् ॥नैषधीयचरितम्२०.५ ॥</v>
      </c>
      <c r="B4525" s="4" t="s">
        <v>19</v>
      </c>
      <c r="C4525" s="4"/>
    </row>
    <row r="4526" spans="1:3" ht="24" customHeight="1">
      <c r="A4526" s="4" t="str">
        <f ca="1">IFERROR(__xludf.DUMMYFUNCTION("""COMPUTED_VALUE"""),"प्रेयसावादि सा तन्वि त्वदालिङ्गनविघ्नकृत् । समाप्यतां विधिः शेषः क्लेशश्चेतसि चेन्न ते ॥नैषधीयचरितम्२०.६ ॥")</f>
        <v>प्रेयसावादि सा तन्वि त्वदालिङ्गनविघ्नकृत् । समाप्यतां विधिः शेषः क्लेशश्चेतसि चेन्न ते ॥नैषधीयचरितम्२०.६ ॥</v>
      </c>
      <c r="B4526" s="4" t="s">
        <v>2</v>
      </c>
      <c r="C4526" s="4"/>
    </row>
    <row r="4527" spans="1:3" ht="24" customHeight="1">
      <c r="A4527" s="4" t="str">
        <f ca="1">IFERROR(__xludf.DUMMYFUNCTION("""COMPUTED_VALUE"""),"क्वैतावान्नर्ममर्माविद्विद्यते विधिरद्य ते । इति तं मनसा रोषादवोचद्वचसा न सा ॥नैषधीयचरितम्२०.७ ॥")</f>
        <v>क्वैतावान्नर्ममर्माविद्विद्यते विधिरद्य ते । इति तं मनसा रोषादवोचद्वचसा न सा ॥नैषधीयचरितम्२०.७ ॥</v>
      </c>
      <c r="B4527" s="4" t="s">
        <v>18</v>
      </c>
      <c r="C4527" s="4"/>
    </row>
    <row r="4528" spans="1:3" ht="24" customHeight="1">
      <c r="A4528" s="4" t="str">
        <f ca="1">IFERROR(__xludf.DUMMYFUNCTION("""COMPUTED_VALUE"""),"क्षणविच्छेदकादेव विधेर्मुग्धे विरज्यसि । विच्छेत्ता न चिरं त्वेति हृदाह स्म तदा कलिः ॥नैषधीयचरितम्२०.८ ॥")</f>
        <v>क्षणविच्छेदकादेव विधेर्मुग्धे विरज्यसि । विच्छेत्ता न चिरं त्वेति हृदाह स्म तदा कलिः ॥नैषधीयचरितम्२०.८ ॥</v>
      </c>
      <c r="B4528" s="4" t="s">
        <v>11</v>
      </c>
      <c r="C4528" s="4"/>
    </row>
    <row r="4529" spans="1:3" ht="24" customHeight="1">
      <c r="A4529" s="4" t="str">
        <f ca="1">IFERROR(__xludf.DUMMYFUNCTION("""COMPUTED_VALUE"""),"सावज्ञेवाथ सा राज्ञः सखीं पद्ममुखीमगात् । लक्ष्मीः कुमुदकेदारादारादम्भोजिनीमिव ॥नैषधीयचरितम्२०.९ ॥")</f>
        <v>सावज्ञेवाथ सा राज्ञः सखीं पद्ममुखीमगात् । लक्ष्मीः कुमुदकेदारादारादम्भोजिनीमिव ॥नैषधीयचरितम्२०.९ ॥</v>
      </c>
      <c r="B4529" s="4" t="s">
        <v>4</v>
      </c>
      <c r="C4529" s="4"/>
    </row>
    <row r="4530" spans="1:3" ht="24" customHeight="1">
      <c r="A4530" s="4" t="str">
        <f ca="1">IFERROR(__xludf.DUMMYFUNCTION("""COMPUTED_VALUE"""),"ममासावपि मा संभूत्कलिद्वापरवत्परः । इतीव नित्यसत्रेतां स त्रेतां पर्यतूतुषत् ॥नैषधीयचरितम्२०.१ ॥")</f>
        <v>ममासावपि मा संभूत्कलिद्वापरवत्परः । इतीव नित्यसत्रेतां स त्रेतां पर्यतूतुषत् ॥नैषधीयचरितम्२०.१ ॥</v>
      </c>
      <c r="B4530" s="4" t="s">
        <v>13</v>
      </c>
      <c r="C4530" s="4"/>
    </row>
    <row r="4531" spans="1:3" ht="24" customHeight="1">
      <c r="A4531" s="4" t="str">
        <f ca="1">IFERROR(__xludf.DUMMYFUNCTION("""COMPUTED_VALUE"""),"क्रियां प्राह्णेतनीं कृत्वा निषेधन्पाणिना सखीम् । कराभ्यां पृष्ठगस्तस्या न्यमिमीलदसौ दृशौ ॥नैषधीयचरितम्२०.११ ॥")</f>
        <v>क्रियां प्राह्णेतनीं कृत्वा निषेधन्पाणिना सखीम् । कराभ्यां पृष्ठगस्तस्या न्यमिमीलदसौ दृशौ ॥नैषधीयचरितम्२०.११ ॥</v>
      </c>
      <c r="B4531" s="4" t="s">
        <v>8</v>
      </c>
      <c r="C4531" s="4"/>
    </row>
    <row r="4532" spans="1:3" ht="24" customHeight="1">
      <c r="A4532" s="4" t="str">
        <f ca="1">IFERROR(__xludf.DUMMYFUNCTION("""COMPUTED_VALUE"""),"दमयन्त्या वयस्याभिः सहास्याभिः समीक्षितः । प्रसृतिभ्यामिवायामं मापयन्प्रेयसीदृशोः ॥नैषधीयचरितम्२०.१२ ॥")</f>
        <v>दमयन्त्या वयस्याभिः सहास्याभिः समीक्षितः । प्रसृतिभ्यामिवायामं मापयन्प्रेयसीदृशोः ॥नैषधीयचरितम्२०.१२ ॥</v>
      </c>
      <c r="B4532" s="4" t="s">
        <v>8</v>
      </c>
      <c r="C4532" s="4"/>
    </row>
    <row r="4533" spans="1:3" ht="24" customHeight="1">
      <c r="A4533" s="4" t="str">
        <f ca="1">IFERROR(__xludf.DUMMYFUNCTION("""COMPUTED_VALUE"""),"तर्कितालि त्वमित्यर्धवाणीका पाणिमोचनात् । ज्ञातस्पर्शान्तरा मौनमानशे मानसेविनी ॥नैषधीयचरितम्२०.१३ ॥")</f>
        <v>तर्कितालि त्वमित्यर्धवाणीका पाणिमोचनात् । ज्ञातस्पर्शान्तरा मौनमानशे मानसेविनी ॥नैषधीयचरितम्२०.१३ ॥</v>
      </c>
      <c r="B4533" s="4" t="s">
        <v>1</v>
      </c>
      <c r="C4533" s="4"/>
    </row>
    <row r="4534" spans="1:3" ht="24" customHeight="1">
      <c r="A4534" s="4" t="str">
        <f ca="1">IFERROR(__xludf.DUMMYFUNCTION("""COMPUTED_VALUE"""),"सावादि सुतनुस्तेन कोपस्ते नायमौचिती । त्वां प्रापं यत्प्रसादेन प्रिये तन्नाद्रिये तपः ॥नैषधीयचरितम्२०.१४ ॥")</f>
        <v>सावादि सुतनुस्तेन कोपस्ते नायमौचिती । त्वां प्रापं यत्प्रसादेन प्रिये तन्नाद्रिये तपः ॥नैषधीयचरितम्२०.१४ ॥</v>
      </c>
      <c r="B4534" s="4" t="s">
        <v>9</v>
      </c>
      <c r="C4534" s="4"/>
    </row>
    <row r="4535" spans="1:3" ht="24" customHeight="1">
      <c r="A4535" s="4" t="str">
        <f ca="1">IFERROR(__xludf.DUMMYFUNCTION("""COMPUTED_VALUE"""),"निशि दास्यं गतोऽपि त्वां स्नात्वा यन्नाभ्यवीवदम् । तं प्रवृत्तासि मन्तुं चेन्मन्तुं तद्वद वन्द्यसे ॥नैषधीयचरितम्२०.१५ ॥")</f>
        <v>निशि दास्यं गतोऽपि त्वां स्नात्वा यन्नाभ्यवीवदम् । तं प्रवृत्तासि मन्तुं चेन्मन्तुं तद्वद वन्द्यसे ॥नैषधीयचरितम्२०.१५ ॥</v>
      </c>
      <c r="B4535" s="4" t="s">
        <v>18</v>
      </c>
      <c r="C4535" s="4"/>
    </row>
    <row r="4536" spans="1:3" ht="24" customHeight="1">
      <c r="A4536" s="4" t="str">
        <f ca="1">IFERROR(__xludf.DUMMYFUNCTION("""COMPUTED_VALUE"""),"इत्येतस्याः पदासत्त्यै पत्यैष प्रेरितौ करौ ।रुद्ध्वा सकोपं सातङ्कं तं कटाक्षैरमूमुहत् ॥नैषधीयचरितम्२०.१६ ॥")</f>
        <v>इत्येतस्याः पदासत्त्यै पत्यैष प्रेरितौ करौ ।रुद्ध्वा सकोपं सातङ्कं तं कटाक्षैरमूमुहत् ॥नैषधीयचरितम्२०.१६ ॥</v>
      </c>
      <c r="B4536" s="4" t="s">
        <v>24</v>
      </c>
      <c r="C4536" s="4"/>
    </row>
    <row r="4537" spans="1:3" ht="24" customHeight="1">
      <c r="A4537" s="4" t="str">
        <f ca="1">IFERROR(__xludf.DUMMYFUNCTION("""COMPUTED_VALUE"""),"अवोचत ततस्तन्वीं निषधानामधीश्वरः । तदपाङ्गचलत्तारझलत्कारवशीकृतः ॥नैषधीयचरितम्२०.१७ ॥")</f>
        <v>अवोचत ततस्तन्वीं निषधानामधीश्वरः । तदपाङ्गचलत्तारझलत्कारवशीकृतः ॥नैषधीयचरितम्२०.१७ ॥</v>
      </c>
      <c r="B4537" s="4" t="s">
        <v>2</v>
      </c>
      <c r="C4537" s="4"/>
    </row>
    <row r="4538" spans="1:3" ht="24" customHeight="1">
      <c r="A4538" s="4" t="str">
        <f ca="1">IFERROR(__xludf.DUMMYFUNCTION("""COMPUTED_VALUE"""),"कटाक्षकपटारब्धदूरलङ्घनरंहसा । दृशा भीत्या निवृत्तं ते कर्णकूपं निरूप्य किम् ॥नैषधीयचरितम्२०.१८ ॥")</f>
        <v>कटाक्षकपटारब्धदूरलङ्घनरंहसा । दृशा भीत्या निवृत्तं ते कर्णकूपं निरूप्य किम् ॥नैषधीयचरितम्२०.१८ ॥</v>
      </c>
      <c r="B4538" s="4" t="s">
        <v>19</v>
      </c>
      <c r="C4538" s="4"/>
    </row>
    <row r="4539" spans="1:3" ht="24" customHeight="1">
      <c r="A4539" s="4" t="str">
        <f ca="1">IFERROR(__xludf.DUMMYFUNCTION("""COMPUTED_VALUE"""),"सरोषापि सरोजाक्षि त्वमुदेषि मुदे मम । तप्तापि शतपत्रस्य सौरभायैव सौरभा ॥नैषधीयचरितम्२०.१९ ॥")</f>
        <v>सरोषापि सरोजाक्षि त्वमुदेषि मुदे मम । तप्तापि शतपत्रस्य सौरभायैव सौरभा ॥नैषधीयचरितम्२०.१९ ॥</v>
      </c>
      <c r="B4539" s="4" t="s">
        <v>6</v>
      </c>
      <c r="C4539" s="4"/>
    </row>
    <row r="4540" spans="1:3" ht="24" customHeight="1">
      <c r="A4540" s="4" t="str">
        <f ca="1">IFERROR(__xludf.DUMMYFUNCTION("""COMPUTED_VALUE"""),"छेत्तुमिन्दौ भवद्वक्त्रबिम्बविभ्रमविभ्रमम् । शङ्के शशाङ्कमानङ्के भिन्नभिन्नविधिर्विधिः ॥नैषधीयचरितम्२०.२ ॥")</f>
        <v>छेत्तुमिन्दौ भवद्वक्त्रबिम्बविभ्रमविभ्रमम् । शङ्के शशाङ्कमानङ्के भिन्नभिन्नविधिर्विधिः ॥नैषधीयचरितम्२०.२ ॥</v>
      </c>
      <c r="B4540" s="4" t="s">
        <v>20</v>
      </c>
      <c r="C4540" s="4"/>
    </row>
    <row r="4541" spans="1:3" ht="24" customHeight="1">
      <c r="A4541" s="4" t="str">
        <f ca="1">IFERROR(__xludf.DUMMYFUNCTION("""COMPUTED_VALUE"""),"ताम्रपर्णीतटोत्पन्नैर्मौक्तिकैरिन्दुकुक्षिजैः । बद्धस्पर्धतरा वर्णाः प्रसन्नाः स्वादवस्तव ॥नैषधीयचरितम्२०.२१ ॥")</f>
        <v>ताम्रपर्णीतटोत्पन्नैर्मौक्तिकैरिन्दुकुक्षिजैः । बद्धस्पर्धतरा वर्णाः प्रसन्नाः स्वादवस्तव ॥नैषधीयचरितम्२०.२१ ॥</v>
      </c>
      <c r="B4541" s="4" t="s">
        <v>4</v>
      </c>
      <c r="C4541" s="4"/>
    </row>
    <row r="4542" spans="1:3" ht="24" customHeight="1">
      <c r="A4542" s="4" t="str">
        <f ca="1">IFERROR(__xludf.DUMMYFUNCTION("""COMPUTED_VALUE"""),"त्वद्गिरः क्षीरपाथोधेः सुधयैव सहोत्थिताः । अद्ययावदहो धावद्दुग्धलेपलवस्मिताः ॥नैषधीयचरितम्२०.२२ ॥")</f>
        <v>त्वद्गिरः क्षीरपाथोधेः सुधयैव सहोत्थिताः । अद्ययावदहो धावद्दुग्धलेपलवस्मिताः ॥नैषधीयचरितम्२०.२२ ॥</v>
      </c>
      <c r="B4542" s="4" t="s">
        <v>2</v>
      </c>
      <c r="C4542" s="4"/>
    </row>
    <row r="4543" spans="1:3" ht="24" customHeight="1">
      <c r="A4543" s="4" t="str">
        <f ca="1">IFERROR(__xludf.DUMMYFUNCTION("""COMPUTED_VALUE"""),"पूर्वपर्वतमाश्लिष्टचन्द्रिकश्चन्द्रमा इव । अलंचक्रे स पर्यङ्कमङ्कसंक्रमिताप्रियः ॥नैषधीयचरितम्२०.२३ ॥")</f>
        <v>पूर्वपर्वतमाश्लिष्टचन्द्रिकश्चन्द्रमा इव । अलंचक्रे स पर्यङ्कमङ्कसंक्रमिताप्रियः ॥नैषधीयचरितम्२०.२३ ॥</v>
      </c>
      <c r="B4543" s="4" t="s">
        <v>5</v>
      </c>
      <c r="C4543" s="4"/>
    </row>
    <row r="4544" spans="1:3" ht="24" customHeight="1">
      <c r="A4544" s="4" t="str">
        <f ca="1">IFERROR(__xludf.DUMMYFUNCTION("""COMPUTED_VALUE"""),"प्रावृडारम्भणाम्भोदः स्निग्धां द्यामिव स प्रियाम् । परिरभ्य चिरायास विश्लेषायासमुक्तये ॥नैषधीयचरितम्२०.२४ ॥")</f>
        <v>प्रावृडारम्भणाम्भोदः स्निग्धां द्यामिव स प्रियाम् । परिरभ्य चिरायास विश्लेषायासमुक्तये ॥नैषधीयचरितम्२०.२४ ॥</v>
      </c>
      <c r="B4544" s="4" t="s">
        <v>5</v>
      </c>
      <c r="C4544" s="4"/>
    </row>
    <row r="4545" spans="1:3" ht="24" customHeight="1">
      <c r="A4545" s="4" t="str">
        <f ca="1">IFERROR(__xludf.DUMMYFUNCTION("""COMPUTED_VALUE"""),"चुचुम्बास्यमसौ तस्या रसमग्नः श्रितस्मितम् । नभोमणिरिवाम्भोजं मधुमध्यानुबिम्बितः ॥नैषधीयचरितम्२०.२५ ॥")</f>
        <v>चुचुम्बास्यमसौ तस्या रसमग्नः श्रितस्मितम् । नभोमणिरिवाम्भोजं मधुमध्यानुबिम्बितः ॥नैषधीयचरितम्२०.२५ ॥</v>
      </c>
      <c r="B4545" s="4" t="s">
        <v>2</v>
      </c>
      <c r="C4545" s="4"/>
    </row>
    <row r="4546" spans="1:3" ht="24" customHeight="1">
      <c r="A4546" s="4" t="str">
        <f ca="1">IFERROR(__xludf.DUMMYFUNCTION("""COMPUTED_VALUE"""),"अथाहूय कलां नाम पाणिना स प्रियासखीम् । पुरस्ताद्वेशितामूचे कर्तुं नर्मणि साक्षिणीम् ॥नैषधीयचरितम्२०.२६ ॥")</f>
        <v>अथाहूय कलां नाम पाणिना स प्रियासखीम् । पुरस्ताद्वेशितामूचे कर्तुं नर्मणि साक्षिणीम् ॥नैषधीयचरितम्२०.२६ ॥</v>
      </c>
      <c r="B4546" s="4" t="s">
        <v>7</v>
      </c>
      <c r="C4546" s="4"/>
    </row>
    <row r="4547" spans="1:3" ht="24" customHeight="1">
      <c r="A4547" s="4" t="str">
        <f ca="1">IFERROR(__xludf.DUMMYFUNCTION("""COMPUTED_VALUE"""),"कस्मादस्माकमब्जास्य वयस्या दयते न ते । आसक्ता भवतीष्वन्यं मन्ये न बहु मन्यते ॥नैषधीयचरितम्२०.२७ ॥")</f>
        <v>कस्मादस्माकमब्जास्य वयस्या दयते न ते । आसक्ता भवतीष्वन्यं मन्ये न बहु मन्यते ॥नैषधीयचरितम्२०.२७ ॥</v>
      </c>
      <c r="B4547" s="4" t="s">
        <v>2</v>
      </c>
      <c r="C4547" s="4"/>
    </row>
    <row r="4548" spans="1:3" ht="24" customHeight="1">
      <c r="A4548" s="4" t="str">
        <f ca="1">IFERROR(__xludf.DUMMYFUNCTION("""COMPUTED_VALUE"""),"अन्वग्राहि मया प्रेयान्निशि स्वोपनयादिति । न विप्रलभते तावदालीरियमलीकवाक् ॥नैषधीयचरितम्२०.२८ ॥")</f>
        <v>अन्वग्राहि मया प्रेयान्निशि स्वोपनयादिति । न विप्रलभते तावदालीरियमलीकवाक् ॥नैषधीयचरितम्२०.२८ ॥</v>
      </c>
      <c r="B4548" s="4" t="s">
        <v>4</v>
      </c>
      <c r="C4548" s="4"/>
    </row>
    <row r="4549" spans="1:3" ht="24" customHeight="1">
      <c r="A4549" s="4" t="str">
        <f ca="1">IFERROR(__xludf.DUMMYFUNCTION("""COMPUTED_VALUE"""),"आह स्मैषा नलादन्यं न जुषे मनसेति यत् । यौवनानुमितेनास्यास्तन्मृषाभून्मनोभुवा ॥नैषधीयचरितम्२०.२९ ॥")</f>
        <v>आह स्मैषा नलादन्यं न जुषे मनसेति यत् । यौवनानुमितेनास्यास्तन्मृषाभून्मनोभुवा ॥नैषधीयचरितम्२०.२९ ॥</v>
      </c>
      <c r="B4549" s="4" t="s">
        <v>4</v>
      </c>
      <c r="C4549" s="4"/>
    </row>
    <row r="4550" spans="1:3" ht="24" customHeight="1">
      <c r="A4550" s="4" t="str">
        <f ca="1">IFERROR(__xludf.DUMMYFUNCTION("""COMPUTED_VALUE"""),"आस्यसौन्दर्यमेतस्याः शृणुमो यदि भाषसे । तद्धि लज्जानमन्मौलेः परोक्षमधुनापि नः ॥नैषधीयचरितम्२०.३ ॥")</f>
        <v>आस्यसौन्दर्यमेतस्याः शृणुमो यदि भाषसे । तद्धि लज्जानमन्मौलेः परोक्षमधुनापि नः ॥नैषधीयचरितम्२०.३ ॥</v>
      </c>
      <c r="B4550" s="4" t="s">
        <v>1</v>
      </c>
      <c r="C4550" s="4"/>
    </row>
    <row r="4551" spans="1:3" ht="24" customHeight="1">
      <c r="A4551" s="4" t="str">
        <f ca="1">IFERROR(__xludf.DUMMYFUNCTION("""COMPUTED_VALUE"""),"पूर्णयैव द्विलोचन्या सैषालीरवलोकते । द्राग्दृगन्ताणुना मां तु मन्तुमन्तमिवेक्षते ॥नैषधीयचरितम्२०.३१ ॥")</f>
        <v>पूर्णयैव द्विलोचन्या सैषालीरवलोकते । द्राग्दृगन्ताणुना मां तु मन्तुमन्तमिवेक्षते ॥नैषधीयचरितम्२०.३१ ॥</v>
      </c>
      <c r="B4551" s="4" t="s">
        <v>2</v>
      </c>
      <c r="C4551" s="4"/>
    </row>
    <row r="4552" spans="1:3" ht="24" customHeight="1">
      <c r="A4552" s="4" t="str">
        <f ca="1">IFERROR(__xludf.DUMMYFUNCTION("""COMPUTED_VALUE"""),"न लोकते यथेदानीं मामियं तेन कल्पये । योऽहं दूत्येऽनया दृष्टः सोऽपि व्यस्मारिषीडृशा ॥नैषधीयचरितम्२०.३२ ॥")</f>
        <v>न लोकते यथेदानीं मामियं तेन कल्पये । योऽहं दूत्येऽनया दृष्टः सोऽपि व्यस्मारिषीडृशा ॥नैषधीयचरितम्२०.३२ ॥</v>
      </c>
      <c r="B4552" s="4" t="s">
        <v>8</v>
      </c>
      <c r="C4552" s="4"/>
    </row>
    <row r="4553" spans="1:3" ht="24" customHeight="1">
      <c r="A4553" s="4" t="str">
        <f ca="1">IFERROR(__xludf.DUMMYFUNCTION("""COMPUTED_VALUE"""),"रागं दर्शयते सैषा वयस्याः सूनृतामृतैः । मम त्वमिति वक्तुं मां मौनिनी मानिनी पुनः ॥नैषधीयचरितम्२०.३३ ॥")</f>
        <v>रागं दर्शयते सैषा वयस्याः सूनृतामृतैः । मम त्वमिति वक्तुं मां मौनिनी मानिनी पुनः ॥नैषधीयचरितम्२०.३३ ॥</v>
      </c>
      <c r="B4553" s="4" t="s">
        <v>1</v>
      </c>
      <c r="C4553" s="4"/>
    </row>
    <row r="4554" spans="1:3" ht="24" customHeight="1">
      <c r="A4554" s="4" t="str">
        <f ca="1">IFERROR(__xludf.DUMMYFUNCTION("""COMPUTED_VALUE"""),"कां नामन्त्रयते नाम नामग्राहमियं सखीम् । कले नलेति नास्माकीं स्पृशत्याह्वां न जिह्वया ॥नैषधीयचरितम्२०.३४ ॥")</f>
        <v>कां नामन्त्रयते नाम नामग्राहमियं सखीम् । कले नलेति नास्माकीं स्पृशत्याह्वां न जिह्वया ॥नैषधीयचरितम्२०.३४ ॥</v>
      </c>
      <c r="B4554" s="4" t="s">
        <v>5</v>
      </c>
      <c r="C4554" s="4"/>
    </row>
    <row r="4555" spans="1:3" ht="24" customHeight="1">
      <c r="A4555" s="4" t="str">
        <f ca="1">IFERROR(__xludf.DUMMYFUNCTION("""COMPUTED_VALUE"""),"अस्याः पीनस्तनव्याप्ते हृदयेऽस्मासु निर्दये । अवकाशलवोऽप्यस्ति नात्र कुत्र बिभर्तु नः ॥नैषधीयचरितम्२०.३५ ॥")</f>
        <v>अस्याः पीनस्तनव्याप्ते हृदयेऽस्मासु निर्दये । अवकाशलवोऽप्यस्ति नात्र कुत्र बिभर्तु नः ॥नैषधीयचरितम्२०.३५ ॥</v>
      </c>
      <c r="B4555" s="4" t="s">
        <v>1</v>
      </c>
      <c r="C4555" s="4"/>
    </row>
    <row r="4556" spans="1:3" ht="24" customHeight="1">
      <c r="A4556" s="4" t="str">
        <f ca="1">IFERROR(__xludf.DUMMYFUNCTION("""COMPUTED_VALUE"""),"अधिगत्येदृगेतस्या हृदयं मृदुतामुचोः । प्रतीम एव वैमुख्यं कुचयोर्युक्तवृत्तयोः ॥नैषधीयचरितम्२०.३६ ॥")</f>
        <v>अधिगत्येदृगेतस्या हृदयं मृदुतामुचोः । प्रतीम एव वैमुख्यं कुचयोर्युक्तवृत्तयोः ॥नैषधीयचरितम्२०.३६ ॥</v>
      </c>
      <c r="B4556" s="4" t="s">
        <v>2</v>
      </c>
      <c r="C4556" s="4"/>
    </row>
    <row r="4557" spans="1:3" ht="24" customHeight="1">
      <c r="A4557" s="4" t="str">
        <f ca="1">IFERROR(__xludf.DUMMYFUNCTION("""COMPUTED_VALUE"""),"इति मुद्रितकण्ठेऽस्मिन्सोल्लुण्ठमभिधाय ताम् । दमयन्तीमुखाधीतस्मितयाऽसौ तया जगे ॥नैषधीयचरितम्२०.३७ ॥")</f>
        <v>इति मुद्रितकण्ठेऽस्मिन्सोल्लुण्ठमभिधाय ताम् । दमयन्तीमुखाधीतस्मितयाऽसौ तया जगे ॥नैषधीयचरितम्२०.३७ ॥</v>
      </c>
      <c r="B4557" s="4" t="s">
        <v>15</v>
      </c>
      <c r="C4557" s="4"/>
    </row>
    <row r="4558" spans="1:3" ht="24" customHeight="1">
      <c r="A4558" s="4" t="str">
        <f ca="1">IFERROR(__xludf.DUMMYFUNCTION("""COMPUTED_VALUE"""),"भावितेयं त्वया साधु नवरागा खलु त्वयि । चिरंतनानुरागार्हं वर्तते नः सखीः प्रति ॥नैषधीयचरितम्२०.३८ ॥")</f>
        <v>भावितेयं त्वया साधु नवरागा खलु त्वयि । चिरंतनानुरागार्हं वर्तते नः सखीः प्रति ॥नैषधीयचरितम्२०.३८ ॥</v>
      </c>
      <c r="B4558" s="4" t="s">
        <v>2</v>
      </c>
      <c r="C4558" s="4"/>
    </row>
    <row r="4559" spans="1:3" ht="24" customHeight="1">
      <c r="A4559" s="4" t="str">
        <f ca="1">IFERROR(__xludf.DUMMYFUNCTION("""COMPUTED_VALUE"""),"स्मरशास्त्रविदा सेयं नवोढा नस्त्वया सखी । कथं संभुज्यते बाला कथम्स्मासु भाषताम् ॥नैषधीयचरितम्२०.३९ ॥")</f>
        <v>स्मरशास्त्रविदा सेयं नवोढा नस्त्वया सखी । कथं संभुज्यते बाला कथम्स्मासु भाषताम् ॥नैषधीयचरितम्२०.३९ ॥</v>
      </c>
      <c r="B4559" s="4" t="s">
        <v>2</v>
      </c>
      <c r="C4559" s="4"/>
    </row>
    <row r="4560" spans="1:3" ht="24" customHeight="1">
      <c r="A4560" s="4" t="str">
        <f ca="1">IFERROR(__xludf.DUMMYFUNCTION("""COMPUTED_VALUE"""),"नासत्यवदनं देव त्वां गायन्ति जगन्ति यम् । प्रिया तस्य सरूपा स्यादन्यथालपना न ते ॥नैषधीयचरितम्२०.४ ॥")</f>
        <v>नासत्यवदनं देव त्वां गायन्ति जगन्ति यम् । प्रिया तस्य सरूपा स्यादन्यथालपना न ते ॥नैषधीयचरितम्२०.४ ॥</v>
      </c>
      <c r="B4560" s="4" t="s">
        <v>2</v>
      </c>
      <c r="C4560" s="4"/>
    </row>
    <row r="4561" spans="1:3" ht="24" customHeight="1">
      <c r="A4561" s="4" t="str">
        <f ca="1">IFERROR(__xludf.DUMMYFUNCTION("""COMPUTED_VALUE"""),"मनोभूरस्ति चित्तेऽस्याः किंतु देव त्वमेव सः । त्वदवस्थितिभूर्यस्मान्मनः सख्या दिवानिशम् ॥नैषधीयचरितम्२०.४१ ॥")</f>
        <v>मनोभूरस्ति चित्तेऽस्याः किंतु देव त्वमेव सः । त्वदवस्थितिभूर्यस्मान्मनः सख्या दिवानिशम् ॥नैषधीयचरितम्२०.४१ ॥</v>
      </c>
      <c r="B4561" s="4" t="s">
        <v>8</v>
      </c>
      <c r="C4561" s="4"/>
    </row>
    <row r="4562" spans="1:3" ht="24" customHeight="1">
      <c r="A4562" s="4" t="str">
        <f ca="1">IFERROR(__xludf.DUMMYFUNCTION("""COMPUTED_VALUE"""),"सतस्तेऽथ सखीचित्ते प्रतिच्छाया स मन्मथह् । त्वयास्य समरूपत्वमतनोरन्यथा कथम् ॥नैषधीयचरितम्२०.४२ ॥")</f>
        <v>सतस्तेऽथ सखीचित्ते प्रतिच्छाया स मन्मथह् । त्वयास्य समरूपत्वमतनोरन्यथा कथम् ॥नैषधीयचरितम्२०.४२ ॥</v>
      </c>
      <c r="B4562" s="4" t="s">
        <v>10</v>
      </c>
      <c r="C4562" s="4"/>
    </row>
    <row r="4563" spans="1:3" ht="24" customHeight="1">
      <c r="A4563" s="4" t="str">
        <f ca="1">IFERROR(__xludf.DUMMYFUNCTION("""COMPUTED_VALUE"""),"कः स्मरः कस्त्वमत्रेति संदेहे शोभयोभयोः । त्वय्येवार्थितया सेयं धत्ते चित्तेऽथवा युवाम् ॥नैषधीयचरितम्२०.४३ ॥")</f>
        <v>कः स्मरः कस्त्वमत्रेति संदेहे शोभयोभयोः । त्वय्येवार्थितया सेयं धत्ते चित्तेऽथवा युवाम् ॥नैषधीयचरितम्२०.४३ ॥</v>
      </c>
      <c r="B4563" s="4" t="s">
        <v>4</v>
      </c>
      <c r="C4563" s="4"/>
    </row>
    <row r="4564" spans="1:3" ht="24" customHeight="1">
      <c r="A4564" s="4" t="str">
        <f ca="1">IFERROR(__xludf.DUMMYFUNCTION("""COMPUTED_VALUE"""),"त्वयि न्यस्तस्य चित्तस्य दुराकर्षत्वदर्शनात् । शाङ्कया पङ्कजाक्षी त्वां दृगंशेन स्पृशत्यसौ ॥नैषधीयचरितम्२०.४४ ॥")</f>
        <v>त्वयि न्यस्तस्य चित्तस्य दुराकर्षत्वदर्शनात् । शाङ्कया पङ्कजाक्षी त्वां दृगंशेन स्पृशत्यसौ ॥नैषधीयचरितम्२०.४४ ॥</v>
      </c>
      <c r="B4564" s="4" t="s">
        <v>18</v>
      </c>
      <c r="C4564" s="4"/>
    </row>
    <row r="4565" spans="1:3" ht="24" customHeight="1">
      <c r="A4565" s="4" t="str">
        <f ca="1">IFERROR(__xludf.DUMMYFUNCTION("""COMPUTED_VALUE"""),"विलोकनात्प्रभृत्यस्या लग्न एवासि चक्षुषोः । स्वेनालोकय शङ्का चेत्प्रत्ययः परवाचि कः ॥नैषधीयचरितम्२०.४५ ॥")</f>
        <v>विलोकनात्प्रभृत्यस्या लग्न एवासि चक्षुषोः । स्वेनालोकय शङ्का चेत्प्रत्ययः परवाचि कः ॥नैषधीयचरितम्२०.४५ ॥</v>
      </c>
      <c r="B4565" s="4" t="s">
        <v>19</v>
      </c>
      <c r="C4565" s="4"/>
    </row>
    <row r="4566" spans="1:3" ht="24" customHeight="1">
      <c r="A4566" s="4" t="str">
        <f ca="1">IFERROR(__xludf.DUMMYFUNCTION("""COMPUTED_VALUE"""),"परीरम्भेऽनयारभ्य कुचकुङ्कुमसंक्रमम् । त्वयि मे हृदयस्यैवं राग इत्युदितैव वाक् ॥नैषधीयचरितम्२०.४६ ॥")</f>
        <v>परीरम्भेऽनयारभ्य कुचकुङ्कुमसंक्रमम् । त्वयि मे हृदयस्यैवं राग इत्युदितैव वाक् ॥नैषधीयचरितम्२०.४६ ॥</v>
      </c>
      <c r="B4566" s="4" t="s">
        <v>4</v>
      </c>
      <c r="C4566" s="4"/>
    </row>
    <row r="4567" spans="1:3" ht="24" customHeight="1">
      <c r="A4567" s="4" t="str">
        <f ca="1">IFERROR(__xludf.DUMMYFUNCTION("""COMPUTED_VALUE"""),"मनसायं भवन्नामकामसूक्तजपव्रती । अक्षसूत्रं सखीकण्ठश्चुम्बत्येकावलिच्छलात् ॥नैषधीयचरितम्२०.४७ ॥")</f>
        <v>मनसायं भवन्नामकामसूक्तजपव्रती । अक्षसूत्रं सखीकण्ठश्चुम्बत्येकावलिच्छलात् ॥नैषधीयचरितम्२०.४७ ॥</v>
      </c>
      <c r="B4567" s="4" t="s">
        <v>11</v>
      </c>
      <c r="C4567" s="4"/>
    </row>
    <row r="4568" spans="1:3" ht="24" customHeight="1">
      <c r="A4568" s="4" t="str">
        <f ca="1">IFERROR(__xludf.DUMMYFUNCTION("""COMPUTED_VALUE"""),"अध्यासिते वयस्याया भवता महता हृदि । स्तनावन्तरसंमान्तौ निष्क्रान्तौ ब्रूमहे बहिः ॥नैषधीयचरितम्२०.४८ ॥")</f>
        <v>अध्यासिते वयस्याया भवता महता हृदि । स्तनावन्तरसंमान्तौ निष्क्रान्तौ ब्रूमहे बहिः ॥नैषधीयचरितम्२०.४८ ॥</v>
      </c>
      <c r="B4568" s="4" t="s">
        <v>24</v>
      </c>
      <c r="C4568" s="4"/>
    </row>
    <row r="4569" spans="1:3" ht="24" customHeight="1">
      <c r="A4569" s="4" t="str">
        <f ca="1">IFERROR(__xludf.DUMMYFUNCTION("""COMPUTED_VALUE"""),"कुचौ दोषोज्झितावस्याः पीडितौ व्रणितौ त्वया । कथं दर्शयतामास्यं बृहन्तावावृतौ ह्रिया ॥नैषधीयचरितम्२०.४९ ॥")</f>
        <v>कुचौ दोषोज्झितावस्याः पीडितौ व्रणितौ त्वया । कथं दर्शयतामास्यं बृहन्तावावृतौ ह्रिया ॥नैषधीयचरितम्२०.४९ ॥</v>
      </c>
      <c r="B4569" s="4" t="s">
        <v>5</v>
      </c>
      <c r="C4569" s="4"/>
    </row>
    <row r="4570" spans="1:3" ht="24" customHeight="1">
      <c r="A4570" s="4" t="str">
        <f ca="1">IFERROR(__xludf.DUMMYFUNCTION("""COMPUTED_VALUE"""),"इत्यसौ कलया सूक्तैः सिक्तः पीयूषवर्षिभिः । ईदृगेवेति पप्रच्छ प्रियामुन्नमिताननाम् ॥नैषधीयचरितम्२०.५ ॥")</f>
        <v>इत्यसौ कलया सूक्तैः सिक्तः पीयूषवर्षिभिः । ईदृगेवेति पप्रच्छ प्रियामुन्नमिताननाम् ॥नैषधीयचरितम्२०.५ ॥</v>
      </c>
      <c r="B4570" s="4" t="s">
        <v>1</v>
      </c>
      <c r="C4570" s="4"/>
    </row>
    <row r="4571" spans="1:3" ht="24" customHeight="1">
      <c r="A4571" s="4" t="str">
        <f ca="1">IFERROR(__xludf.DUMMYFUNCTION("""COMPUTED_VALUE"""),"बभौ च प्रेयसीवक्त्रं पत्युरुन्नमयन्करः । चिरेण लब्धसंधानमरविन्दमिवेन्दुना ॥नैषधीयचरितम्२०.५१ ॥")</f>
        <v>बभौ च प्रेयसीवक्त्रं पत्युरुन्नमयन्करः । चिरेण लब्धसंधानमरविन्दमिवेन्दुना ॥नैषधीयचरितम्२०.५१ ॥</v>
      </c>
      <c r="B4571" s="4" t="s">
        <v>1</v>
      </c>
      <c r="C4571" s="4"/>
    </row>
    <row r="4572" spans="1:3" ht="24" customHeight="1">
      <c r="A4572" s="4" t="str">
        <f ca="1">IFERROR(__xludf.DUMMYFUNCTION("""COMPUTED_VALUE"""),"ह्रीणा च स्मयमाना च नमयन्ती पुनर्मुखम् । दमयन्ती मुदे पत्युरुच्चैरप्यभवत्तदा ॥नैषधीयचरितम्२०.५२ ॥")</f>
        <v>ह्रीणा च स्मयमाना च नमयन्ती पुनर्मुखम् । दमयन्ती मुदे पत्युरुच्चैरप्यभवत्तदा ॥नैषधीयचरितम्२०.५२ ॥</v>
      </c>
      <c r="B4572" s="4" t="s">
        <v>17</v>
      </c>
      <c r="C4572" s="4"/>
    </row>
    <row r="4573" spans="1:3" ht="24" customHeight="1">
      <c r="A4573" s="4" t="str">
        <f ca="1">IFERROR(__xludf.DUMMYFUNCTION("""COMPUTED_VALUE"""),"भूयोऽपि भूपतिस्तस्याः सखीमाह स्म सस्मितम् । परिहासविलासाय स्पृहयालुः सहप्रियः ॥नैषधीयचरितम्२०.५३ ॥")</f>
        <v>भूयोऽपि भूपतिस्तस्याः सखीमाह स्म सस्मितम् । परिहासविलासाय स्पृहयालुः सहप्रियः ॥नैषधीयचरितम्२०.५३ ॥</v>
      </c>
      <c r="B4573" s="4" t="s">
        <v>11</v>
      </c>
      <c r="C4573" s="4"/>
    </row>
    <row r="4574" spans="1:3" ht="24" customHeight="1">
      <c r="A4574" s="4" t="str">
        <f ca="1">IFERROR(__xludf.DUMMYFUNCTION("""COMPUTED_VALUE"""),"क्षन्तुं मन्तुं दिनस्यास्य वयस्येयं व्यवस्यतात् । निशीव निशिधात्वर्थं यदाचरति नात्र नः ॥नैषधीयचरितम्२०.५४ ॥")</f>
        <v>क्षन्तुं मन्तुं दिनस्यास्य वयस्येयं व्यवस्यतात् । निशीव निशिधात्वर्थं यदाचरति नात्र नः ॥नैषधीयचरितम्२०.५४ ॥</v>
      </c>
      <c r="B4574" s="4" t="s">
        <v>1</v>
      </c>
      <c r="C4574" s="4"/>
    </row>
    <row r="4575" spans="1:3" ht="24" customHeight="1">
      <c r="A4575" s="4" t="str">
        <f ca="1">IFERROR(__xludf.DUMMYFUNCTION("""COMPUTED_VALUE"""),"दिनेनास्या नुखस्येन्दुः सखा यदि तिरस्कृतः । तत्कृता शतपत्त्राणां तन्मित्त्राणामपि श्रियः ॥नैषधीयचरितम्२०.५५ ॥")</f>
        <v>दिनेनास्या नुखस्येन्दुः सखा यदि तिरस्कृतः । तत्कृता शतपत्त्राणां तन्मित्त्राणामपि श्रियः ॥नैषधीयचरितम्२०.५५ ॥</v>
      </c>
      <c r="B4575" s="4" t="s">
        <v>5</v>
      </c>
      <c r="C4575" s="4"/>
    </row>
    <row r="4576" spans="1:3" ht="24" customHeight="1">
      <c r="A4576" s="4" t="str">
        <f ca="1">IFERROR(__xludf.DUMMYFUNCTION("""COMPUTED_VALUE"""),"लज्जितानि जितान्येव मयि क्रीडितयाऽनया । प्रत्यावृत्तानि तत्तानि पृच्छ संप्रति कं प्रति ॥नैषधीयचरितम्२०.५६ ॥")</f>
        <v>लज्जितानि जितान्येव मयि क्रीडितयाऽनया । प्रत्यावृत्तानि तत्तानि पृच्छ संप्रति कं प्रति ॥नैषधीयचरितम्२०.५६ ॥</v>
      </c>
      <c r="B4576" s="4" t="s">
        <v>2</v>
      </c>
      <c r="C4576" s="4"/>
    </row>
    <row r="4577" spans="1:3" ht="24" customHeight="1">
      <c r="A4577" s="4" t="str">
        <f ca="1">IFERROR(__xludf.DUMMYFUNCTION("""COMPUTED_VALUE"""),"निशि दष्टाधरायापि सैषा मह्यं न रुष्यतु । क्व फलं दशते बिम्बीलता कीराय कुप्यति ॥नैषधीयचरितम्२०.५७ ॥")</f>
        <v>निशि दष्टाधरायापि सैषा मह्यं न रुष्यतु । क्व फलं दशते बिम्बीलता कीराय कुप्यति ॥नैषधीयचरितम्२०.५७ ॥</v>
      </c>
      <c r="B4577" s="4" t="s">
        <v>2</v>
      </c>
      <c r="C4577" s="4"/>
    </row>
    <row r="4578" spans="1:3" ht="24" customHeight="1">
      <c r="A4578" s="4" t="str">
        <f ca="1">IFERROR(__xludf.DUMMYFUNCTION("""COMPUTED_VALUE"""),"सृणीपदसुचिह्ना श्रीश्चोरिता कुम्भिकुम्भयोः । पश्यैतस्याः कुचाभ्यां तन्नृपस्तौ पीडयानि न ॥नैषधीयचरितम्२०.५८ ॥")</f>
        <v>सृणीपदसुचिह्ना श्रीश्चोरिता कुम्भिकुम्भयोः । पश्यैतस्याः कुचाभ्यां तन्नृपस्तौ पीडयानि न ॥नैषधीयचरितम्२०.५८ ॥</v>
      </c>
      <c r="B4578" s="4" t="s">
        <v>1</v>
      </c>
      <c r="C4578" s="4"/>
    </row>
    <row r="4579" spans="1:3" ht="24" customHeight="1">
      <c r="A4579" s="4" t="str">
        <f ca="1">IFERROR(__xludf.DUMMYFUNCTION("""COMPUTED_VALUE"""),"अधरामृतपानेन ममास्यमपराध्यतु । मूर्ध्ना किमपराद्धं यः पादौ नाप्नोति चुम्बितुम् ॥नैषधीयचरितम्२०.५९ ॥")</f>
        <v>अधरामृतपानेन ममास्यमपराध्यतु । मूर्ध्ना किमपराद्धं यः पादौ नाप्नोति चुम्बितुम् ॥नैषधीयचरितम्२०.५९ ॥</v>
      </c>
      <c r="B4579" s="4" t="s">
        <v>2</v>
      </c>
      <c r="C4579" s="4"/>
    </row>
    <row r="4580" spans="1:3" ht="24" customHeight="1">
      <c r="A4580" s="4" t="str">
        <f ca="1">IFERROR(__xludf.DUMMYFUNCTION("""COMPUTED_VALUE"""),"अपराद्धं भवद्वाणीश्राविणा पृच्छ किं मया । वीणाह परुषं यन्मां कलकण्ठी च निष्ठुरम् ॥नैषधीयचरितम्२०.६ ॥")</f>
        <v>अपराद्धं भवद्वाणीश्राविणा पृच्छ किं मया । वीणाह परुषं यन्मां कलकण्ठी च निष्ठुरम् ॥नैषधीयचरितम्२०.६ ॥</v>
      </c>
      <c r="B4580" s="4" t="s">
        <v>0</v>
      </c>
      <c r="C4580" s="4"/>
    </row>
    <row r="4581" spans="1:3" ht="24" customHeight="1">
      <c r="A4581" s="4" t="str">
        <f ca="1">IFERROR(__xludf.DUMMYFUNCTION("""COMPUTED_VALUE"""),"सेयमालिजने स्वस्य त्वयि विश्वस्य भाषताम् । ममताऽनुमताऽस्मासु पुनः प्रस्मर्यते कुतः ॥नैषधीयचरितम्२०.६१ ॥")</f>
        <v>सेयमालिजने स्वस्य त्वयि विश्वस्य भाषताम् । ममताऽनुमताऽस्मासु पुनः प्रस्मर्यते कुतः ॥नैषधीयचरितम्२०.६१ ॥</v>
      </c>
      <c r="B4581" s="4" t="s">
        <v>2</v>
      </c>
      <c r="C4581" s="4"/>
    </row>
    <row r="4582" spans="1:3" ht="24" customHeight="1">
      <c r="A4582" s="4" t="str">
        <f ca="1">IFERROR(__xludf.DUMMYFUNCTION("""COMPUTED_VALUE"""),"अथोपवदने भैम्याः स्वकर्णोपनयच्छलात् । संनिधाप्य श्रुतौ तस्या निजास्यं सा जगाद ताम् ॥नैषधीयचरितम्२०.६२ ॥")</f>
        <v>अथोपवदने भैम्याः स्वकर्णोपनयच्छलात् । संनिधाप्य श्रुतौ तस्या निजास्यं सा जगाद ताम् ॥नैषधीयचरितम्२०.६२ ॥</v>
      </c>
      <c r="B4582" s="4" t="s">
        <v>2</v>
      </c>
      <c r="C4582" s="4"/>
    </row>
    <row r="4583" spans="1:3" ht="24" customHeight="1">
      <c r="A4583" s="4" t="str">
        <f ca="1">IFERROR(__xludf.DUMMYFUNCTION("""COMPUTED_VALUE"""),"अहो मयि रहोवृत्तं धूर्ते किमपि नाभ्यधाः । आस्स्व सभ्यमिमं तत्ते भूपमेवाभिधापये ॥नैषधीयचरितम्२०.६३ ॥")</f>
        <v>अहो मयि रहोवृत्तं धूर्ते किमपि नाभ्यधाः । आस्स्व सभ्यमिमं तत्ते भूपमेवाभिधापये ॥नैषधीयचरितम्२०.६३ ॥</v>
      </c>
      <c r="B4583" s="4" t="s">
        <v>2</v>
      </c>
      <c r="C4583" s="4"/>
    </row>
    <row r="4584" spans="1:3" ht="24" customHeight="1">
      <c r="A4584" s="4" t="str">
        <f ca="1">IFERROR(__xludf.DUMMYFUNCTION("""COMPUTED_VALUE"""),"स्मरशास्त्रमधीयाना शिक्षितासि मयैव यम् । अगोऽपि सोऽपि कृत्वा किं दाम्पत्यव्यत्ययस्त्वया ॥नैषधीयचरितम्२०.६४ ॥")</f>
        <v>स्मरशास्त्रमधीयाना शिक्षितासि मयैव यम् । अगोऽपि सोऽपि कृत्वा किं दाम्पत्यव्यत्ययस्त्वया ॥नैषधीयचरितम्२०.६४ ॥</v>
      </c>
      <c r="B4584" s="4" t="s">
        <v>5</v>
      </c>
      <c r="C4584" s="4"/>
    </row>
    <row r="4585" spans="1:3" ht="24" customHeight="1">
      <c r="A4585" s="4" t="str">
        <f ca="1">IFERROR(__xludf.DUMMYFUNCTION("""COMPUTED_VALUE"""),"मौनिन्यामेव सा तस्यां तदुक्तीरिव शृण्वती । वादं वादं मुहुश्चक्रे हुंहुमित्यन्तरान्तरा ॥नैषधीयचरितम्२०.६५ ॥")</f>
        <v>मौनिन्यामेव सा तस्यां तदुक्तीरिव शृण्वती । वादं वादं मुहुश्चक्रे हुंहुमित्यन्तरान्तरा ॥नैषधीयचरितम्२०.६५ ॥</v>
      </c>
      <c r="B4585" s="4" t="s">
        <v>0</v>
      </c>
      <c r="C4585" s="4"/>
    </row>
    <row r="4586" spans="1:3" ht="24" customHeight="1">
      <c r="A4586" s="4" t="str">
        <f ca="1">IFERROR(__xludf.DUMMYFUNCTION("""COMPUTED_VALUE"""),"अथासावभिसृत्यास्था रतिप्रागल्भ्यशंसिनी । सख्या लीलाम्बुजाघातमनुभूयालपन्नृपम् ॥नैषधीयचरितम्२०.६६ ॥")</f>
        <v>अथासावभिसृत्यास्था रतिप्रागल्भ्यशंसिनी । सख्या लीलाम्बुजाघातमनुभूयालपन्नृपम् ॥नैषधीयचरितम्२०.६६ ॥</v>
      </c>
      <c r="B4586" s="4" t="s">
        <v>9</v>
      </c>
      <c r="C4586" s="4"/>
    </row>
    <row r="4587" spans="1:3" ht="24" customHeight="1">
      <c r="A4587" s="4" t="str">
        <f ca="1">IFERROR(__xludf.DUMMYFUNCTION("""COMPUTED_VALUE"""),"दृष्टं दृष्टं महाराज त्वदर्थाभ्यर्थनकुधा । यत्ताडयति मामेवं यद्वा तर्जयति भ्रुवा ॥नैषधीयचरितम्२०.६७ ॥")</f>
        <v>दृष्टं दृष्टं महाराज त्वदर्थाभ्यर्थनकुधा । यत्ताडयति मामेवं यद्वा तर्जयति भ्रुवा ॥नैषधीयचरितम्२०.६७ ॥</v>
      </c>
      <c r="B4587" s="4" t="s">
        <v>2</v>
      </c>
      <c r="C4587" s="4"/>
    </row>
    <row r="4588" spans="1:3" ht="24" customHeight="1">
      <c r="A4588" s="4" t="str">
        <f ca="1">IFERROR(__xludf.DUMMYFUNCTION("""COMPUTED_VALUE"""),"वदत्यचिह्नि चिह्नेन त्वया केनैष नैषधः । शङ्के शक्रः स्वयं कृत्वा मायामायातवानियम् ॥नैषधीयचरितम्२०.६८ ॥")</f>
        <v>वदत्यचिह्नि चिह्नेन त्वया केनैष नैषधः । शङ्के शक्रः स्वयं कृत्वा मायामायातवानियम् ॥नैषधीयचरितम्२०.६८ ॥</v>
      </c>
      <c r="B4588" s="4" t="s">
        <v>5</v>
      </c>
      <c r="C4588" s="4"/>
    </row>
    <row r="4589" spans="1:3" ht="24" customHeight="1">
      <c r="A4589" s="4" t="str">
        <f ca="1">IFERROR(__xludf.DUMMYFUNCTION("""COMPUTED_VALUE"""),"स्वर्णदीस्वर्णपद्मिन्याः पद्मदानं निदानताम् । नयतीयं त्वदिन्द्रत्वे दिवश्चागमनं च ते ॥नैषधीयचरितम्२०.६९ ॥")</f>
        <v>स्वर्णदीस्वर्णपद्मिन्याः पद्मदानं निदानताम् । नयतीयं त्वदिन्द्रत्वे दिवश्चागमनं च ते ॥नैषधीयचरितम्२०.६९ ॥</v>
      </c>
      <c r="B4589" s="4" t="s">
        <v>2</v>
      </c>
      <c r="C4589" s="4"/>
    </row>
    <row r="4590" spans="1:3" ht="24" customHeight="1">
      <c r="A4590" s="4" t="str">
        <f ca="1">IFERROR(__xludf.DUMMYFUNCTION("""COMPUTED_VALUE"""),"भाषते नैषधच्छायामायामायि मया हरेः । आह चाहमहल्यायां तस्याकर्णितदुर्नया ॥नैषधीयचरितम्२०.७ ॥")</f>
        <v>भाषते नैषधच्छायामायामायि मया हरेः । आह चाहमहल्यायां तस्याकर्णितदुर्नया ॥नैषधीयचरितम्२०.७ ॥</v>
      </c>
      <c r="B4590" s="4" t="s">
        <v>5</v>
      </c>
      <c r="C4590" s="4"/>
    </row>
    <row r="4591" spans="1:3" ht="24" customHeight="1">
      <c r="A4591" s="4" t="str">
        <f ca="1">IFERROR(__xludf.DUMMYFUNCTION("""COMPUTED_VALUE"""),"संभावयति वैदर्भी दर्भाग्राभमतिस्तव । जम्भारित्वं कराम्भोजाद्दम्भोलिपरिरम्भिणः ॥नैषधीयचरितम्२०.७१ ॥")</f>
        <v>संभावयति वैदर्भी दर्भाग्राभमतिस्तव । जम्भारित्वं कराम्भोजाद्दम्भोलिपरिरम्भिणः ॥नैषधीयचरितम्२०.७१ ॥</v>
      </c>
      <c r="B4591" s="4" t="s">
        <v>7</v>
      </c>
      <c r="C4591" s="4"/>
    </row>
    <row r="4592" spans="1:3" ht="24" customHeight="1">
      <c r="A4592" s="4" t="str">
        <f ca="1">IFERROR(__xludf.DUMMYFUNCTION("""COMPUTED_VALUE"""),"अनन्यसाक्षिकाः साक्षात्तदाख्याय रहःक्रियाः । शङ्कातङ्कं तुदैतस्या यदि त्वं तत्त्वनैषधः ॥नैषधीयचरितम्२०.७२ ॥")</f>
        <v>अनन्यसाक्षिकाः साक्षात्तदाख्याय रहःक्रियाः । शङ्कातङ्कं तुदैतस्या यदि त्वं तत्त्वनैषधः ॥नैषधीयचरितम्२०.७२ ॥</v>
      </c>
      <c r="B4592" s="4" t="s">
        <v>20</v>
      </c>
      <c r="C4592" s="4"/>
    </row>
    <row r="4593" spans="1:3" ht="24" customHeight="1">
      <c r="A4593" s="4" t="str">
        <f ca="1">IFERROR(__xludf.DUMMYFUNCTION("""COMPUTED_VALUE"""),"इति तत्सुप्रयुक्तत्वनिह्नुतीकृतकैतवाम् । वाचमाकर्ण्य तद्भावे संशयालुः शशंस सः ॥नैषधीयचरितम्२०.७३ ॥")</f>
        <v>इति तत्सुप्रयुक्तत्वनिह्नुतीकृतकैतवाम् । वाचमाकर्ण्य तद्भावे संशयालुः शशंस सः ॥नैषधीयचरितम्२०.७३ ॥</v>
      </c>
      <c r="B4593" s="4" t="s">
        <v>18</v>
      </c>
      <c r="C4593" s="4"/>
    </row>
    <row r="4594" spans="1:3" ht="24" customHeight="1">
      <c r="A4594" s="4" t="str">
        <f ca="1">IFERROR(__xludf.DUMMYFUNCTION("""COMPUTED_VALUE"""),"स्मरसि छद्मनिद्रालुर्मया नाभौ शयार्पणात् । यदानन्दोल्लसल्लोमा पद्मनाभीभविष्यसि ॥नैषधीयचरितम्२०.७४ ॥")</f>
        <v>स्मरसि छद्मनिद्रालुर्मया नाभौ शयार्पणात् । यदानन्दोल्लसल्लोमा पद्मनाभीभविष्यसि ॥नैषधीयचरितम्२०.७४ ॥</v>
      </c>
      <c r="B4594" s="4" t="s">
        <v>18</v>
      </c>
      <c r="C4594" s="4"/>
    </row>
    <row r="4595" spans="1:3" ht="24" customHeight="1">
      <c r="A4595" s="4" t="str">
        <f ca="1">IFERROR(__xludf.DUMMYFUNCTION("""COMPUTED_VALUE"""),"आनासि ह्रीभयव्यग्रा यन्नवे मन्मथोत्सवे । सामिभुक्तैव मुक्तासि मृद्वि खेदभयान्मया ॥नैषधीयचरितम्२०.७५ ॥")</f>
        <v>आनासि ह्रीभयव्यग्रा यन्नवे मन्मथोत्सवे । सामिभुक्तैव मुक्तासि मृद्वि खेदभयान्मया ॥नैषधीयचरितम्२०.७५ ॥</v>
      </c>
      <c r="B4595" s="4" t="s">
        <v>5</v>
      </c>
      <c r="C4595" s="4"/>
    </row>
    <row r="4596" spans="1:3" ht="24" customHeight="1">
      <c r="A4596" s="4" t="str">
        <f ca="1">IFERROR(__xludf.DUMMYFUNCTION("""COMPUTED_VALUE"""),"स्मर जित्वाजिमेतस्त्वां करे मत्पदधाविनि । अङ्गुलीयुगयोगेन यदाश्लिक्षं जने घने ॥नैषधीयचरितम्२०.७६ ॥")</f>
        <v>स्मर जित्वाजिमेतस्त्वां करे मत्पदधाविनि । अङ्गुलीयुगयोगेन यदाश्लिक्षं जने घने ॥नैषधीयचरितम्२०.७६ ॥</v>
      </c>
      <c r="B4596" s="4" t="s">
        <v>1</v>
      </c>
      <c r="C4596" s="4"/>
    </row>
    <row r="4597" spans="1:3" ht="24" customHeight="1">
      <c r="A4597" s="4" t="str">
        <f ca="1">IFERROR(__xludf.DUMMYFUNCTION("""COMPUTED_VALUE"""),"वेत्थ मानेपि मत्त्यागदूनां स्वं मां च यन्मिथः । मद्दृष्टालिख्य पश्यन्ती व्यबाधा रेखयाऽन्तरा ॥नैषधीयचरितम्२०.७७ ॥")</f>
        <v>वेत्थ मानेपि मत्त्यागदूनां स्वं मां च यन्मिथः । मद्दृष्टालिख्य पश्यन्ती व्यबाधा रेखयाऽन्तरा ॥नैषधीयचरितम्२०.७७ ॥</v>
      </c>
      <c r="B4597" s="4" t="s">
        <v>0</v>
      </c>
      <c r="C4597" s="4"/>
    </row>
    <row r="4598" spans="1:3" ht="24" customHeight="1">
      <c r="A4598" s="4" t="str">
        <f ca="1">IFERROR(__xludf.DUMMYFUNCTION("""COMPUTED_VALUE"""),"प्रस्मृतं न त्वया तावद्यन्मोहनविमोहितः । अतृप्तोऽधरपानेषु रसनामपिबं तव ॥नैषधीयचरितम्२०.७८ ॥")</f>
        <v>प्रस्मृतं न त्वया तावद्यन्मोहनविमोहितः । अतृप्तोऽधरपानेषु रसनामपिबं तव ॥नैषधीयचरितम्२०.७८ ॥</v>
      </c>
      <c r="B4598" s="4" t="s">
        <v>4</v>
      </c>
      <c r="C4598" s="4"/>
    </row>
    <row r="4599" spans="1:3" ht="24" customHeight="1">
      <c r="A4599" s="4" t="str">
        <f ca="1">IFERROR(__xludf.DUMMYFUNCTION("""COMPUTED_VALUE"""),"त्वत्कुचार्द्रनखाङ्कस्य मुद्रामालिङ्गनोत्थिताम् । स्मरेः स्वहृदि यत्स्मेरसखीः शिल्पं तवाब्रवम् ॥नैषधीयचरितम्२०.७९ ॥")</f>
        <v>त्वत्कुचार्द्रनखाङ्कस्य मुद्रामालिङ्गनोत्थिताम् । स्मरेः स्वहृदि यत्स्मेरसखीः शिल्पं तवाब्रवम् ॥नैषधीयचरितम्२०.७९ ॥</v>
      </c>
      <c r="B4599" s="4" t="s">
        <v>4</v>
      </c>
      <c r="C4599" s="4"/>
    </row>
    <row r="4600" spans="1:3" ht="24" customHeight="1">
      <c r="A4600" s="4" t="str">
        <f ca="1">IFERROR(__xludf.DUMMYFUNCTION("""COMPUTED_VALUE"""),"त्वयान्याः क्रीडयन्मध्येमधुगोष्ठि रुषेक्षितः । वेत्सि तासां पुरो मूर्ध्ना त्वत्पादे यत्किलास्खलम् ॥नैषधीयचरितम्२०.८ ॥")</f>
        <v>त्वयान्याः क्रीडयन्मध्येमधुगोष्ठि रुषेक्षितः । वेत्सि तासां पुरो मूर्ध्ना त्वत्पादे यत्किलास्खलम् ॥नैषधीयचरितम्२०.८ ॥</v>
      </c>
      <c r="B4600" s="4" t="s">
        <v>11</v>
      </c>
      <c r="C4600" s="4"/>
    </row>
    <row r="4601" spans="1:3" ht="24" customHeight="1">
      <c r="A4601" s="4" t="str">
        <f ca="1">IFERROR(__xludf.DUMMYFUNCTION("""COMPUTED_VALUE"""),"वेत्थ मय्यागते प्रोष्य यत्त्वां पश्यति हार्दिनि । अचुम्बीरालिमालिङ्ग्य तस्यां केलिमुदा किल ॥नैषधीयचरितम्२०.८१ ॥ ")</f>
        <v xml:space="preserve">वेत्थ मय्यागते प्रोष्य यत्त्वां पश्यति हार्दिनि । अचुम्बीरालिमालिङ्ग्य तस्यां केलिमुदा किल ॥नैषधीयचरितम्२०.८१ ॥ </v>
      </c>
      <c r="B4601" s="4" t="s">
        <v>11</v>
      </c>
      <c r="C4601" s="4"/>
    </row>
    <row r="4602" spans="1:3" ht="24" customHeight="1">
      <c r="A4602" s="4" t="str">
        <f ca="1">IFERROR(__xludf.DUMMYFUNCTION("""COMPUTED_VALUE"""),"जागर्ति तत्र संस्कारः स्वमुखाद्भवदानने । विक्षिप्यायाचिषं यत्ता न्यायात्ताम्बूलफालिकाः ॥नैषधीयचरितम्२०.८२ ॥")</f>
        <v>जागर्ति तत्र संस्कारः स्वमुखाद्भवदानने । विक्षिप्यायाचिषं यत्ता न्यायात्ताम्बूलफालिकाः ॥नैषधीयचरितम्२०.८२ ॥</v>
      </c>
      <c r="B4602" s="4" t="s">
        <v>19</v>
      </c>
      <c r="C4602" s="4"/>
    </row>
    <row r="4603" spans="1:3" ht="24" customHeight="1">
      <c r="A4603" s="4" t="str">
        <f ca="1">IFERROR(__xludf.DUMMYFUNCTION("""COMPUTED_VALUE"""),"चित्ते तदस्ति कच्चित्ते नखजं यत्क्रुधा क्षतम् । प्राग्भावाधिगमागस्स्थे त्वया शम्बाकृतं क्षतम् ॥नैषधीयचरितम्२०.८३ ॥")</f>
        <v>चित्ते तदस्ति कच्चित्ते नखजं यत्क्रुधा क्षतम् । प्राग्भावाधिगमागस्स्थे त्वया शम्बाकृतं क्षतम् ॥नैषधीयचरितम्२०.८३ ॥</v>
      </c>
      <c r="B4603" s="4" t="s">
        <v>2</v>
      </c>
      <c r="C4603" s="4"/>
    </row>
    <row r="4604" spans="1:3" ht="24" customHeight="1">
      <c r="A4604" s="4" t="str">
        <f ca="1">IFERROR(__xludf.DUMMYFUNCTION("""COMPUTED_VALUE"""),"स्वदिग्विनिमयेनैव निशि पार्श्वविवर्तिनोः । स्वप्नेष्वप्यस्तवैमुख्ये सख्ये सौख्यं स्मरावयोः ॥नैषधीयचरितम्२०.८४ ॥ ")</f>
        <v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॥नैषधीयचरितम्२०.८४ ॥ </v>
      </c>
      <c r="B4604" s="4" t="s">
        <v>5</v>
      </c>
      <c r="C4604" s="4"/>
    </row>
    <row r="4605" spans="1:3" ht="24" customHeight="1">
      <c r="A4605" s="4" t="str">
        <f ca="1">IFERROR(__xludf.DUMMYFUNCTION("""COMPUTED_VALUE"""),"क्षणं प्राप्य सदस्येव नृणां विमनितेक्षणम् । दर्शिताधरमद्दंशा ध्याय यन्मामतर्जयः ॥नैषधीयचरितम्२०.८५ ॥ ")</f>
        <v xml:space="preserve">क्षणं प्राप्य सदस्येव नृणां विमनितेक्षणम् । दर्शिताधरमद्दंशा ध्याय यन्मामतर्जयः ॥नैषधीयचरितम्२०.८५ ॥ </v>
      </c>
      <c r="B4605" s="4" t="s">
        <v>5</v>
      </c>
      <c r="C4605" s="4"/>
    </row>
    <row r="4606" spans="1:3" ht="24" customHeight="1">
      <c r="A4606" s="4" t="str">
        <f ca="1">IFERROR(__xludf.DUMMYFUNCTION("""COMPUTED_VALUE"""),"तथावलोक्य लीलाब्जनालभ्रमणविभ्रमात् । करौ योजयताध्ये(धी)हि यन्मयासि प्रसादिता ॥नैषधीयचरितम्२०.८६ ॥")</f>
        <v>तथावलोक्य लीलाब्जनालभ्रमणविभ्रमात् । करौ योजयताध्ये(धी)हि यन्मयासि प्रसादिता ॥नैषधीयचरितम्२०.८६ ॥</v>
      </c>
      <c r="B4606" s="4" t="s">
        <v>2</v>
      </c>
      <c r="C4606" s="4"/>
    </row>
    <row r="4607" spans="1:3" ht="24" customHeight="1">
      <c r="A4607" s="4" t="str">
        <f ca="1">IFERROR(__xludf.DUMMYFUNCTION("""COMPUTED_VALUE"""),"ताम्बूलदानमन्यस्तकरजं करपङ्कजे । मम न स्मरसि प्रायस्तव नैव स्मरामि तत् ॥नैषधीयचरितम्२०.८७ ॥ ")</f>
        <v xml:space="preserve">ताम्बूलदानमन्यस्तकरजं करपङ्कजे । मम न स्मरसि प्रायस्तव नैव स्मरामि तत् ॥नैषधीयचरितम्२०.८७ ॥ </v>
      </c>
      <c r="B4607" s="4" t="s">
        <v>2</v>
      </c>
      <c r="C4607" s="4"/>
    </row>
    <row r="4608" spans="1:3" ht="24" customHeight="1">
      <c r="A4608" s="4" t="str">
        <f ca="1">IFERROR(__xludf.DUMMYFUNCTION("""COMPUTED_VALUE"""),"तदध्ये (धी) हि मृषोद्यं मां हित्वा यत्त्वं गता सखीः । तत्रापि मे गतस्याग्रे लीलयैवाच्छिनस्तृणम् ॥नैषधीयचरितम्२०.८८ ॥ ")</f>
        <v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॥नैषधीयचरितम्२०.८८ ॥ </v>
      </c>
      <c r="B4608" s="4" t="s">
        <v>7</v>
      </c>
      <c r="C4608" s="4"/>
    </row>
    <row r="4609" spans="1:3" ht="24" customHeight="1">
      <c r="A4609" s="4" t="str">
        <f ca="1">IFERROR(__xludf.DUMMYFUNCTION("""COMPUTED_VALUE"""),"स्मरसि प्रेय्सि प्रायो यद्द्वितीयरतासहा । शुचिरात्रीत्युपालब्धा त्वं मयापिकनादिनी ॥नैषधीयचरितम्२०.८९ ॥ ")</f>
        <v xml:space="preserve">स्मरसि प्रेय्सि प्रायो यद्द्वितीयरतासहा । शुचिरात्रीत्युपालब्धा त्वं मयापिकनादिनी ॥नैषधीयचरितम्२०.८९ ॥ </v>
      </c>
      <c r="B4609" s="4" t="s">
        <v>1</v>
      </c>
      <c r="C4609" s="4"/>
    </row>
    <row r="4610" spans="1:3" ht="24" customHeight="1">
      <c r="A4610" s="4" t="str">
        <f ca="1">IFERROR(__xludf.DUMMYFUNCTION("""COMPUTED_VALUE"""),"भुञ्जानस्य नवं निम्बं परिवेविषती मधौ । सपत्नीष्वपि मे रागं संभाव्य स्वरुषः स्मरेः ॥नैषधीयचरितम्२०.९ ॥")</f>
        <v>भुञ्जानस्य नवं निम्बं परिवेविषती मधौ । सपत्नीष्वपि मे रागं संभाव्य स्वरुषः स्मरेः ॥नैषधीयचरितम्२०.९ ॥</v>
      </c>
      <c r="B4610" s="4" t="s">
        <v>0</v>
      </c>
      <c r="C4610" s="4"/>
    </row>
    <row r="4611" spans="1:3" ht="24" customHeight="1">
      <c r="A4611" s="4" t="str">
        <f ca="1">IFERROR(__xludf.DUMMYFUNCTION("""COMPUTED_VALUE"""),"स्मर शार्करमास्वाद्य त्वया राद्धमिति स्तुवन् । स्वनिन्दारोषरक्तात्तु यदभैषं तवाधरात् ॥नैषधीयचरितम्२०.९१ ॥")</f>
        <v>स्मर शार्करमास्वाद्य त्वया राद्धमिति स्तुवन् । स्वनिन्दारोषरक्तात्तु यदभैषं तवाधरात् ॥नैषधीयचरितम्२०.९१ ॥</v>
      </c>
      <c r="B4611" s="4" t="s">
        <v>0</v>
      </c>
      <c r="C4611" s="4"/>
    </row>
    <row r="4612" spans="1:3" ht="24" customHeight="1">
      <c r="A4612" s="4" t="str">
        <f ca="1">IFERROR(__xludf.DUMMYFUNCTION("""COMPUTED_VALUE"""),"मुखादारभ्य नाभ्यन्तं चुम्बं चुम्बमतृप्तवान् । न प्रापं चुम्बितुं यत्ते धन्या तच्चुम्बतु स्मृतिः ॥नैषधीयचरितम्२०.९२ ॥")</f>
        <v>मुखादारभ्य नाभ्यन्तं चुम्बं चुम्बमतृप्तवान् । न प्रापं चुम्बितुं यत्ते धन्या तच्चुम्बतु स्मृतिः ॥नैषधीयचरितम्२०.९२ ॥</v>
      </c>
      <c r="B4612" s="4" t="s">
        <v>2</v>
      </c>
      <c r="C4612" s="4"/>
    </row>
    <row r="4613" spans="1:3" ht="24" customHeight="1">
      <c r="A4613" s="4" t="str">
        <f ca="1">IFERROR(__xludf.DUMMYFUNCTION("""COMPUTED_VALUE"""),"कमपि स्मरकेलिं तं स्मर यत्र भवन्निति । मया विहितसंबुद्धिर्वीडिता स्मितवत्यसि ॥नैषधीयचरितम्२०.९३ ॥")</f>
        <v>कमपि स्मरकेलिं तं स्मर यत्र भवन्निति । मया विहितसंबुद्धिर्वीडिता स्मितवत्यसि ॥नैषधीयचरितम्२०.९३ ॥</v>
      </c>
      <c r="B4613" s="4" t="s">
        <v>18</v>
      </c>
      <c r="C4613" s="4"/>
    </row>
    <row r="4614" spans="1:3" ht="24" customHeight="1">
      <c r="A4614" s="4" t="str">
        <f ca="1">IFERROR(__xludf.DUMMYFUNCTION("""COMPUTED_VALUE"""),"नीलदाचिबुकं यत्र मदाक्तेन श्रमाम्बुना । स्मर हारमणौ दृष्टं स्वमास्यं तत्क्षणोचितम् ॥नैषधीयचरितम्२०.९४ ॥")</f>
        <v>नीलदाचिबुकं यत्र मदाक्तेन श्रमाम्बुना । स्मर हारमणौ दृष्टं स्वमास्यं तत्क्षणोचितम् ॥नैषधीयचरितम्२०.९४ ॥</v>
      </c>
      <c r="B4614" s="4" t="s">
        <v>2</v>
      </c>
      <c r="C4614" s="4"/>
    </row>
    <row r="4615" spans="1:3" ht="24" customHeight="1">
      <c r="A4615" s="4" t="str">
        <f ca="1">IFERROR(__xludf.DUMMYFUNCTION("""COMPUTED_VALUE"""),"स्मर तन्नखमत्रोरौ कस्तेधा(दा)दिति ते मृषा । ह्रीदैवतमलुम्पं यद्व्रतं रतपरोक्षणम् ॥नैषधीयचरितम्२०.९५ ॥")</f>
        <v>स्मर तन्नखमत्रोरौ कस्तेधा(दा)दिति ते मृषा । ह्रीदैवतमलुम्पं यद्व्रतं रतपरोक्षणम् ॥नैषधीयचरितम्२०.९५ ॥</v>
      </c>
      <c r="B4615" s="4" t="s">
        <v>7</v>
      </c>
      <c r="C4615" s="4"/>
    </row>
    <row r="4616" spans="1:3" ht="24" customHeight="1">
      <c r="A4616" s="4" t="str">
        <f ca="1">IFERROR(__xludf.DUMMYFUNCTION("""COMPUTED_VALUE"""),"वनकेलौ स्मराश्वत्थदलं भूपतितं प्रति । देहि मह्यमुदस्येति मद्गिरा व्रीडितासि यत् ॥नैषधीयचरितम्२०.९६ ॥")</f>
        <v>वनकेलौ स्मराश्वत्थदलं भूपतितं प्रति । देहि मह्यमुदस्येति मद्गिरा व्रीडितासि यत् ॥नैषधीयचरितम्२०.९६ ॥</v>
      </c>
      <c r="B4616" s="4" t="s">
        <v>5</v>
      </c>
      <c r="C4616" s="4"/>
    </row>
    <row r="4617" spans="1:3" ht="24" customHeight="1">
      <c r="A4617" s="4" t="str">
        <f ca="1">IFERROR(__xludf.DUMMYFUNCTION("""COMPUTED_VALUE"""),"इति तस्या रहस्यानि प्रिये शंसति सान्तरा । पाणिभ्यां पिदधे सख्याः श्रवसी ह्रीवशीकृता ॥नैषधीयचरितम्२०.९७ ॥")</f>
        <v>इति तस्या रहस्यानि प्रिये शंसति सान्तरा । पाणिभ्यां पिदधे सख्याः श्रवसी ह्रीवशीकृता ॥नैषधीयचरितम्२०.९७ ॥</v>
      </c>
      <c r="B4617" s="4" t="s">
        <v>2</v>
      </c>
      <c r="C4617" s="4"/>
    </row>
    <row r="4618" spans="1:3" ht="24" customHeight="1">
      <c r="A4618" s="4" t="str">
        <f ca="1">IFERROR(__xludf.DUMMYFUNCTION("""COMPUTED_VALUE"""),"कर्णौ पीडयती सख्या वीक्ष्य नेत्रासितोत्पले । अप्यपीडयतां भैमीकरकोकनदे तु (नु) तौ ॥नैषधीयचरितम्२०.९८ ॥")</f>
        <v>कर्णौ पीडयती सख्या वीक्ष्य नेत्रासितोत्पले । अप्यपीडयतां भैमीकरकोकनदे तु (नु) तौ ॥नैषधीयचरितम्२०.९८ ॥</v>
      </c>
      <c r="B4618" s="4" t="s">
        <v>2</v>
      </c>
      <c r="C4618" s="4"/>
    </row>
    <row r="4619" spans="1:3" ht="24" customHeight="1">
      <c r="A4619" s="4" t="str">
        <f ca="1">IFERROR(__xludf.DUMMYFUNCTION("""COMPUTED_VALUE"""),"तत्प्रविष्टं सखीकर्णौ पत्युरालपितं ह्रिया । पिदधाविव वैदर्भी स्वरहस्याभिसंधिना ॥नैषधीयचरितम्२०.९९ ॥")</f>
        <v>तत्प्रविष्टं सखीकर्णौ पत्युरालपितं ह्रिया । पिदधाविव वैदर्भी स्वरहस्याभिसंधिना ॥नैषधीयचरितम्२०.९९ ॥</v>
      </c>
      <c r="B4619" s="4" t="s">
        <v>1</v>
      </c>
      <c r="C4619" s="4"/>
    </row>
    <row r="4620" spans="1:3" ht="24" customHeight="1">
      <c r="A4620" s="4" t="str">
        <f ca="1">IFERROR(__xludf.DUMMYFUNCTION("""COMPUTED_VALUE"""),"तमालोक्य प्रियाकेलिं नले सोत्प्रासहासिनि । आरात्तत्त्वमबुद्ध्वापि सख्यः सिष्मियिरेऽपराः ॥नैषधीयचरितम्२०.१ ॥")</f>
        <v>तमालोक्य प्रियाकेलिं नले सोत्प्रासहासिनि । आरात्तत्त्वमबुद्ध्वापि सख्यः सिष्मियिरेऽपराः ॥नैषधीयचरितम्२०.१ ॥</v>
      </c>
      <c r="B4620" s="4" t="s">
        <v>0</v>
      </c>
      <c r="C4620" s="4"/>
    </row>
    <row r="4621" spans="1:3" ht="24" customHeight="1">
      <c r="A4621" s="4" t="str">
        <f ca="1">IFERROR(__xludf.DUMMYFUNCTION("""COMPUTED_VALUE"""),"दम्पत्योरुपरि प्रीत्या ता धराप्सरसस्तयोः । ववृषुः स्मितपुष्पाणि सुरभीणि मुखानिलैः ॥नैषधीयचरितम्२०.१०१ ॥")</f>
        <v>दम्पत्योरुपरि प्रीत्या ता धराप्सरसस्तयोः । ववृषुः स्मितपुष्पाणि सुरभीणि मुखानिलैः ॥नैषधीयचरितम्२०.१०१ ॥</v>
      </c>
      <c r="B4621" s="4" t="s">
        <v>11</v>
      </c>
      <c r="C4621" s="4"/>
    </row>
    <row r="4622" spans="1:3" ht="24" customHeight="1">
      <c r="A4622" s="4" t="str">
        <f ca="1">IFERROR(__xludf.DUMMYFUNCTION("""COMPUTED_VALUE"""),"तदास्यहसिताज्जातं स्मितमासामभासत । आलोकादिव शीतांशोः कुमुदश्रेणिजृम्भणम् ॥नैषधीयचरितम्२०.१०२ ॥")</f>
        <v>तदास्यहसिताज्जातं स्मितमासामभासत । आलोकादिव शीतांशोः कुमुदश्रेणिजृम्भणम् ॥नैषधीयचरितम्२०.१०२ ॥</v>
      </c>
      <c r="B4622" s="4" t="s">
        <v>7</v>
      </c>
      <c r="C4622" s="4"/>
    </row>
    <row r="4623" spans="1:3" ht="24" customHeight="1">
      <c r="A4623" s="4" t="str">
        <f ca="1">IFERROR(__xludf.DUMMYFUNCTION("""COMPUTED_VALUE"""),"प्रत्यभिज्ञाय विज्ञाथ स्वरं हासविकस्वरम् । सख्यास्तासु स्वपक्षायाः कला जातबलाऽजनि ॥नैषधीयचरितम्२०.१०३ ॥")</f>
        <v>प्रत्यभिज्ञाय विज्ञाथ स्वरं हासविकस्वरम् । सख्यास्तासु स्वपक्षायाः कला जातबलाऽजनि ॥नैषधीयचरितम्२०.१०३ ॥</v>
      </c>
      <c r="B4623" s="4" t="s">
        <v>1</v>
      </c>
      <c r="C4623" s="4"/>
    </row>
    <row r="4624" spans="1:3" ht="24" customHeight="1">
      <c r="A4624" s="4" t="str">
        <f ca="1">IFERROR(__xludf.DUMMYFUNCTION("""COMPUTED_VALUE"""),"साहूयोच्चैरथोचे तामेहि स्वर्गेण वञ्चिते । पिब वाणी सुधावेणीर्नृपचन्द्रस्य सुन्दरि ॥नैषधीयचरितम्२०.१०४ ॥")</f>
        <v>साहूयोच्चैरथोचे तामेहि स्वर्गेण वञ्चिते । पिब वाणी सुधावेणीर्नृपचन्द्रस्य सुन्दरि ॥नैषधीयचरितम्२०.१०४ ॥</v>
      </c>
      <c r="B4624" s="4" t="s">
        <v>0</v>
      </c>
      <c r="C4624" s="4"/>
    </row>
    <row r="4625" spans="1:3" ht="24" customHeight="1">
      <c r="A4625" s="4" t="str">
        <f ca="1">IFERROR(__xludf.DUMMYFUNCTION("""COMPUTED_VALUE"""),"साशृणोत्तस्य वाग्भागमनत्यासत्तिमत्यपि । कल्पग्रामाल्पनिर्घोषं बदरीव कृशोदरी ॥नैषधीयचरितम्२०.१०५ ॥")</f>
        <v>साशृणोत्तस्य वाग्भागमनत्यासत्तिमत्यपि । कल्पग्रामाल्पनिर्घोषं बदरीव कृशोदरी ॥नैषधीयचरितम्२०.१०५ ॥</v>
      </c>
      <c r="B4625" s="4" t="s">
        <v>0</v>
      </c>
      <c r="C4625" s="4"/>
    </row>
    <row r="4626" spans="1:3" ht="24" customHeight="1">
      <c r="A4626" s="4" t="str">
        <f ca="1">IFERROR(__xludf.DUMMYFUNCTION("""COMPUTED_VALUE"""),"अथ स्वपृष्ठनिष्ठायाः शृण्वत्या निषधाभिधाः । नलमौलिमणौ तस्या भावमाकलयत्कला ॥नैषधीयचरितम्२०.१०६ ॥")</f>
        <v>अथ स्वपृष्ठनिष्ठायाः शृण्वत्या निषधाभिधाः । नलमौलिमणौ तस्या भावमाकलयत्कला ॥नैषधीयचरितम्२०.१०६ ॥</v>
      </c>
      <c r="B4626" s="4" t="s">
        <v>11</v>
      </c>
      <c r="C4626" s="4"/>
    </row>
    <row r="4627" spans="1:3" ht="24" customHeight="1">
      <c r="A4627" s="4" t="str">
        <f ca="1">IFERROR(__xludf.DUMMYFUNCTION("""COMPUTED_VALUE"""),"प्रतिबिम्बेक्षितैः सख्या मुखाकूतैः कृतानुमा । तद्द्रीडाद्यनुकुर्वाणा शृण्वतीवान्वमायि सा ॥नैषधीयचरितम्२०.१०७ ॥")</f>
        <v>प्रतिबिम्बेक्षितैः सख्या मुखाकूतैः कृतानुमा । तद्द्रीडाद्यनुकुर्वाणा शृण्वतीवान्वमायि सा ॥नैषधीयचरितम्२०.१०७ ॥</v>
      </c>
      <c r="B4627" s="4" t="s">
        <v>18</v>
      </c>
      <c r="C4627" s="4"/>
    </row>
    <row r="4628" spans="1:3" ht="24" customHeight="1">
      <c r="A4628" s="4" t="str">
        <f ca="1">IFERROR(__xludf.DUMMYFUNCTION("""COMPUTED_VALUE"""),"कारं कारं तथाकारमूचे साऽशृणवंतमाम् । मिथ्या वेत्थ गिरश्चैतद्व्यर्थाः स्युर्मम देवताः ॥नैषधीयचरितम्२०.१०८ ॥")</f>
        <v>कारं कारं तथाकारमूचे साऽशृणवंतमाम् । मिथ्या वेत्थ गिरश्चैतद्व्यर्थाः स्युर्मम देवताः ॥नैषधीयचरितम्२०.१०८ ॥</v>
      </c>
      <c r="B4628" s="4" t="s">
        <v>2</v>
      </c>
      <c r="C4628" s="4"/>
    </row>
    <row r="4629" spans="1:3" ht="24" customHeight="1">
      <c r="A4629" s="4" t="str">
        <f ca="1">IFERROR(__xludf.DUMMYFUNCTION("""COMPUTED_VALUE"""),"मत्कर्णभूषणानां तु राजन्निबिडपीडनात् । व्यथिष्यमाणपाणिस्ते निषेद्धुमुचिता प्रिया ॥नैषधीयचरितम्२०.१०९ ॥")</f>
        <v>मत्कर्णभूषणानां तु राजन्निबिडपीडनात् । व्यथिष्यमाणपाणिस्ते निषेद्धुमुचिता प्रिया ॥नैषधीयचरितम्२०.१०९ ॥</v>
      </c>
      <c r="B4629" s="4" t="s">
        <v>5</v>
      </c>
      <c r="C4629" s="4"/>
    </row>
    <row r="4630" spans="1:3" ht="24" customHeight="1">
      <c r="A4630" s="4" t="str">
        <f ca="1">IFERROR(__xludf.DUMMYFUNCTION("""COMPUTED_VALUE"""),"इति सा मोचयांचक्रे कर्णौ सख्याः करग्रहात् । पत्युराश्रवतां यान्त्यामुधायासनिषेधिनः ॥नैषधीयचरितम्२०.११ ॥ ")</f>
        <v xml:space="preserve">इति सा मोचयांचक्रे कर्णौ सख्याः करग्रहात् । पत्युराश्रवतां यान्त्यामुधायासनिषेधिनः ॥नैषधीयचरितम्२०.११ ॥ </v>
      </c>
      <c r="B4630" s="4" t="s">
        <v>1</v>
      </c>
      <c r="C4630" s="4"/>
    </row>
    <row r="4631" spans="1:3" ht="24" customHeight="1">
      <c r="A4631" s="4" t="str">
        <f ca="1">IFERROR(__xludf.DUMMYFUNCTION("""COMPUTED_VALUE"""),"श्रुतिसंरोधजध्वानसंततिच्छेदतालताम् । जगाम झटिति त्यागस्वनस्तत्कर्णयोस्ततः ॥नैषधीयचरितम्२०.१११ ॥")</f>
        <v>श्रुतिसंरोधजध्वानसंततिच्छेदतालताम् । जगाम झटिति त्यागस्वनस्तत्कर्णयोस्ततः ॥नैषधीयचरितम्२०.१११ ॥</v>
      </c>
      <c r="B4631" s="4" t="s">
        <v>2</v>
      </c>
      <c r="C4631" s="4"/>
    </row>
    <row r="4632" spans="1:3" ht="24" customHeight="1">
      <c r="A4632" s="4" t="str">
        <f ca="1">IFERROR(__xludf.DUMMYFUNCTION("""COMPUTED_VALUE"""),"सापसृत्य कियद्दूरं मुमुदे सिष्मिये ततः । इदं च तां सखीमेत्य ययाचे काकुभिः कला ॥नैषधीयचरितम्२०.११२ ॥ ")</f>
        <v xml:space="preserve">सापसृत्य कियद्दूरं मुमुदे सिष्मिये ततः । इदं च तां सखीमेत्य ययाचे काकुभिः कला ॥नैषधीयचरितम्२०.११२ ॥ </v>
      </c>
      <c r="B4632" s="4" t="s">
        <v>11</v>
      </c>
      <c r="C4632" s="4"/>
    </row>
    <row r="4633" spans="1:3" ht="24" customHeight="1">
      <c r="A4633" s="4" t="str">
        <f ca="1">IFERROR(__xludf.DUMMYFUNCTION("""COMPUTED_VALUE"""),"अभिधास्ये रहस्यं ते यदश्रावि मयानयोः । वर्णयाकर्णितं मह्यमेह्यालि विनिमीयताम् ॥नैषधीयचरितम्२०.११३ ॥")</f>
        <v>अभिधास्ये रहस्यं ते यदश्रावि मयानयोः । वर्णयाकर्णितं मह्यमेह्यालि विनिमीयताम् ॥नैषधीयचरितम्२०.११३ ॥</v>
      </c>
      <c r="B4633" s="4" t="s">
        <v>2</v>
      </c>
      <c r="C4633" s="4"/>
    </row>
    <row r="4634" spans="1:3" ht="24" customHeight="1">
      <c r="A4634" s="4" t="str">
        <f ca="1">IFERROR(__xludf.DUMMYFUNCTION("""COMPUTED_VALUE"""),"वयस्याभ्यर्थनेनास्याः प्राक्कूटश्रूतिनाटने । विस्मितौ कुरुतः स्मैतौ दम्पती कम्पितं शिरः ॥नैषधीयचरितम्२०.११४ ॥ ")</f>
        <v xml:space="preserve">वयस्याभ्यर्थनेनास्याः प्राक्कूटश्रूतिनाटने । विस्मितौ कुरुतः स्मैतौ दम्पती कम्पितं शिरः ॥नैषधीयचरितम्२०.११४ ॥ </v>
      </c>
      <c r="B4634" s="4" t="s">
        <v>0</v>
      </c>
      <c r="C4634" s="4"/>
    </row>
    <row r="4635" spans="1:3" ht="24" customHeight="1">
      <c r="A4635" s="4" t="str">
        <f ca="1">IFERROR(__xludf.DUMMYFUNCTION("""COMPUTED_VALUE"""),"तथालिमालपन्तीं तामभ्यधान्निषधाधिपः । आस्स्व तद्वञ्चितौ स्वश्चेन्मिथ्याशपथसाहसात् ॥नैषधीयचरितम्२०.११५ ॥ ")</f>
        <v xml:space="preserve">तथालिमालपन्तीं तामभ्यधान्निषधाधिपः । आस्स्व तद्वञ्चितौ स्वश्चेन्मिथ्याशपथसाहसात् ॥नैषधीयचरितम्२०.११५ ॥ </v>
      </c>
      <c r="B4635" s="4" t="s">
        <v>18</v>
      </c>
      <c r="C4635" s="4"/>
    </row>
    <row r="4636" spans="1:3" ht="24" customHeight="1">
      <c r="A4636" s="4" t="str">
        <f ca="1">IFERROR(__xludf.DUMMYFUNCTION("""COMPUTED_VALUE"""),"प्रत्यालापीत्कलापीमं कलङ्कः शङ्कितः कुतः । प्रियापरिजनोक्तस्य त्वयैवाद्य मृषोद्यता ॥नैषधीयचरितम्२०.११६ ॥ ")</f>
        <v xml:space="preserve">प्रत्यालापीत्कलापीमं कलङ्कः शङ्कितः कुतः । प्रियापरिजनोक्तस्य त्वयैवाद्य मृषोद्यता ॥नैषधीयचरितम्२०.११६ ॥ </v>
      </c>
      <c r="B4636" s="4" t="s">
        <v>2</v>
      </c>
      <c r="C4636" s="4"/>
    </row>
    <row r="4637" spans="1:3" ht="24" customHeight="1">
      <c r="A4637" s="4" t="str">
        <f ca="1">IFERROR(__xludf.DUMMYFUNCTION("""COMPUTED_VALUE"""),"सत्यं खलु तदाश्रौषां परं गुमुगुमारवम् । शृणोमीत्येव चावोचं नतु त्वद्वाचमित्यपि ॥नैषधीयचरितम्२०.११७ ॥")</f>
        <v>सत्यं खलु तदाश्रौषां परं गुमुगुमारवम् । शृणोमीत्येव चावोचं नतु त्वद्वाचमित्यपि ॥नैषधीयचरितम्२०.११७ ॥</v>
      </c>
      <c r="B4637" s="4" t="s">
        <v>9</v>
      </c>
      <c r="C4637" s="4"/>
    </row>
    <row r="4638" spans="1:3" ht="24" customHeight="1">
      <c r="A4638" s="4" t="str">
        <f ca="1">IFERROR(__xludf.DUMMYFUNCTION("""COMPUTED_VALUE"""),"आमन्त्र्य तेन देव त्वां तद्वैयर्थ्यं समर्थये । शपथः कर्कशोदर्कः सत्यं सत्योपि दैवतः ॥नैषधीयचरितम्२०.११८ ॥ ")</f>
        <v xml:space="preserve">आमन्त्र्य तेन देव त्वां तद्वैयर्थ्यं समर्थये । शपथः कर्कशोदर्कः सत्यं सत्योपि दैवतः ॥नैषधीयचरितम्२०.११८ ॥ </v>
      </c>
      <c r="B4638" s="4" t="s">
        <v>2</v>
      </c>
      <c r="C4638" s="4"/>
    </row>
    <row r="4639" spans="1:3" ht="24" customHeight="1">
      <c r="A4639" s="4" t="str">
        <f ca="1">IFERROR(__xludf.DUMMYFUNCTION("""COMPUTED_VALUE"""),"असंभोगकथारम्भैर्वञ्चयेथे कथं नु माम् । हन्त सेयमनर्हन्ती यन्न विप्रलभे युवाम् ॥नैषधीयचरितम्२०.११९ ॥")</f>
        <v>असंभोगकथारम्भैर्वञ्चयेथे कथं नु माम् । हन्त सेयमनर्हन्ती यन्न विप्रलभे युवाम् ॥नैषधीयचरितम्२०.११९ ॥</v>
      </c>
      <c r="B4639" s="4" t="s">
        <v>4</v>
      </c>
      <c r="C4639" s="4"/>
    </row>
    <row r="4640" spans="1:3" ht="24" customHeight="1">
      <c r="A4640" s="4" t="str">
        <f ca="1">IFERROR(__xludf.DUMMYFUNCTION("""COMPUTED_VALUE"""),"कर्णे कर्णे ततः सख्यौ श्रुतमाचख्यतुर्मिथः । मुहुर्विस्मयमाने च स्मयमाने च ते बहु ॥नैषधीयचरितम्२०.१२ ॥")</f>
        <v>कर्णे कर्णे ततः सख्यौ श्रुतमाचख्यतुर्मिथः । मुहुर्विस्मयमाने च स्मयमाने च ते बहु ॥नैषधीयचरितम्२०.१२ ॥</v>
      </c>
      <c r="B4640" s="4" t="s">
        <v>24</v>
      </c>
      <c r="C4640" s="4"/>
    </row>
    <row r="4641" spans="1:3" ht="24" customHeight="1">
      <c r="A4641" s="4" t="str">
        <f ca="1">IFERROR(__xludf.DUMMYFUNCTION("""COMPUTED_VALUE"""),"अथाख्यायि कलासख्या कुप्य मे दमयन्ति मा । कर्णाद्द्वितीयतोऽप्यस्याः संगोप्यैव यदब्रवम् ॥नैषधीयचरितम्२०.१२१ ॥ ")</f>
        <v xml:space="preserve">अथाख्यायि कलासख्या कुप्य मे दमयन्ति मा । कर्णाद्द्वितीयतोऽप्यस्याः संगोप्यैव यदब्रवम् ॥नैषधीयचरितम्२०.१२१ ॥ </v>
      </c>
      <c r="B4641" s="4" t="s">
        <v>4</v>
      </c>
      <c r="C4641" s="4"/>
    </row>
    <row r="4642" spans="1:3" ht="24" customHeight="1">
      <c r="A4642" s="4" t="str">
        <f ca="1">IFERROR(__xludf.DUMMYFUNCTION("""COMPUTED_VALUE"""),"प्रियः प्रियामथाचष्ट दृष्टं कपटपाटवम् । वयस्ययोरिदं तेऽस्मान्मा सखीष्वेव विश्वसीः ॥नैषधीयचरितम्२०.१२२ ॥")</f>
        <v>प्रियः प्रियामथाचष्ट दृष्टं कपटपाटवम् । वयस्ययोरिदं तेऽस्मान्मा सखीष्वेव विश्वसीः ॥नैषधीयचरितम्२०.१२२ ॥</v>
      </c>
      <c r="B4642" s="4" t="s">
        <v>18</v>
      </c>
      <c r="C4642" s="4"/>
    </row>
    <row r="4643" spans="1:3" ht="24" customHeight="1">
      <c r="A4643" s="4" t="str">
        <f ca="1">IFERROR(__xludf.DUMMYFUNCTION("""COMPUTED_VALUE"""),"आलापि कलयापीयं पतिर्नालपति क्वचित् । रहस्येऽसौ रहस्यं तत्सभ्ये विस्रभ्यमीदृशि ॥नैषधीयचरितम्२०.१२३ ॥")</f>
        <v>आलापि कलयापीयं पतिर्नालपति क्वचित् । रहस्येऽसौ रहस्यं तत्सभ्ये विस्रभ्यमीदृशि ॥नैषधीयचरितम्२०.१२३ ॥</v>
      </c>
      <c r="B4643" s="4" t="s">
        <v>8</v>
      </c>
      <c r="C4643" s="4"/>
    </row>
    <row r="4644" spans="1:3" ht="24" customHeight="1">
      <c r="A4644" s="4" t="str">
        <f ca="1">IFERROR(__xludf.DUMMYFUNCTION("""COMPUTED_VALUE"""),"इति व्युत्तिष्ठमानायां तस्यामूचे नलः प्रियाम् । भण भैमि बहिः कुर्वे दुर्विनीते गृहादमुम् ॥नैषधीयचरितम्२०.१२४ ॥")</f>
        <v>इति व्युत्तिष्ठमानायां तस्यामूचे नलः प्रियाम् । भण भैमि बहिः कुर्वे दुर्विनीते गृहादमुम् ॥नैषधीयचरितम्२०.१२४ ॥</v>
      </c>
      <c r="B4644" s="4" t="s">
        <v>12</v>
      </c>
      <c r="C4644" s="4"/>
    </row>
    <row r="4645" spans="1:3" ht="24" customHeight="1">
      <c r="A4645" s="4" t="str">
        <f ca="1">IFERROR(__xludf.DUMMYFUNCTION("""COMPUTED_VALUE"""),"शिरःकम्पानुमत्याथ सुदत्या प्रीणितः प्रियः । चुलुकं तुच्छमुत्सर्प्य सख्योः सलिलमक्षिपत् ॥नैषधीयचरितम्२०.१२५ ॥")</f>
        <v>शिरःकम्पानुमत्याथ सुदत्या प्रीणितः प्रियः । चुलुकं तुच्छमुत्सर्प्य सख्योः सलिलमक्षिपत् ॥नैषधीयचरितम्२०.१२५ ॥</v>
      </c>
      <c r="B4645" s="4" t="s">
        <v>9</v>
      </c>
      <c r="C4645" s="4"/>
    </row>
    <row r="4646" spans="1:3" ht="24" customHeight="1">
      <c r="A4646" s="4" t="str">
        <f ca="1">IFERROR(__xludf.DUMMYFUNCTION("""COMPUTED_VALUE"""),"तच्चित्रदत्ताचित्ताभ्यामुच्चैः सिचयसेचनम् । ताभ्यामलिम्भि दूरेऽपि नलेच्छापूरिभिर्जलैः ॥नैषधीयचरितम्२०.१२६ ॥ ")</f>
        <v xml:space="preserve">तच्चित्रदत्ताचित्ताभ्यामुच्चैः सिचयसेचनम् । ताभ्यामलिम्भि दूरेऽपि नलेच्छापूरिभिर्जलैः ॥नैषधीयचरितम्२०.१२६ ॥ </v>
      </c>
      <c r="B4646" s="4" t="s">
        <v>11</v>
      </c>
      <c r="C4646" s="4"/>
    </row>
    <row r="4647" spans="1:3" ht="24" customHeight="1">
      <c r="A4647" s="4" t="str">
        <f ca="1">IFERROR(__xludf.DUMMYFUNCTION("""COMPUTED_VALUE"""),"वरेण वरुणस्यायं सुलभैरम्भसां भरैः । एतयोः स्तिमितीचक्रे हृदयं विस्मयैरपि ॥नैषधीयचरितम्२०.१२७ ॥")</f>
        <v>वरेण वरुणस्यायं सुलभैरम्भसां भरैः । एतयोः स्तिमितीचक्रे हृदयं विस्मयैरपि ॥नैषधीयचरितम्२०.१२७ ॥</v>
      </c>
      <c r="B4647" s="4" t="s">
        <v>9</v>
      </c>
      <c r="C4647" s="4"/>
    </row>
    <row r="4648" spans="1:3" ht="24" customHeight="1">
      <c r="A4648" s="4" t="str">
        <f ca="1">IFERROR(__xludf.DUMMYFUNCTION("""COMPUTED_VALUE"""),"तेनापि नापसर्पन्त्यौ दमयन्तीमयं ततः । हर्षेणादर्शयत्पश्य नन्विमे तन्वि मे पुरः ॥नैषधीयचरितम्२०.१२८ ॥ ")</f>
        <v xml:space="preserve">तेनापि नापसर्पन्त्यौ दमयन्तीमयं ततः । हर्षेणादर्शयत्पश्य नन्विमे तन्वि मे पुरः ॥नैषधीयचरितम्२०.१२८ ॥ </v>
      </c>
      <c r="B4648" s="4" t="s">
        <v>0</v>
      </c>
      <c r="C4648" s="4"/>
    </row>
    <row r="4649" spans="1:3" ht="24" customHeight="1">
      <c r="A4649" s="4" t="str">
        <f ca="1">IFERROR(__xludf.DUMMYFUNCTION("""COMPUTED_VALUE"""),"क्लिन्नीकृत्याम्भसा वस्त्रं जैनप्रव्रजितीकृते । सख्यौ सक्षौमभावेऽपि निर्विघ्नस्तनदर्शने ॥नैषधीयचरितम्२०.१२९ ॥")</f>
        <v>क्लिन्नीकृत्याम्भसा वस्त्रं जैनप्रव्रजितीकृते । सख्यौ सक्षौमभावेऽपि निर्विघ्नस्तनदर्शने ॥नैषधीयचरितम्२०.१२९ ॥</v>
      </c>
      <c r="B4649" s="4" t="s">
        <v>1</v>
      </c>
      <c r="C4649" s="4"/>
    </row>
    <row r="4650" spans="1:3" ht="24" customHeight="1">
      <c r="A4650" s="4" t="str">
        <f ca="1">IFERROR(__xludf.DUMMYFUNCTION("""COMPUTED_VALUE"""),"अम्बुनः शम्बरत्वेन मायैवाविरभूदियम् । यत्पटावृतमप्यङ्गमनयोः कथयत्यदः ॥नैषधीयचरितम्२०.१३ ॥ ")</f>
        <v xml:space="preserve">अम्बुनः शम्बरत्वेन मायैवाविरभूदियम् । यत्पटावृतमप्यङ्गमनयोः कथयत्यदः ॥नैषधीयचरितम्२०.१३ ॥ </v>
      </c>
      <c r="B4650" s="4" t="s">
        <v>17</v>
      </c>
      <c r="C4650" s="4"/>
    </row>
    <row r="4651" spans="1:3" ht="24" customHeight="1">
      <c r="A4651" s="4" t="str">
        <f ca="1">IFERROR(__xludf.DUMMYFUNCTION("""COMPUTED_VALUE"""),"वाससो वाम्बरत्वेन दृश्यतेयमुपागमत् । चारुहारमणिश्रेणितारवीक्षणलक्षणा ॥नैषधीयचरितम्२०.१३१ ॥")</f>
        <v>वाससो वाम्बरत्वेन दृश्यतेयमुपागमत् । चारुहारमणिश्रेणितारवीक्षणलक्षणा ॥नैषधीयचरितम्२०.१३१ ॥</v>
      </c>
      <c r="B4651" s="4" t="s">
        <v>7</v>
      </c>
      <c r="C4651" s="4"/>
    </row>
    <row r="4652" spans="1:3" ht="24" customHeight="1">
      <c r="A4652" s="4" t="str">
        <f ca="1">IFERROR(__xludf.DUMMYFUNCTION("""COMPUTED_VALUE"""),"ते निरीक्ष्य निजावस्थां ह्रीणे निर्ययतुस्ततः । तयोर्वीक्षारसात्सख्यः सर्वां निश्चक्रमुः क्रमात् ॥नैषधीयचरितम्२०.१३२ ॥")</f>
        <v>ते निरीक्ष्य निजावस्थां ह्रीणे निर्ययतुस्ततः । तयोर्वीक्षारसात्सख्यः सर्वां निश्चक्रमुः क्रमात् ॥नैषधीयचरितम्२०.१३२ ॥</v>
      </c>
      <c r="B4652" s="4" t="s">
        <v>12</v>
      </c>
      <c r="C4652" s="4"/>
    </row>
    <row r="4653" spans="1:3" ht="24" customHeight="1">
      <c r="A4653" s="4" t="str">
        <f ca="1">IFERROR(__xludf.DUMMYFUNCTION("""COMPUTED_VALUE"""),"ता बहिर्भूय वैदर्भीमूचुर्नीतावधीतिनि । उपेक्ष्ये ते पुनः सख्यौ मर्मज्ञे नाधुनाप्यमू ॥नैषधीयचरितम्२०.१३३ ॥ ")</f>
        <v xml:space="preserve">ता बहिर्भूय वैदर्भीमूचुर्नीतावधीतिनि । उपेक्ष्ये ते पुनः सख्यौ मर्मज्ञे नाधुनाप्यमू ॥नैषधीयचरितम्२०.१३३ ॥ </v>
      </c>
      <c r="B4653" s="4" t="s">
        <v>12</v>
      </c>
      <c r="C4653" s="4"/>
    </row>
    <row r="4654" spans="1:3" ht="24" customHeight="1">
      <c r="A4654" s="4" t="str">
        <f ca="1">IFERROR(__xludf.DUMMYFUNCTION("""COMPUTED_VALUE"""),"उच्चैरूचेऽथ ता राजा सखीयमिदमाह वः । श्रुतं मर्म ममैताभ्यां दृष्टं तत्तु मयानयोः ॥नैषधीयचरितम्२०.१३४ ॥ ")</f>
        <v xml:space="preserve">उच्चैरूचेऽथ ता राजा सखीयमिदमाह वः । श्रुतं मर्म ममैताभ्यां दृष्टं तत्तु मयानयोः ॥नैषधीयचरितम्२०.१३४ ॥ </v>
      </c>
      <c r="B4654" s="4" t="s">
        <v>5</v>
      </c>
      <c r="C4654" s="4"/>
    </row>
    <row r="4655" spans="1:3" ht="24" customHeight="1">
      <c r="A4655" s="4" t="str">
        <f ca="1">IFERROR(__xludf.DUMMYFUNCTION("""COMPUTED_VALUE"""),"मद्विरोधितयोर्वाचि न श्रद्धातव्यमेतयोः । अभ्यषिञ्चदिमे मायामिथ्यासिंहासने विधिः ॥नैषधीयचरितम्२०.१३५ ॥")</f>
        <v>मद्विरोधितयोर्वाचि न श्रद्धातव्यमेतयोः । अभ्यषिञ्चदिमे मायामिथ्यासिंहासने विधिः ॥नैषधीयचरितम्२०.१३५ ॥</v>
      </c>
      <c r="B4655" s="4" t="s">
        <v>20</v>
      </c>
      <c r="C4655" s="4"/>
    </row>
    <row r="4656" spans="1:3" ht="24" customHeight="1">
      <c r="A4656" s="4" t="str">
        <f ca="1">IFERROR(__xludf.DUMMYFUNCTION("""COMPUTED_VALUE"""),"घौतेऽपि कीर्तिधाराभिश्चरिते चारुणि द्विषः । मृषामषीलवैर्लक्ष्म लेखितुं के न शिल्पिनः ॥नैषधीयचरितम्२०.१३६ ॥")</f>
        <v>घौतेऽपि कीर्तिधाराभिश्चरिते चारुणि द्विषः । मृषामषीलवैर्लक्ष्म लेखितुं के न शिल्पिनः ॥नैषधीयचरितम्२०.१३६ ॥</v>
      </c>
      <c r="B4656" s="4" t="s">
        <v>1</v>
      </c>
      <c r="C4656" s="4"/>
    </row>
    <row r="4657" spans="1:3" ht="24" customHeight="1">
      <c r="A4657" s="4" t="str">
        <f ca="1">IFERROR(__xludf.DUMMYFUNCTION("""COMPUTED_VALUE"""),"ते सख्यावाचचक्षाते न किंचिद् ब्रूवहे बहु । वक्ष्यावस्तत्परं यस्मै सर्वा निर्वासिता वयम् ॥नैषधीयचरितम्२०.१३७ ॥")</f>
        <v>ते सख्यावाचचक्षाते न किंचिद् ब्रूवहे बहु । वक्ष्यावस्तत्परं यस्मै सर्वा निर्वासिता वयम् ॥नैषधीयचरितम्२०.१३७ ॥</v>
      </c>
      <c r="B4657" s="4" t="s">
        <v>5</v>
      </c>
      <c r="C4657" s="4"/>
    </row>
    <row r="4658" spans="1:3" ht="24" customHeight="1">
      <c r="A4658" s="4" t="str">
        <f ca="1">IFERROR(__xludf.DUMMYFUNCTION("""COMPUTED_VALUE"""),"स्थापत्यैर्न स्म वित्तस्ते वर्षीयस्त्वचलत्करैः । कृतामपि तथावाचि करकम्पेन वारणाम् ॥नैषधीयचरितम्२०.१३८ ॥")</f>
        <v>स्थापत्यैर्न स्म वित्तस्ते वर्षीयस्त्वचलत्करैः । कृतामपि तथावाचि करकम्पेन वारणाम् ॥नैषधीयचरितम्२०.१३८ ॥</v>
      </c>
      <c r="B4658" s="4" t="s">
        <v>7</v>
      </c>
      <c r="C4658" s="4"/>
    </row>
    <row r="4659" spans="1:3" ht="24" customHeight="1">
      <c r="A4659" s="4" t="str">
        <f ca="1">IFERROR(__xludf.DUMMYFUNCTION("""COMPUTED_VALUE"""),"अपयातमितो धृष्टे धिग्वामश्लीलशीलताम् । इत्युक्ते चोक्तवन्तश्च व्यतिद्राते स्म ते भिया ॥नैषधीयचरितम्२०.१३९ ॥")</f>
        <v>अपयातमितो धृष्टे धिग्वामश्लीलशीलताम् । इत्युक्ते चोक्तवन्तश्च व्यतिद्राते स्म ते भिया ॥नैषधीयचरितम्२०.१३९ ॥</v>
      </c>
      <c r="B4659" s="4" t="s">
        <v>5</v>
      </c>
      <c r="C4659" s="4"/>
    </row>
    <row r="4660" spans="1:3" ht="24" customHeight="1">
      <c r="A4660" s="4" t="str">
        <f ca="1">IFERROR(__xludf.DUMMYFUNCTION("""COMPUTED_VALUE"""),"आह स्म तद्गिरा ह्रीणां प्रियां नतमुखीं नलः । ईदृग्भण्डसखी कापि निस्त्रपा न मनागपि ॥नैषधीयचरितम्२०.१४ ॥")</f>
        <v>आह स्म तद्गिरा ह्रीणां प्रियां नतमुखीं नलः । ईदृग्भण्डसखी कापि निस्त्रपा न मनागपि ॥नैषधीयचरितम्२०.१४ ॥</v>
      </c>
      <c r="B4660" s="4" t="s">
        <v>9</v>
      </c>
      <c r="C4660" s="4"/>
    </row>
    <row r="4661" spans="1:3" ht="24" customHeight="1">
      <c r="A4661" s="4" t="str">
        <f ca="1">IFERROR(__xludf.DUMMYFUNCTION("""COMPUTED_VALUE"""),"अहो नापत्रपाकं ते जातरूपमिदं मुखम् । नातितापार्जनेऽपि स्यादितो दुर्वर्णनिर्गमः ॥नैषधीयचरितम्२०.१४१ ॥")</f>
        <v>अहो नापत्रपाकं ते जातरूपमिदं मुखम् । नातितापार्जनेऽपि स्यादितो दुर्वर्णनिर्गमः ॥नैषधीयचरितम्२०.१४१ ॥</v>
      </c>
      <c r="B4661" s="4" t="s">
        <v>12</v>
      </c>
      <c r="C4661" s="4"/>
    </row>
    <row r="4662" spans="1:3" ht="24" customHeight="1">
      <c r="A4662" s="4" t="str">
        <f ca="1">IFERROR(__xludf.DUMMYFUNCTION("""COMPUTED_VALUE"""),"तामथैष हृदि न्यस्य ददौ तल्पतले तनुम् । निमिष्य च तदीयाङ्गसौकुमार्यमसिस्वदत् ॥नैषधीयचरितम्२०.१४२ ॥")</f>
        <v>तामथैष हृदि न्यस्य ददौ तल्पतले तनुम् । निमिष्य च तदीयाङ्गसौकुमार्यमसिस्वदत् ॥नैषधीयचरितम्२०.१४२ ॥</v>
      </c>
      <c r="B4662" s="4" t="s">
        <v>17</v>
      </c>
      <c r="C4662" s="4"/>
    </row>
    <row r="4663" spans="1:3" ht="24" customHeight="1">
      <c r="A4663" s="4" t="str">
        <f ca="1">IFERROR(__xludf.DUMMYFUNCTION("""COMPUTED_VALUE"""),"न्यस्य तस्याः कुचद्वन्द्वे मध्येनीवि निवेश्य च । स पाणेः सफलं चक्रे तत्करग्रहणश्रमम् ॥नैषधीयचरितम्२०.१४३ ॥")</f>
        <v>न्यस्य तस्याः कुचद्वन्द्वे मध्येनीवि निवेश्य च । स पाणेः सफलं चक्रे तत्करग्रहणश्रमम् ॥नैषधीयचरितम्२०.१४३ ॥</v>
      </c>
      <c r="B4663" s="4" t="s">
        <v>12</v>
      </c>
      <c r="C4663" s="4"/>
    </row>
    <row r="4664" spans="1:3" ht="24" customHeight="1">
      <c r="A4664" s="4" t="str">
        <f ca="1">IFERROR(__xludf.DUMMYFUNCTION("""COMPUTED_VALUE"""),"स्थापितामुपरि स्वस्य तां हृदा स मुदा वहन् । तदुद्वहनकर्तृत्वमाचष्ट स्पष्टमात्मनः ॥नैषधीयचरितम्२०.१४४ ॥")</f>
        <v>स्थापितामुपरि स्वस्य तां हृदा स मुदा वहन् । तदुद्वहनकर्तृत्वमाचष्ट स्पष्टमात्मनः ॥नैषधीयचरितम्२०.१४४ ॥</v>
      </c>
      <c r="B4664" s="4" t="s">
        <v>1</v>
      </c>
      <c r="C4664" s="4"/>
    </row>
    <row r="4665" spans="1:3" ht="24" customHeight="1">
      <c r="A4665" s="4" t="str">
        <f ca="1">IFERROR(__xludf.DUMMYFUNCTION("""COMPUTED_VALUE"""),"स्विद्यत्कराङ्गुलीलुप्तकस्तूरीलेपमुद्रया । पूत्कार्यपीडनौ चक्रे स सखीषु प्रियास्तनौ ॥नैषधीयचरितम्२०.१४५ ॥")</f>
        <v>स्विद्यत्कराङ्गुलीलुप्तकस्तूरीलेपमुद्रया । पूत्कार्यपीडनौ चक्रे स सखीषु प्रियास्तनौ ॥नैषधीयचरितम्२०.१४५ ॥</v>
      </c>
      <c r="B4665" s="4" t="s">
        <v>1</v>
      </c>
      <c r="C4665" s="4"/>
    </row>
    <row r="4666" spans="1:3" ht="24" customHeight="1">
      <c r="A4666" s="4" t="str">
        <f ca="1">IFERROR(__xludf.DUMMYFUNCTION("""COMPUTED_VALUE"""),"तत्कुचे नखमारोप्य चमत्कुर्वंस्तयेक्षितः । सोऽवादीत्तां हृदिस्थं ते किं मामभिनदेष न ॥नैषधीयचरितम्२०.१४६ ॥")</f>
        <v>तत्कुचे नखमारोप्य चमत्कुर्वंस्तयेक्षितः । सोऽवादीत्तां हृदिस्थं ते किं मामभिनदेष न ॥नैषधीयचरितम्२०.१४६ ॥</v>
      </c>
      <c r="B4666" s="4" t="s">
        <v>1</v>
      </c>
      <c r="C4666" s="4"/>
    </row>
    <row r="4667" spans="1:3" ht="24" customHeight="1">
      <c r="A4667" s="4" t="str">
        <f ca="1">IFERROR(__xludf.DUMMYFUNCTION("""COMPUTED_VALUE"""),"अहो अनौचितीयं ते हृदि शुद्धेऽप्यशुद्धवत् । अङ्कः खलैरिवाकल्पि नखैस्तीक्ष्णमुखैर्मम ॥नैषधीयचरितम्२०.१४७ ॥")</f>
        <v>अहो अनौचितीयं ते हृदि शुद्धेऽप्यशुद्धवत् । अङ्कः खलैरिवाकल्पि नखैस्तीक्ष्णमुखैर्मम ॥नैषधीयचरितम्२०.१४७ ॥</v>
      </c>
      <c r="B4667" s="4" t="s">
        <v>12</v>
      </c>
      <c r="C4667" s="4"/>
    </row>
    <row r="4668" spans="1:3" ht="24" customHeight="1">
      <c r="A4668" s="4" t="str">
        <f ca="1">IFERROR(__xludf.DUMMYFUNCTION("""COMPUTED_VALUE"""),"यच्चुम्बति नितम्बोरु यदालिङ्गति च स्तनौ । भुङ्क्ते गुणमयं तत्ते वासः शुभदशोचितम् ॥नैषधीयचरितम्२०.१४८ ॥")</f>
        <v>यच्चुम्बति नितम्बोरु यदालिङ्गति च स्तनौ । भुङ्क्ते गुणमयं तत्ते वासः शुभदशोचितम् ॥नैषधीयचरितम्२०.१४८ ॥</v>
      </c>
      <c r="B4668" s="4" t="s">
        <v>2</v>
      </c>
      <c r="C4668" s="4"/>
    </row>
    <row r="4669" spans="1:3" ht="24" customHeight="1">
      <c r="A4669" s="4" t="str">
        <f ca="1">IFERROR(__xludf.DUMMYFUNCTION("""COMPUTED_VALUE"""),"लीनचीनांशुकं स्वेदि दरालोक्यं विलोकयन् । तन्नितम्बं स निश्वस्य निनिन्द दिनदीर्घताम् ॥नैषधीयचरितम्२०.१४९ ॥")</f>
        <v>लीनचीनांशुकं स्वेदि दरालोक्यं विलोकयन् । तन्नितम्बं स निश्वस्य निनिन्द दिनदीर्घताम् ॥नैषधीयचरितम्२०.१४९ ॥</v>
      </c>
      <c r="B4669" s="4" t="s">
        <v>2</v>
      </c>
      <c r="C4669" s="4"/>
    </row>
    <row r="4670" spans="1:3" ht="24" customHeight="1">
      <c r="A4670" s="4" t="str">
        <f ca="1">IFERROR(__xludf.DUMMYFUNCTION("""COMPUTED_VALUE"""),"देशमेव ददंशासौ प्रियादन्तच्छदान्तिकम् । चकाराधरपानस्य तत्रैवालीकचापलम् ॥नैषधीयचरितम्२०.१५ ॥")</f>
        <v>देशमेव ददंशासौ प्रियादन्तच्छदान्तिकम् । चकाराधरपानस्य तत्रैवालीकचापलम् ॥नैषधीयचरितम्२०.१५ ॥</v>
      </c>
      <c r="B4670" s="4" t="s">
        <v>11</v>
      </c>
      <c r="C4670" s="4"/>
    </row>
    <row r="4671" spans="1:3" ht="24" customHeight="1">
      <c r="A4671" s="4" t="str">
        <f ca="1">IFERROR(__xludf.DUMMYFUNCTION("""COMPUTED_VALUE"""),"न क्षमे चपलापाङ्गि सोढुं स्मरशरव्यथाम् । तत्प्रसीद प्रसीदेति स तां प्रीतामकोपयत् ॥नैषधीयचरितम्२०.१५१ ॥")</f>
        <v>न क्षमे चपलापाङ्गि सोढुं स्मरशरव्यथाम् । तत्प्रसीद प्रसीदेति स तां प्रीतामकोपयत् ॥नैषधीयचरितम्२०.१५१ ॥</v>
      </c>
      <c r="B4671" s="4" t="s">
        <v>5</v>
      </c>
      <c r="C4671" s="4"/>
    </row>
    <row r="4672" spans="1:3" ht="24" customHeight="1">
      <c r="A4672" s="4" t="str">
        <f ca="1">IFERROR(__xludf.DUMMYFUNCTION("""COMPUTED_VALUE"""),"नेत्रे निषधनाथस्य प्रियाया वदनाम्बुजम् । ततः स्तनतटौ ताभ्यां जघनं घनमीयतुः ॥नैषधीयचरितम्२०.१५२ ॥")</f>
        <v>नेत्रे निषधनाथस्य प्रियाया वदनाम्बुजम् । ततः स्तनतटौ ताभ्यां जघनं घनमीयतुः ॥नैषधीयचरितम्२०.१५२ ॥</v>
      </c>
      <c r="B4672" s="4" t="s">
        <v>2</v>
      </c>
      <c r="C4672" s="4"/>
    </row>
    <row r="4673" spans="1:3" ht="24" customHeight="1">
      <c r="A4673" s="4" t="str">
        <f ca="1">IFERROR(__xludf.DUMMYFUNCTION("""COMPUTED_VALUE"""),"इत्यधीरतया तस्य हठवृत्तिविशङ्किनी । झटित्युत्थाय सोत्कण्ठमसावन्वसरत्सखीः ॥नैषधीयचरितम्२०.१५३ ॥")</f>
        <v>इत्यधीरतया तस्य हठवृत्तिविशङ्किनी । झटित्युत्थाय सोत्कण्ठमसावन्वसरत्सखीः ॥नैषधीयचरितम्२०.१५३ ॥</v>
      </c>
      <c r="B4673" s="4" t="s">
        <v>14</v>
      </c>
      <c r="C4673" s="4"/>
    </row>
    <row r="4674" spans="1:3" ht="24" customHeight="1">
      <c r="A4674" s="4" t="str">
        <f ca="1">IFERROR(__xludf.DUMMYFUNCTION("""COMPUTED_VALUE"""),"न्यवारीव यथाशक्ति स्पन्दं मन्दं वितन्वता । भैमीकुचनितम्बेन नलसंभोगलोभिना ॥नैषधीयचरितम्२०.१५४ ॥")</f>
        <v>न्यवारीव यथाशक्ति स्पन्दं मन्दं वितन्वता । भैमीकुचनितम्बेन नलसंभोगलोभिना ॥नैषधीयचरितम्२०.१५४ ॥</v>
      </c>
      <c r="B4674" s="4" t="s">
        <v>1</v>
      </c>
      <c r="C4674" s="4"/>
    </row>
    <row r="4675" spans="1:3" ht="24" customHeight="1">
      <c r="A4675" s="4" t="str">
        <f ca="1">IFERROR(__xludf.DUMMYFUNCTION("""COMPUTED_VALUE"""),"अपि श्रोणिभरस्वैरां धर्तुं तामशकन्न सः । तदङ्गसङ्गजस्तम्भो गजस्तम्भोरुदोरपि ॥नैषधीयचरितम्२०.१५५ ॥")</f>
        <v>अपि श्रोणिभरस्वैरां धर्तुं तामशकन्न सः । तदङ्गसङ्गजस्तम्भो गजस्तम्भोरुदोरपि ॥नैषधीयचरितम्२०.१५५ ॥</v>
      </c>
      <c r="B4675" s="4" t="s">
        <v>9</v>
      </c>
      <c r="C4675" s="4"/>
    </row>
    <row r="4676" spans="1:3" ht="24" customHeight="1">
      <c r="A4676" s="4" t="str">
        <f ca="1">IFERROR(__xludf.DUMMYFUNCTION("""COMPUTED_VALUE"""),"आलिङ्ग्यालिङ्ग्य तन्वङ्गि मामित्यर्धगिरं प्रियम् । स्मित्वा निवृत्य पश्यन्ती द्वारपारमगादसौ ॥नैषधीयचरितम्२०.१५६ ॥")</f>
        <v>आलिङ्ग्यालिङ्ग्य तन्वङ्गि मामित्यर्धगिरं प्रियम् । स्मित्वा निवृत्य पश्यन्ती द्वारपारमगादसौ ॥नैषधीयचरितम्२०.१५६ ॥</v>
      </c>
      <c r="B4676" s="4" t="s">
        <v>18</v>
      </c>
      <c r="C4676" s="4"/>
    </row>
    <row r="4677" spans="1:3" ht="24" customHeight="1">
      <c r="A4677" s="4" t="str">
        <f ca="1">IFERROR(__xludf.DUMMYFUNCTION("""COMPUTED_VALUE"""),"प्रियस्याप्रियमारभ्य तमन्तर्दूनयाऽनया । शेके शालीनयालीभ्यो न गन्तुं न निवर्तितुम् ॥नैषधीयचरितम्२०.१५७ ॥")</f>
        <v>प्रियस्याप्रियमारभ्य तमन्तर्दूनयाऽनया । शेके शालीनयालीभ्यो न गन्तुं न निवर्तितुम् ॥नैषधीयचरितम्२०.१५७ ॥</v>
      </c>
      <c r="B4677" s="4" t="s">
        <v>2</v>
      </c>
      <c r="C4677" s="4"/>
    </row>
    <row r="4678" spans="1:3" ht="24" customHeight="1">
      <c r="A4678" s="4" t="str">
        <f ca="1">IFERROR(__xludf.DUMMYFUNCTION("""COMPUTED_VALUE"""),"अचकथदथ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॥नैषधीयचरितम्२०.१५८ ॥")</f>
        <v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॥नैषधीयचरितम्२०.१५८ ॥</v>
      </c>
      <c r="B4678" s="4" t="s">
        <v>2</v>
      </c>
      <c r="C4678" s="4"/>
    </row>
    <row r="4679" spans="1:3" ht="24" customHeight="1">
      <c r="A4679" s="4" t="str">
        <f ca="1">IFERROR(__xludf.DUMMYFUNCTION("""COMPUTED_VALUE"""),"उपहृतमधिगङ्गमम्बु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॥नैषधीयचरितम्२०.१५९ ॥")</f>
        <v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॥नैषधीयचरितम्२०.१५९ ॥</v>
      </c>
      <c r="B4679" s="4" t="s">
        <v>6</v>
      </c>
      <c r="C4679" s="4"/>
    </row>
    <row r="4680" spans="1:3" ht="24" customHeight="1">
      <c r="A4680" s="4" t="str">
        <f ca="1">IFERROR(__xludf.DUMMYFUNCTION("""COMPUTED_VALUE"""),"तपति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॥नैषधीयचरितम्२०.१६ ॥")</f>
        <v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॥नैषधीयचरितम्२०.१६ ॥</v>
      </c>
      <c r="B4680" s="4" t="s">
        <v>5</v>
      </c>
      <c r="C4680" s="4"/>
    </row>
    <row r="4681" spans="1:3" ht="24" customHeight="1">
      <c r="A4681" s="4" t="str">
        <f ca="1">IFERROR(__xludf.DUMMYFUNCTION("""COMPUTED_VALUE"""),"आनन्दं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॥नैषधीयचरितम्२०.१६१ ॥")</f>
        <v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॥नैषधीयचरितम्२०.१६१ ॥</v>
      </c>
      <c r="B4681" s="4" t="s">
        <v>4</v>
      </c>
      <c r="C4681" s="4"/>
    </row>
    <row r="4682" spans="1:3" ht="24" customHeight="1">
      <c r="A4682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॥नैषधीयचरितम्२०.१६२ ॥")</f>
        <v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॥नैषधीयचरितम्२०.१६२ ॥</v>
      </c>
      <c r="B4682" s="4" t="s">
        <v>11</v>
      </c>
      <c r="C4682" s="4"/>
    </row>
    <row r="4683" spans="1:3" ht="24" customHeight="1">
      <c r="A4683" s="4" t="str">
        <f ca="1">IFERROR(__xludf.DUMMYFUNCTION("""COMPUTED_VALUE"""),"तं विदर्भरमणीमणिसौधादुज्जिहानमनुदर्शितसेवैः । अपर्णान्निजकरस्य नरेन्द्रैरात्मनः करदता पुनरूचे ॥नैषधीयचरितम्२१.१ ॥")</f>
        <v>तं विदर्भरमणीमणिसौधादुज्जिहानमनुदर्शितसेवैः । अपर्णान्निजकरस्य नरेन्द्रैरात्मनः करदता पुनरूचे ॥नैषधीयचरितम्२१.१ ॥</v>
      </c>
      <c r="B4683" s="4" t="s">
        <v>16</v>
      </c>
      <c r="C4683" s="4"/>
    </row>
    <row r="4684" spans="1:3" ht="24" customHeight="1">
      <c r="A4684" s="4" t="str">
        <f ca="1">IFERROR(__xludf.DUMMYFUNCTION("""COMPUTED_VALUE"""),"तस्य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॥नैषधीयचरितम्२१.२ ॥")</f>
        <v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॥नैषधीयचरितम्२१.२ ॥</v>
      </c>
      <c r="B4684" s="4" t="s">
        <v>2</v>
      </c>
      <c r="C4684" s="4"/>
    </row>
    <row r="4685" spans="1:3" ht="24" customHeight="1">
      <c r="A4685" s="4" t="str">
        <f ca="1">IFERROR(__xludf.DUMMYFUNCTION("""COMPUTED_VALUE"""),"द्रागुपाह्रियत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॥नैषधीयचरितम्२१.३ ॥")</f>
        <v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॥नैषधीयचरितम्२१.३ ॥</v>
      </c>
      <c r="B4685" s="4" t="s">
        <v>0</v>
      </c>
      <c r="C4685" s="4"/>
    </row>
    <row r="4686" spans="1:3" ht="24" customHeight="1">
      <c r="A4686" s="4" t="str">
        <f ca="1">IFERROR(__xludf.DUMMYFUNCTION("""COMPUTED_VALUE"""),"अङ्गुलीचलनलोचनभङ्गिभ्रूतरङ्गविनिवेदितदानम् । रत्नमन्यनृपढौकितमन्ये तत्प्रसादमलभन्त नृपास्तत् ॥नैषधीयचरितम्२१.४ ॥")</f>
        <v>अङ्गुलीचलनलोचनभङ्गिभ्रूतरङ्गविनिवेदितदानम् । रत्नमन्यनृपढौकितमन्ये तत्प्रसादमलभन्त नृपास्तत् ॥नैषधीयचरितम्२१.४ ॥</v>
      </c>
      <c r="B4686" s="4" t="s">
        <v>2</v>
      </c>
      <c r="C4686" s="4"/>
    </row>
    <row r="4687" spans="1:3" ht="24" customHeight="1">
      <c r="A4687" s="4" t="str">
        <f ca="1">IFERROR(__xludf.DUMMYFUNCTION("""COMPUTED_VALUE"""),"तानसौ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॥नैषधीयचरितम्२१.५ ॥")</f>
        <v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॥नैषधीयचरितम्२१.५ ॥</v>
      </c>
      <c r="B4687" s="4" t="s">
        <v>3</v>
      </c>
      <c r="C4687" s="4"/>
    </row>
    <row r="4688" spans="1:3" ht="24" customHeight="1">
      <c r="A4688" s="4" t="str">
        <f ca="1">IFERROR(__xludf.DUMMYFUNCTION("""COMPUTED_VALUE"""),"मर्त्यदुष्प्रचरमस्त्रविचारं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॥नैषधीयचरितम्२१.६ ॥")</f>
        <v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॥नैषधीयचरितम्२१.६ ॥</v>
      </c>
      <c r="B4688" s="4" t="s">
        <v>21</v>
      </c>
      <c r="C4688" s="4"/>
    </row>
    <row r="4689" spans="1:3" ht="24" customHeight="1">
      <c r="A4689" s="4" t="str">
        <f ca="1">IFERROR(__xludf.DUMMYFUNCTION("""COMPUTED_VALUE"""),"यक्षकर्दममृदून्मृदिताङ्गं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॥नैषधीयचरितम्२१.७ ॥")</f>
        <v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॥नैषधीयचरितम्२१.७ ॥</v>
      </c>
      <c r="B4689" s="4" t="s">
        <v>2</v>
      </c>
      <c r="C4689" s="4"/>
    </row>
    <row r="4690" spans="1:3" ht="24" customHeight="1">
      <c r="A4690" s="4" t="str">
        <f ca="1">IFERROR(__xludf.DUMMYFUNCTION("""COMPUTED_VALUE"""),"भृभृतं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॥नैषधीयचरितम्२१.८ ॥")</f>
        <v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॥नैषधीयचरितम्२१.८ ॥</v>
      </c>
      <c r="B4690" s="4" t="s">
        <v>23</v>
      </c>
      <c r="C4690" s="4"/>
    </row>
    <row r="4691" spans="1:3" ht="24" customHeight="1">
      <c r="A4691" s="4" t="str">
        <f ca="1">IFERROR(__xludf.DUMMYFUNCTION("""COMPUTED_VALUE"""),"प्रेयसीकुचवियोगहविर्भुग्जन्मधूमविततीरिव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॥नैषधीयचरितम्२१.९ ॥")</f>
        <v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॥नैषधीयचरितम्२१.९ ॥</v>
      </c>
      <c r="B4691" s="4" t="s">
        <v>3</v>
      </c>
      <c r="C4691" s="4"/>
    </row>
    <row r="4692" spans="1:3" ht="24" customHeight="1">
      <c r="A4692" s="4" t="str">
        <f ca="1">IFERROR(__xludf.DUMMYFUNCTION("""COMPUTED_VALUE"""),"कल्प्यमानममुनाचमनाअर्थं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॥नैषधीयचरितम्२१.१ ॥")</f>
        <v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॥नैषधीयचरितम्२१.१ ॥</v>
      </c>
      <c r="B4692" s="4" t="s">
        <v>1</v>
      </c>
      <c r="C4692" s="4"/>
    </row>
    <row r="4693" spans="1:3" ht="24" customHeight="1">
      <c r="A4693" s="4" t="str">
        <f ca="1">IFERROR(__xludf.DUMMYFUNCTION("""COMPUTED_VALUE"""),"मुक्तमाप्य दमनस्य भगिन्या भूमिरात्मदयितं धृतरागा । अङ्गमङ्गमनुकं परिरेभे तं मृदो जलमृदूर्गृहयालुम् ॥नैषधीयचरितम्२१.११ ॥")</f>
        <v>मुक्तमाप्य दमनस्य भगिन्या भूमिरात्मदयितं धृतरागा । अङ्गमङ्गमनुकं परिरेभे तं मृदो जलमृदूर्गृहयालुम् ॥नैषधीयचरितम्२१.११ ॥</v>
      </c>
      <c r="B4693" s="4" t="s">
        <v>11</v>
      </c>
      <c r="C4693" s="4"/>
    </row>
    <row r="4694" spans="1:3" ht="24" customHeight="1">
      <c r="A4694" s="4" t="str">
        <f ca="1">IFERROR(__xludf.DUMMYFUNCTION("""COMPUTED_VALUE"""),"मूलमध्यशिखरस्थितवेधःशौरिशंभुकरकाङ्घ्रिशिरःस्थैः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॥नैषधीयचरितम्२१.१२ ॥")</f>
        <v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॥नैषधीयचरितम्२१.१२ ॥</v>
      </c>
      <c r="B4694" s="4" t="s">
        <v>15</v>
      </c>
      <c r="C4694" s="4"/>
    </row>
    <row r="4695" spans="1:3" ht="24" customHeight="1">
      <c r="A4695" s="4" t="str">
        <f ca="1">IFERROR(__xludf.DUMMYFUNCTION("""COMPUTED_VALUE"""),"प्राणमायतवतो जलमध्ये मञ्जिमानमभजन्मुखमस्य । आपगापरिवृढोदरपूरे पूर्वकालमुषितस्य सितांशोः ॥नैषधीयचरितम्२१.१३ ॥")</f>
        <v>प्राणमायतवतो जलमध्ये मञ्जिमानमभजन्मुखमस्य । आपगापरिवृढोदरपूरे पूर्वकालमुषितस्य सितांशोः ॥नैषधीयचरितम्२१.१३ ॥</v>
      </c>
      <c r="B4695" s="4" t="s">
        <v>8</v>
      </c>
      <c r="C4695" s="4"/>
    </row>
    <row r="4696" spans="1:3" ht="24" customHeight="1">
      <c r="A4696" s="4" t="str">
        <f ca="1">IFERROR(__xludf.DUMMYFUNCTION("""COMPUTED_VALUE"""),"मर्त्यलोकमदनः सदशत्वं बिभ्रदभ्रविशदद्युतितारम् । अम्बरं परिदधे विधुमौलेः स्पर्धयेव दशदिग्वसनस्य ॥नैषधीयचरितम्२१.१४ ॥")</f>
        <v>मर्त्यलोकमदनः सदशत्वं बिभ्रदभ्रविशदद्युतितारम् । अम्बरं परिदधे विधुमौलेः स्पर्धयेव दशदिग्वसनस्य ॥नैषधीयचरितम्२१.१४ ॥</v>
      </c>
      <c r="B4696" s="4" t="s">
        <v>5</v>
      </c>
      <c r="C4696" s="4"/>
    </row>
    <row r="4697" spans="1:3" ht="24" customHeight="1">
      <c r="A4697" s="4" t="str">
        <f ca="1">IFERROR(__xludf.DUMMYFUNCTION("""COMPUTED_VALUE"""),"भीमजामनु चलत्प्रतिवेलं संयियंसुरिव राजऋषीन्द्रः । आववार हृदयं न समन्तादुत्तरीयपरिवेषमिषेण ॥नैषधीयचरितम्२१.१५ ॥")</f>
        <v>भीमजामनु चलत्प्रतिवेलं संयियंसुरिव राजऋषीन्द्रः । आववार हृदयं न समन्तादुत्तरीयपरिवेषमिषेण ॥नैषधीयचरितम्२१.१५ ॥</v>
      </c>
      <c r="B4697" s="4" t="s">
        <v>7</v>
      </c>
      <c r="C4697" s="4"/>
    </row>
    <row r="4698" spans="1:3" ht="24" customHeight="1">
      <c r="A4698" s="4" t="str">
        <f ca="1">IFERROR(__xludf.DUMMYFUNCTION("""COMPUTED_VALUE"""),"स्नानवारिघटराजदुरोजा गौरमृत्तिलकबिन्दुमुखेन्दुः । केशशेषजलमौक्तिकदन्ता तं बभाज सुभगाप्लवनश्रीः ॥नैषधीयचरितम्२१.१६ ॥")</f>
        <v>स्नानवारिघटराजदुरोजा गौरमृत्तिलकबिन्दुमुखेन्दुः । केशशेषजलमौक्तिकदन्ता तं बभाज सुभगाप्लवनश्रीः ॥नैषधीयचरितम्२१.१६ ॥</v>
      </c>
      <c r="B4698" s="4" t="s">
        <v>0</v>
      </c>
      <c r="C4698" s="4"/>
    </row>
    <row r="4699" spans="1:3" ht="24" customHeight="1">
      <c r="A4699" s="4" t="str">
        <f ca="1">IFERROR(__xludf.DUMMYFUNCTION("""COMPUTED_VALUE"""),"श्वैत्यशैत्यजलदैवतमन्त्रस्वादुताप्रमुदितां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॥नैषधीयचरितम्२१.१७ ॥")</f>
        <v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॥नैषधीयचरितम्२१.१७ ॥</v>
      </c>
      <c r="B4699" s="4" t="s">
        <v>18</v>
      </c>
      <c r="C4699" s="4"/>
    </row>
    <row r="4700" spans="1:3" ht="24" customHeight="1">
      <c r="A4700" s="4" t="str">
        <f ca="1">IFERROR(__xludf.DUMMYFUNCTION("""COMPUTED_VALUE"""),"राज्ञि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॥नैषधीयचरितम्२१.१८ ॥")</f>
        <v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॥नैषधीयचरितम्२१.१८ ॥</v>
      </c>
      <c r="B4700" s="4" t="s">
        <v>19</v>
      </c>
      <c r="C4700" s="4"/>
    </row>
    <row r="4701" spans="1:3" ht="24" customHeight="1">
      <c r="A4701" s="4" t="str">
        <f ca="1">IFERROR(__xludf.DUMMYFUNCTION("""COMPUTED_VALUE"""),"सम्यगस्य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॥नैषधीयचरितम्२१.१९ ॥")</f>
        <v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॥नैषधीयचरितम्२१.१९ ॥</v>
      </c>
      <c r="B4701" s="4" t="s">
        <v>3</v>
      </c>
      <c r="C4701" s="4"/>
    </row>
    <row r="4702" spans="1:3" ht="24" customHeight="1">
      <c r="A4702" s="4" t="str">
        <f ca="1">IFERROR(__xludf.DUMMYFUNCTION("""COMPUTED_VALUE"""),"पाणिपर्वणि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॥नैषधीयचरितम्२१.२ ॥")</f>
        <v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॥नैषधीयचरितम्२१.२ ॥</v>
      </c>
      <c r="B4702" s="4" t="s">
        <v>6</v>
      </c>
      <c r="C4702" s="4"/>
    </row>
    <row r="4703" spans="1:3" ht="24" customHeight="1">
      <c r="A4703" s="4" t="str">
        <f ca="1">IFERROR(__xludf.DUMMYFUNCTION("""COMPUTED_VALUE"""),"पूतपाणिचरणः शुचिनोच्चैरध्वनानितरपादहतेन । ब्रह्मचारिपरिचारि सुरार्चा वेश्म राजऋषिरेष विवेश ॥नैषधीयचरितम्२१.२१ ॥")</f>
        <v>पूतपाणिचरणः शुचिनोच्चैरध्वनानितरपादहतेन । ब्रह्मचारिपरिचारि सुरार्चा वेश्म राजऋषिरेष विवेश ॥नैषधीयचरितम्२१.२१ ॥</v>
      </c>
      <c r="B4703" s="4" t="s">
        <v>8</v>
      </c>
      <c r="C4703" s="4"/>
    </row>
    <row r="4704" spans="1:3" ht="24" customHeight="1">
      <c r="A4704" s="4" t="str">
        <f ca="1">IFERROR(__xludf.DUMMYFUNCTION("""COMPUTED_VALUE"""),"क्वापि यन्नभसि धूपजधूमैर्मेचकागुरुभवैर्भ्रमराणाम् । भूयते स्म सुमनःसुमनःस्रग्दामधामपटले पटलेन ॥नैषधीयचरितम्२१.२२ ॥")</f>
        <v>क्वापि यन्नभसि धूपजधूमैर्मेचकागुरुभवैर्भ्रमराणाम् । भूयते स्म सुमनःसुमनःस्रग्दामधामपटले पटलेन ॥नैषधीयचरितम्२१.२२ ॥</v>
      </c>
      <c r="B4704" s="4" t="s">
        <v>1</v>
      </c>
      <c r="C4704" s="4"/>
    </row>
    <row r="4705" spans="1:3" ht="24" customHeight="1">
      <c r="A4705" s="4" t="str">
        <f ca="1">IFERROR(__xludf.DUMMYFUNCTION("""COMPUTED_VALUE"""),"साङ्कुरेव रुचिपीततमा यैर्यैः पुरास्ति रजनी रजनीव । ते धृआ वितरितुं त्रिदशेभ्यो यत्र हेमतिलका इव दीपाः ॥नैषधीयचरितम्२१.२३ ॥")</f>
        <v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॥नैषधीयचरितम्२१.२३ ॥</v>
      </c>
      <c r="B4705" s="4" t="s">
        <v>9</v>
      </c>
      <c r="C4705" s="4"/>
    </row>
    <row r="4706" spans="1:3" ht="24" customHeight="1">
      <c r="A4706" s="4" t="str">
        <f ca="1">IFERROR(__xludf.DUMMYFUNCTION("""COMPUTED_VALUE"""),"यत्र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॥नैषधीयचरितम्२१.२४ ॥")</f>
        <v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॥नैषधीयचरितम्२१.२४ ॥</v>
      </c>
      <c r="B4706" s="4" t="s">
        <v>5</v>
      </c>
      <c r="C4706" s="4"/>
    </row>
    <row r="4707" spans="1:3" ht="24" customHeight="1">
      <c r="A4707" s="4" t="str">
        <f ca="1">IFERROR(__xludf.DUMMYFUNCTION("""COMPUTED_VALUE"""),"अङ्कचुम्बिधनचन्दनपङ्कं यत्र गारुडशिलाजममत्रम् । प्राप केलिकवलीभवदिन्दोः सिंहिकासुतमुखस्य सुखानि ॥नैषधीयचरितम्२१.२५ ॥")</f>
        <v>अङ्कचुम्बिधनचन्दनपङ्कं यत्र गारुडशिलाजममत्रम् । प्राप केलिकवलीभवदिन्दोः सिंहिकासुतमुखस्य सुखानि ॥नैषधीयचरितम्२१.२५ ॥</v>
      </c>
      <c r="B4707" s="4" t="s">
        <v>1</v>
      </c>
      <c r="C4707" s="4"/>
    </row>
    <row r="4708" spans="1:3" ht="24" customHeight="1">
      <c r="A4708" s="4" t="str">
        <f ca="1">IFERROR(__xludf.DUMMYFUNCTION("""COMPUTED_VALUE"""),"गर्भमैणमदकर्दमसान्द्रं भाजनानि रजतस्य भजन्ति । यत्र साम्यमगमन्नमृतांशोरङ्करङ्कुकलुषीकृतकुक्षेः ॥नैषधीयचरितम्२१.२६ ॥")</f>
        <v>गर्भमैणमदकर्दमसान्द्रं भाजनानि रजतस्य भजन्ति । यत्र साम्यमगमन्नमृतांशोरङ्करङ्कुकलुषीकृतकुक्षेः ॥नैषधीयचरितम्२१.२६ ॥</v>
      </c>
      <c r="B4708" s="4" t="s">
        <v>13</v>
      </c>
      <c r="C4708" s="4"/>
    </row>
    <row r="4709" spans="1:3" ht="24" customHeight="1">
      <c r="A4709" s="4" t="str">
        <f ca="1">IFERROR(__xludf.DUMMYFUNCTION("""COMPUTED_VALUE"""),"उज्जिहानसुकृताङ्कुरशङ्का यत्र धर्मगहने खलु तेने । भूरिशर्करकरम्भबलीनामालिभिः सुगतसौधसखानाम् ॥नैषधीयचरितम्२१.२७ ॥")</f>
        <v>उज्जिहानसुकृताङ्कुरशङ्का यत्र धर्मगहने खलु तेने । भूरिशर्करकरम्भबलीनामालिभिः सुगतसौधसखानाम् ॥नैषधीयचरितम्२१.२७ ॥</v>
      </c>
      <c r="B4709" s="4" t="s">
        <v>1</v>
      </c>
      <c r="C4709" s="4"/>
    </row>
    <row r="4710" spans="1:3" ht="24" customHeight="1">
      <c r="A4710" s="4" t="str">
        <f ca="1">IFERROR(__xludf.DUMMYFUNCTION("""COMPUTED_VALUE"""),"स्खर्वमाख्यदमरौघनिवासं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॥नैषधीयचरितम्२१.२८ ॥")</f>
        <v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॥नैषधीयचरितम्२१.२८ ॥</v>
      </c>
      <c r="B4710" s="4" t="s">
        <v>16</v>
      </c>
      <c r="C4710" s="4"/>
    </row>
    <row r="4711" spans="1:3" ht="24" customHeight="1">
      <c r="A4711" s="4" t="str">
        <f ca="1">IFERROR(__xludf.DUMMYFUNCTION("""COMPUTED_VALUE"""),"स्वात्मनः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॥नैषधीयचरितम्२१.२९ ॥")</f>
        <v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॥नैषधीयचरितम्२१.२९ ॥</v>
      </c>
      <c r="B4711" s="4" t="s">
        <v>0</v>
      </c>
      <c r="C4711" s="4"/>
    </row>
    <row r="4712" spans="1:3" ht="24" customHeight="1">
      <c r="A4712" s="4" t="str">
        <f ca="1">IFERROR(__xludf.DUMMYFUNCTION("""COMPUTED_VALUE"""),"यत्र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॥नैषधीयचरितम्२१.३ ॥ ")</f>
        <v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॥नैषधीयचरितम्२१.३ ॥ </v>
      </c>
      <c r="B4712" s="4" t="s">
        <v>1</v>
      </c>
      <c r="C4712" s="4"/>
    </row>
    <row r="4713" spans="1:3" ht="24" customHeight="1">
      <c r="A4713" s="4" t="str">
        <f ca="1">IFERROR(__xludf.DUMMYFUNCTION("""COMPUTED_VALUE"""),"नैकवर्णमणिभूषणपूर्णे स क्षितीन्दुरनवद्यनिवेद्ये । अध्यतिष्ठदमलं मणिपीठं तत्र चित्रसिचयोच्चयचारौ ॥नैषधीयचरितम्२१.३१ ॥")</f>
        <v>नैकवर्णमणिभूषणपूर्णे स क्षितीन्दुरनवद्यनिवेद्ये । अध्यतिष्ठदमलं मणिपीठं तत्र चित्रसिचयोच्चयचारौ ॥नैषधीयचरितम्२१.३१ ॥</v>
      </c>
      <c r="B4713" s="4" t="s">
        <v>0</v>
      </c>
      <c r="C4713" s="4"/>
    </row>
    <row r="4714" spans="1:3" ht="24" customHeight="1">
      <c r="A4714" s="4" t="str">
        <f ca="1">IFERROR(__xludf.DUMMYFUNCTION("""COMPUTED_VALUE"""),"सम्यगर्चति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॥नैषधीयचरितम्२१.३२ ॥")</f>
        <v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॥नैषधीयचरितम्२१.३२ ॥</v>
      </c>
      <c r="B4714" s="4" t="s">
        <v>13</v>
      </c>
      <c r="C4714" s="4"/>
    </row>
    <row r="4715" spans="1:3" ht="24" customHeight="1">
      <c r="A4715" s="4" t="str">
        <f ca="1">IFERROR(__xludf.DUMMYFUNCTION("""COMPUTED_VALUE"""),"तत्तदर्यमरहस्यजपेषु स्रङ्नयः शयममुष्य बभाज । रक्तिमानमिव शिक्षितुमुच्चै रक्तचन्दनजबीजसमाजः ॥नैषधीयचरितम्२१.३३ ॥")</f>
        <v>तत्तदर्यमरहस्यजपेषु स्रङ्नयः शयममुष्य बभाज । रक्तिमानमिव शिक्षितुमुच्चै रक्तचन्दनजबीजसमाजः ॥नैषधीयचरितम्२१.३३ ॥</v>
      </c>
      <c r="B4715" s="4" t="s">
        <v>3</v>
      </c>
      <c r="C4715" s="4"/>
    </row>
    <row r="4716" spans="1:3" ht="24" customHeight="1">
      <c r="A4716" s="4" t="str">
        <f ca="1">IFERROR(__xludf.DUMMYFUNCTION("""COMPUTED_VALUE"""),"हेमनामकतरुप्रसवेन त्र्यम्बकस्तदुपकल्पितपूजः । आत्तया युधि विजित्य रतीशं राजितः कुसुमकाहलयेव ॥नैषधीयचरितम्२१.३४ ॥")</f>
        <v>हेमनामकतरुप्रसवेन त्र्यम्बकस्तदुपकल्पितपूजः । आत्तया युधि विजित्य रतीशं राजितः कुसुमकाहलयेव ॥नैषधीयचरितम्२१.३४ ॥</v>
      </c>
      <c r="B4716" s="4" t="s">
        <v>4</v>
      </c>
      <c r="C4716" s="4"/>
    </row>
    <row r="4717" spans="1:3" ht="24" customHeight="1">
      <c r="A4717" s="4" t="str">
        <f ca="1">IFERROR(__xludf.DUMMYFUNCTION("""COMPUTED_VALUE"""),"अर्चयन्हरकरं स्मितभाजा नागकेसरतरोः प्रसवेन । सोयमापयदतिर्यगवाग्दिक्पालपाण्डुरकपालविभूषाम् ॥नैषधीयचरितम्२१.३५ ॥")</f>
        <v>अर्चयन्हरकरं स्मितभाजा नागकेसरतरोः प्रसवेन । सोयमापयदतिर्यगवाग्दिक्पालपाण्डुरकपालविभूषाम् ॥नैषधीयचरितम्२१.३५ ॥</v>
      </c>
      <c r="B4717" s="4" t="s">
        <v>13</v>
      </c>
      <c r="C4717" s="4"/>
    </row>
    <row r="4718" spans="1:3" ht="24" customHeight="1">
      <c r="A4718" s="4" t="str">
        <f ca="1">IFERROR(__xludf.DUMMYFUNCTION("""COMPUTED_VALUE"""),"नीलनीररुहमाल्यमयीं स न्यस्य तस्य गलनालविभूषाम् ।स्फाटिकीमपि तनुं निरमासीन्नीलकण्ठपदसान्वयतायै ॥नैषधीयचरितम्२१.३६ ॥ ")</f>
        <v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॥नैषधीयचरितम्२१.३६ ॥ </v>
      </c>
      <c r="B4718" s="4" t="s">
        <v>5</v>
      </c>
      <c r="C4718" s="4"/>
    </row>
    <row r="4719" spans="1:3" ht="24" customHeight="1">
      <c r="A4719" s="4" t="str">
        <f ca="1">IFERROR(__xludf.DUMMYFUNCTION("""COMPUTED_VALUE"""),"प्रीतिमेष्यति कृतेन ममेदृक्कर्मणा पुररिपुर्मदनारिः । तत्पुरः पुरमतोयमधाक्षीद्धूपरूपमथ कामशरं च ॥नैषधीयचरितम्२१.३७ ॥")</f>
        <v>प्रीतिमेष्यति कृतेन ममेदृक्कर्मणा पुररिपुर्मदनारिः । तत्पुरः पुरमतोयमधाक्षीद्धूपरूपमथ कामशरं च ॥नैषधीयचरितम्२१.३७ ॥</v>
      </c>
      <c r="B4719" s="4" t="s">
        <v>16</v>
      </c>
      <c r="C4719" s="4"/>
    </row>
    <row r="4720" spans="1:3" ht="24" customHeight="1">
      <c r="A4720" s="4" t="str">
        <f ca="1">IFERROR(__xludf.DUMMYFUNCTION("""COMPUTED_VALUE"""),"तन्मुहूर्तमपि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॥नैषधीयचरितम्२१.३८ ॥")</f>
        <v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॥नैषधीयचरितम्२१.३८ ॥</v>
      </c>
      <c r="B4720" s="4" t="s">
        <v>0</v>
      </c>
      <c r="C4720" s="4"/>
    </row>
    <row r="4721" spans="1:3" ht="24" customHeight="1">
      <c r="A4721" s="4" t="str">
        <f ca="1">IFERROR(__xludf.DUMMYFUNCTION("""COMPUTED_VALUE"""),"दण्डवद्भुवि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॥नैषधीयचरितम्२१.३९ ॥")</f>
        <v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॥नैषधीयचरितम्२१.३९ ॥</v>
      </c>
      <c r="B4721" s="4" t="s">
        <v>1</v>
      </c>
      <c r="C4721" s="4"/>
    </row>
    <row r="4722" spans="1:3" ht="24" customHeight="1">
      <c r="A4722" s="4" t="str">
        <f ca="1">IFERROR(__xludf.DUMMYFUNCTION("""COMPUTED_VALUE"""),"त्र्यम्बकस्य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॥नैषधीयचरितम्२१.४ ॥")</f>
        <v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॥नैषधीयचरितम्२१.४ ॥</v>
      </c>
      <c r="B4722" s="4" t="s">
        <v>12</v>
      </c>
      <c r="C4722" s="4"/>
    </row>
    <row r="4723" spans="1:3" ht="24" customHeight="1">
      <c r="A4723" s="4" t="str">
        <f ca="1">IFERROR(__xludf.DUMMYFUNCTION("""COMPUTED_VALUE"""),"व्यापृतस्य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॥नैषधीयचरितम्२१.४१ ॥")</f>
        <v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॥नैषधीयचरितम्२१.४१ ॥</v>
      </c>
      <c r="B4723" s="4" t="s">
        <v>5</v>
      </c>
      <c r="C4723" s="4"/>
    </row>
    <row r="4724" spans="1:3" ht="24" customHeight="1">
      <c r="A4724" s="4" t="str">
        <f ca="1">IFERROR(__xludf.DUMMYFUNCTION("""COMPUTED_VALUE"""),"उत्तमं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॥नैषधीयचरितम्२१.४२ ॥")</f>
        <v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॥नैषधीयचरितम्२१.४२ ॥</v>
      </c>
      <c r="B4724" s="4" t="s">
        <v>17</v>
      </c>
      <c r="C4724" s="4"/>
    </row>
    <row r="4725" spans="1:3" ht="24" customHeight="1">
      <c r="A4725" s="4" t="str">
        <f ca="1">IFERROR(__xludf.DUMMYFUNCTION("""COMPUTED_VALUE"""),"मल्लिकाकुसुमदुण्डुभकेन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॥नैषधीयचरितम्२१.४३ ॥")</f>
        <v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॥नैषधीयचरितम्२१.४३ ॥</v>
      </c>
      <c r="B4725" s="4" t="s">
        <v>3</v>
      </c>
      <c r="C4725" s="4"/>
    </row>
    <row r="4726" spans="1:3" ht="24" customHeight="1">
      <c r="A4726" s="4" t="str">
        <f ca="1">IFERROR(__xludf.DUMMYFUNCTION("""COMPUTED_VALUE"""),"मेचकोत्पलमयी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॥नैषधीयचरितम्२१.४४ ॥")</f>
        <v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॥नैषधीयचरितम्२१.४४ ॥</v>
      </c>
      <c r="B4726" s="4" t="s">
        <v>23</v>
      </c>
      <c r="C4726" s="4"/>
    </row>
    <row r="4727" spans="1:3" ht="24" customHeight="1">
      <c r="A4727" s="4" t="str">
        <f ca="1">IFERROR(__xludf.DUMMYFUNCTION("""COMPUTED_VALUE"""),"स्वर्णकेतकशतानि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॥नैषधीयचरितम्२१.४५ ॥")</f>
        <v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॥नैषधीयचरितम्२१.४५ ॥</v>
      </c>
      <c r="B4727" s="4" t="s">
        <v>13</v>
      </c>
      <c r="C4727" s="4"/>
    </row>
    <row r="4728" spans="1:3" ht="24" customHeight="1">
      <c r="A4728" s="4" t="str">
        <f ca="1">IFERROR(__xludf.DUMMYFUNCTION("""COMPUTED_VALUE"""),"नाल्पभक्तबलिरन्ननिवेद्यैस्तस्य हारिणमदेन स कृष्णः । शङ्खचक्रजलजातवदर्चः शङ्खचक्रजलपूजनयाभूत् ॥नैषधीयचरितम्२१.४६ ॥")</f>
        <v>नाल्पभक्तबलिरन्ननिवेद्यैस्तस्य हारिणमदेन स कृष्णः । शङ्खचक्रजलजातवदर्चः शङ्खचक्रजलपूजनयाभूत् ॥नैषधीयचरितम्२१.४६ ॥</v>
      </c>
      <c r="B4728" s="4" t="s">
        <v>6</v>
      </c>
      <c r="C4728" s="4"/>
    </row>
    <row r="4729" spans="1:3" ht="24" customHeight="1">
      <c r="A4729" s="4" t="str">
        <f ca="1">IFERROR(__xludf.DUMMYFUNCTION("""COMPUTED_VALUE"""),"राज्ञि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॥नैषधीयचरितम्२१.४७ ॥")</f>
        <v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॥नैषधीयचरितम्२१.४७ ॥</v>
      </c>
      <c r="B4729" s="4" t="s">
        <v>11</v>
      </c>
      <c r="C4729" s="4"/>
    </row>
    <row r="4730" spans="1:3" ht="24" customHeight="1">
      <c r="A4730" s="4" t="str">
        <f ca="1">IFERROR(__xludf.DUMMYFUNCTION("""COMPUTED_VALUE"""),"अर्घनिःस्वमणिमाल्यविमिश्रैः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॥नैषधीयचरितम्२१.४८ ॥")</f>
        <v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॥नैषधीयचरितम्२१.४८ ॥</v>
      </c>
      <c r="B4730" s="4" t="s">
        <v>13</v>
      </c>
      <c r="C4730" s="4"/>
    </row>
    <row r="4731" spans="1:3" ht="24" customHeight="1">
      <c r="A4731" s="4" t="str">
        <f ca="1">IFERROR(__xludf.DUMMYFUNCTION("""COMPUTED_VALUE"""),"अक्षसूत्रगतपुष्करबीजश्रेणिरस्य करसंकरमेत्य । शौरिमुक्तजपितुः पुनरापत्पद्मसद्मचिरवासविलासम् ॥नैषधीयचरितम्२१.४९ ॥")</f>
        <v>अक्षसूत्रगतपुष्करबीजश्रेणिरस्य करसंकरमेत्य । शौरिमुक्तजपितुः पुनरापत्पद्मसद्मचिरवासविलासम् ॥नैषधीयचरितम्२१.४९ ॥</v>
      </c>
      <c r="B4731" s="4" t="s">
        <v>18</v>
      </c>
      <c r="C4731" s="4"/>
    </row>
    <row r="4732" spans="1:3" ht="24" customHeight="1">
      <c r="A4732" s="4" t="str">
        <f ca="1">IFERROR(__xludf.DUMMYFUNCTION("""COMPUTED_VALUE"""),"कैटभारिपदयोर्नितमूर्ध्ना सञ्जिता विचकिलस्रगनेन । जह्नुजेव भुवनप्रभुणाऽभात्सेवितानुनयतायतमाना ॥नैषधीयचरितम्२१.५ ॥")</f>
        <v>कैटभारिपदयोर्नितमूर्ध्ना सञ्जिता विचकिलस्रगनेन । जह्नुजेव भुवनप्रभुणाऽभात्सेवितानुनयतायतमाना ॥नैषधीयचरितम्२१.५ ॥</v>
      </c>
      <c r="B4732" s="4" t="s">
        <v>1</v>
      </c>
      <c r="C4732" s="4"/>
    </row>
    <row r="4733" spans="1:3" ht="24" customHeight="1">
      <c r="A4733" s="4" t="str">
        <f ca="1">IFERROR(__xludf.DUMMYFUNCTION("""COMPUTED_VALUE"""),"स्वानुरागमनघः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॥नैषधीयचरितम्२१.५१ ॥")</f>
        <v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॥नैषधीयचरितम्२१.५१ ॥</v>
      </c>
      <c r="B4733" s="4" t="s">
        <v>8</v>
      </c>
      <c r="C4733" s="4"/>
    </row>
    <row r="4734" spans="1:3" ht="24" customHeight="1">
      <c r="A4734" s="4" t="str">
        <f ca="1">IFERROR(__xludf.DUMMYFUNCTION("""COMPUTED_VALUE"""),"इत्यवेत्य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॥नैषधीयचरितम्२१.५२ ॥")</f>
        <v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॥नैषधीयचरितम्२१.५२ ॥</v>
      </c>
      <c r="B4734" s="4" t="s">
        <v>0</v>
      </c>
      <c r="C4734" s="4"/>
    </row>
    <row r="4735" spans="1:3" ht="24" customHeight="1">
      <c r="A4735" s="4" t="str">
        <f ca="1">IFERROR(__xludf.DUMMYFUNCTION("""COMPUTED_VALUE"""),"दूरतः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॥नैषधीयचरितम्२१.५३ ॥")</f>
        <v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॥नैषधीयचरितम्२१.५३ ॥</v>
      </c>
      <c r="B4735" s="4" t="s">
        <v>16</v>
      </c>
      <c r="C4735" s="4"/>
    </row>
    <row r="4736" spans="1:3" ht="24" customHeight="1">
      <c r="A4736" s="4" t="str">
        <f ca="1">IFERROR(__xludf.DUMMYFUNCTION("""COMPUTED_VALUE"""),"स्वप्रकाश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॥नैषधीयचरितम्२१.५४ ॥")</f>
        <v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॥नैषधीयचरितम्२१.५४ ॥</v>
      </c>
      <c r="B4736" s="4" t="s">
        <v>19</v>
      </c>
      <c r="C4736" s="4"/>
    </row>
    <row r="4737" spans="1:3" ht="24" customHeight="1">
      <c r="A4737" s="4" t="str">
        <f ca="1">IFERROR(__xludf.DUMMYFUNCTION("""COMPUTED_VALUE"""),"मैव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॥नैषधीयचरितम्२१.५५ ॥")</f>
        <v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॥नैषधीयचरितम्२१.५५ ॥</v>
      </c>
      <c r="B4737" s="4" t="s">
        <v>9</v>
      </c>
      <c r="C4737" s="4"/>
    </row>
    <row r="4738" spans="1:3" ht="24" customHeight="1">
      <c r="A4738" s="4" t="str">
        <f ca="1">IFERROR(__xludf.DUMMYFUNCTION("""COMPUTED_VALUE"""),"छद्ममत्स्यवपुषस्तव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॥नैषधीयचरितम्२१.५६ ॥")</f>
        <v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॥नैषधीयचरितम्२१.५६ ॥</v>
      </c>
      <c r="B4738" s="4" t="s">
        <v>15</v>
      </c>
      <c r="C4738" s="4"/>
    </row>
    <row r="4739" spans="1:3" ht="24" customHeight="1">
      <c r="A4739" s="4" t="str">
        <f ca="1">IFERROR(__xludf.DUMMYFUNCTION("""COMPUTED_VALUE"""),"भूरिसृष्टिधृतभूवलयानां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॥नैषधीयचरितम्२१.५७ ॥")</f>
        <v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॥नैषधीयचरितम्२१.५७ ॥</v>
      </c>
      <c r="B4739" s="4" t="s">
        <v>2</v>
      </c>
      <c r="C4739" s="4"/>
    </row>
    <row r="4740" spans="1:3" ht="24" customHeight="1">
      <c r="A4740" s="4" t="str">
        <f ca="1">IFERROR(__xludf.DUMMYFUNCTION("""COMPUTED_VALUE"""),"दिक्षु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॥नैषधीयचरितम्२१.५८ ॥")</f>
        <v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॥नैषधीयचरितम्२१.५८ ॥</v>
      </c>
      <c r="B4740" s="4" t="s">
        <v>5</v>
      </c>
      <c r="C4740" s="4"/>
    </row>
    <row r="4741" spans="1:3" ht="24" customHeight="1">
      <c r="A4741" s="4" t="str">
        <f ca="1">IFERROR(__xludf.DUMMYFUNCTION("""COMPUTED_VALUE"""),"उद्धृतिस्खलदिलापरिरम्भाल्लोमभिर्बहिरितैर्बहुहृष्टैः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॥नैषधीयचरितम्२१.५९ ॥")</f>
        <v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॥नैषधीयचरितम्२१.५९ ॥</v>
      </c>
      <c r="B4741" s="4" t="s">
        <v>2</v>
      </c>
      <c r="C4741" s="4"/>
    </row>
    <row r="4742" spans="1:3" ht="24" customHeight="1">
      <c r="A4742" s="4" t="str">
        <f ca="1">IFERROR(__xludf.DUMMYFUNCTION("""COMPUTED_VALUE"""),"दानवाद्यगहनप्रभवस्त्वं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॥नैषधीयचरितम्२१.६ ॥ ")</f>
        <v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॥नैषधीयचरितम्२१.६ ॥ </v>
      </c>
      <c r="B4742" s="4" t="s">
        <v>20</v>
      </c>
      <c r="C4742" s="4"/>
    </row>
    <row r="4743" spans="1:3" ht="24" customHeight="1">
      <c r="A4743" s="4" t="str">
        <f ca="1">IFERROR(__xludf.DUMMYFUNCTION("""COMPUTED_VALUE"""),"दैत्यभर्तुरुदरान्धुनिविष्टां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॥नैषधीयचरितम्२१.६१ ॥ ")</f>
        <v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॥नैषधीयचरितम्२१.६१ ॥ </v>
      </c>
      <c r="B4743" s="4" t="s">
        <v>0</v>
      </c>
      <c r="C4743" s="4"/>
    </row>
    <row r="4744" spans="1:3" ht="24" customHeight="1">
      <c r="A4744" s="4" t="str">
        <f ca="1">IFERROR(__xludf.DUMMYFUNCTION("""COMPUTED_VALUE"""),"स्वेन पूर्यत इयं सकलाशा भो बले न मम किं भवतेति । त्वं बटुः कपटवाचि पटीयान्देहि वामन मनःप्रमदं नः ॥नैषधीयचरितम्२१.६२ ॥")</f>
        <v>स्वेन पूर्यत इयं सकलाशा भो बले न मम किं भवतेति । त्वं बटुः कपटवाचि पटीयान्देहि वामन मनःप्रमदं नः ॥नैषधीयचरितम्२१.६२ ॥</v>
      </c>
      <c r="B4744" s="4" t="s">
        <v>1</v>
      </c>
      <c r="C4744" s="4"/>
    </row>
    <row r="4745" spans="1:3" ht="24" customHeight="1">
      <c r="A4745" s="4" t="str">
        <f ca="1">IFERROR(__xludf.DUMMYFUNCTION("""COMPUTED_VALUE"""),"दानवारिरसिकायविभूतेर्वश्मि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॥नैषधीयचरितम्२१.६३ ॥")</f>
        <v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॥नैषधीयचरितम्२१.६३ ॥</v>
      </c>
      <c r="B4745" s="4" t="s">
        <v>5</v>
      </c>
      <c r="C4745" s="4"/>
    </row>
    <row r="4746" spans="1:3" ht="24" customHeight="1">
      <c r="A4746" s="4" t="str">
        <f ca="1">IFERROR(__xludf.DUMMYFUNCTION("""COMPUTED_VALUE"""),"भोगिभिः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॥नैषधीयचरितम्२१.६४ ॥")</f>
        <v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॥नैषधीयचरितम्२१.६४ ॥</v>
      </c>
      <c r="B4746" s="4" t="s">
        <v>4</v>
      </c>
      <c r="C4746" s="4"/>
    </row>
    <row r="4747" spans="1:3" ht="24" customHeight="1">
      <c r="A4747" s="4" t="str">
        <f ca="1">IFERROR(__xludf.DUMMYFUNCTION("""COMPUTED_VALUE"""),"आशयस्य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॥नैषधीयचरितम्२१.६५ ॥")</f>
        <v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॥नैषधीयचरितम्२१.६५ ॥</v>
      </c>
      <c r="B4747" s="4" t="s">
        <v>5</v>
      </c>
      <c r="C4747" s="4"/>
    </row>
    <row r="4748" spans="1:3" ht="24" customHeight="1">
      <c r="A4748" s="4" t="str">
        <f ca="1">IFERROR(__xludf.DUMMYFUNCTION("""COMPUTED_VALUE"""),"क्षत्त्रजातिरुदियाय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॥नैषधीयचरितम्२१.६६ ॥")</f>
        <v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॥नैषधीयचरितम्२१.६६ ॥</v>
      </c>
      <c r="B4748" s="4" t="s">
        <v>2</v>
      </c>
      <c r="C4748" s="4"/>
    </row>
    <row r="4749" spans="1:3" ht="24" customHeight="1">
      <c r="A4749" s="4" t="str">
        <f ca="1">IFERROR(__xludf.DUMMYFUNCTION("""COMPUTED_VALUE"""),"पांसुला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॥नैषधीयचरितम्२१.६७ ॥")</f>
        <v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॥नैषधीयचरितम्२१.६७ ॥</v>
      </c>
      <c r="B4749" s="4" t="s">
        <v>5</v>
      </c>
      <c r="C4749" s="4"/>
    </row>
    <row r="4750" spans="1:3" ht="24" customHeight="1">
      <c r="A4750" s="4" t="str">
        <f ca="1">IFERROR(__xludf.DUMMYFUNCTION("""COMPUTED_VALUE"""),"कार्तवीर्यभिदुरेण दशास्ये रैणुकेय भवता सुखनाश्ये । कालभेदविरहादसमाधिं नौमि रामपुनरुक्तिमहं ते ॥नैषधीयचरितम्२१.६८ ॥")</f>
        <v>कार्तवीर्यभिदुरेण दशास्ये रैणुकेय भवता सुखनाश्ये । कालभेदविरहादसमाधिं नौमि रामपुनरुक्तिमहं ते ॥नैषधीयचरितम्२१.६८ ॥</v>
      </c>
      <c r="B4750" s="4" t="s">
        <v>2</v>
      </c>
      <c r="C4750" s="4"/>
    </row>
    <row r="4751" spans="1:3" ht="24" customHeight="1">
      <c r="A4751" s="4" t="str">
        <f ca="1">IFERROR(__xludf.DUMMYFUNCTION("""COMPUTED_VALUE"""),"हस्तलेखमसृजत्खलु जन्मस्थानरेणुकमसौ भवदर्थम् । राम राममधरीकृततत्तल्लेखकः प्रथममेव विधाता ॥नैषधीयचरितम्२१.६९ ॥")</f>
        <v>हस्तलेखमसृजत्खलु जन्मस्थानरेणुकमसौ भवदर्थम् । राम राममधरीकृततत्तल्लेखकः प्रथममेव विधाता ॥नैषधीयचरितम्२१.६९ ॥</v>
      </c>
      <c r="B4751" s="4" t="s">
        <v>2</v>
      </c>
      <c r="C4751" s="4"/>
    </row>
    <row r="4752" spans="1:3" ht="24" customHeight="1">
      <c r="A4752" s="4" t="str">
        <f ca="1">IFERROR(__xludf.DUMMYFUNCTION("""COMPUTED_VALUE"""),"उद्भवाजतनुजादज कामं विश्वभूषण न दूषणमत्र । दूषणप्रशमनाय समर्थं येन देव तव वैभवमेव ॥नैषधीयचरितम्२१.७ ॥")</f>
        <v>उद्भवाजतनुजादज कामं विश्वभूषण न दूषणमत्र । दूषणप्रशमनाय समर्थं येन देव तव वैभवमेव ॥नैषधीयचरितम्२१.७ ॥</v>
      </c>
      <c r="B4752" s="4" t="s">
        <v>4</v>
      </c>
      <c r="C4752" s="4"/>
    </row>
    <row r="4753" spans="1:3" ht="24" customHeight="1">
      <c r="A4753" s="4" t="str">
        <f ca="1">IFERROR(__xludf.DUMMYFUNCTION("""COMPUTED_VALUE"""),"नो ददासि यदि तत्त्वधियं मे यच्छ मोहमपि तं रघुवीर । येन रावणचमूर्युधि मूढा त्वन्मयं जगदपश्यदशेषम् ॥नैषधीयचरितम्२१.७१ ॥ ")</f>
        <v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॥नैषधीयचरितम्२१.७१ ॥ </v>
      </c>
      <c r="B4753" s="4" t="s">
        <v>13</v>
      </c>
      <c r="C4753" s="4"/>
    </row>
    <row r="4754" spans="1:3" ht="24" customHeight="1">
      <c r="A4754" s="4" t="str">
        <f ca="1">IFERROR(__xludf.DUMMYFUNCTION("""COMPUTED_VALUE"""),"आज्ञया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॥नैषधीयचरितम्२१.७२ ॥")</f>
        <v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॥नैषधीयचरितम्२१.७२ ॥</v>
      </c>
      <c r="B4754" s="4" t="s">
        <v>19</v>
      </c>
      <c r="C4754" s="4"/>
    </row>
    <row r="4755" spans="1:3" ht="24" customHeight="1">
      <c r="A4755" s="4" t="str">
        <f ca="1">IFERROR(__xludf.DUMMYFUNCTION("""COMPUTED_VALUE"""),"कामदेवविशिखैः खलु नेशं माऋपयज्जनकजामिति रक्षः । दैवतादमरणे वरवाक्यं तथ्ययत्स्वमपुनाद्भवदस्त्रैः ॥नैषधीयचरितम्२१.७३ ॥")</f>
        <v>कामदेवविशिखैः खलु नेशं माऋपयज्जनकजामिति रक्षः । दैवतादमरणे वरवाक्यं तथ्ययत्स्वमपुनाद्भवदस्त्रैः ॥नैषधीयचरितम्२१.७३ ॥</v>
      </c>
      <c r="B4755" s="4" t="s">
        <v>0</v>
      </c>
      <c r="C4755" s="4"/>
    </row>
    <row r="4756" spans="1:3" ht="24" customHeight="1">
      <c r="A4756" s="4" t="str">
        <f ca="1">IFERROR(__xludf.DUMMYFUNCTION("""COMPUTED_VALUE"""),"तद्यशो हसति कम्बुकदम्बं शम्बुकस्य न किमम्बुधिचुम्बि । नामशेषितससैन्यदशास्यादस्तमाप यदसौ तव हस्तात् ॥नैषधीयचरितम्२१.७४ ॥")</f>
        <v>तद्यशो हसति कम्बुकदम्बं शम्बुकस्य न किमम्बुधिचुम्बि । नामशेषितससैन्यदशास्यादस्तमाप यदसौ तव हस्तात् ॥नैषधीयचरितम्२१.७४ ॥</v>
      </c>
      <c r="B4756" s="4" t="s">
        <v>2</v>
      </c>
      <c r="C4756" s="4"/>
    </row>
    <row r="4757" spans="1:3" ht="24" customHeight="1">
      <c r="A4757" s="4" t="str">
        <f ca="1">IFERROR(__xludf.DUMMYFUNCTION("""COMPUTED_VALUE"""),"मृत्युभीतिकरपुण्यजनेन्द्रत्रासदानजमुपाऋज्य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॥नैषधीयचरितम्२१.७५ ॥")</f>
        <v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॥नैषधीयचरितम्२१.७५ ॥</v>
      </c>
      <c r="B4757" s="4" t="s">
        <v>0</v>
      </c>
      <c r="C4757" s="4"/>
    </row>
    <row r="4758" spans="1:3" ht="24" customHeight="1">
      <c r="A4758" s="4" t="str">
        <f ca="1">IFERROR(__xludf.DUMMYFUNCTION("""COMPUTED_VALUE"""),"इष्टदारविरहौर्वपयोधिस्त्वं शरण्य शरणं स ममैधि । लक्ष्मणक्षाणवियोगकृशानौ यः स्वजीविततृणाहुतियज्वा ॥नैषधीयचरितम्२१.७६ ॥")</f>
        <v>इष्टदारविरहौर्वपयोधिस्त्वं शरण्य शरणं स ममैधि । लक्ष्मणक्षाणवियोगकृशानौ यः स्वजीविततृणाहुतियज्वा ॥नैषधीयचरितम्२१.७६ ॥</v>
      </c>
      <c r="B4758" s="4" t="s">
        <v>4</v>
      </c>
      <c r="C4758" s="4"/>
    </row>
    <row r="4759" spans="1:3" ht="24" customHeight="1">
      <c r="A4759" s="4" t="str">
        <f ca="1">IFERROR(__xludf.DUMMYFUNCTION("""COMPUTED_VALUE"""),"क्रौञ्चदुःखमपि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॥नैषधीयचरितम्२१.७७ ॥")</f>
        <v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॥नैषधीयचरितम्२१.७७ ॥</v>
      </c>
      <c r="B4759" s="4" t="s">
        <v>20</v>
      </c>
      <c r="C4759" s="4"/>
    </row>
    <row r="4760" spans="1:3" ht="24" customHeight="1">
      <c r="A4760" s="4" t="str">
        <f ca="1">IFERROR(__xludf.DUMMYFUNCTION("""COMPUTED_VALUE"""),"विश्रवःपितृकयाप्तुमनर्हं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॥नैषधीयचरितम्२१.७८ ॥")</f>
        <v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॥नैषधीयचरितम्२१.७८ ॥</v>
      </c>
      <c r="B4760" s="4" t="s">
        <v>4</v>
      </c>
      <c r="C4760" s="4"/>
    </row>
    <row r="4761" spans="1:3" ht="24" customHeight="1">
      <c r="A4761" s="4" t="str">
        <f ca="1">IFERROR(__xludf.DUMMYFUNCTION("""COMPUTED_VALUE"""),"ते हरन्तु दुरितव्रततिं मे यैः स कल्पविटपी तव दोर्भिः । छद्मयादवतनोरुदपाटि स्पर्धमान इव दानमदेन ॥नैषधीयचरितम्२१.७९ ॥")</f>
        <v>ते हरन्तु दुरितव्रततिं मे यैः स कल्पविटपी तव दोर्भिः । छद्मयादवतनोरुदपाटि स्पर्धमान इव दानमदेन ॥नैषधीयचरितम्२१.७९ ॥</v>
      </c>
      <c r="B4761" s="4" t="s">
        <v>1</v>
      </c>
      <c r="C4761" s="4"/>
    </row>
    <row r="4762" spans="1:3" ht="24" customHeight="1">
      <c r="A4762" s="4" t="str">
        <f ca="1">IFERROR(__xludf.DUMMYFUNCTION("""COMPUTED_VALUE"""),"बालकेलिषु तदा यदलावीः कर्परीभिरभिहत्य तरङ्गान् । भाविबाणभुजभेदनलीलासूत्रपात्र इव पातु तदस्मान् ॥नैषधीयचरितम्२१.८ ॥")</f>
        <v>बालकेलिषु तदा यदलावीः कर्परीभिरभिहत्य तरङ्गान् । भाविबाणभुजभेदनलीलासूत्रपात्र इव पातु तदस्मान् ॥नैषधीयचरितम्२१.८ ॥</v>
      </c>
      <c r="B4762" s="4" t="s">
        <v>12</v>
      </c>
      <c r="C4762" s="4"/>
    </row>
    <row r="4763" spans="1:3" ht="24" customHeight="1">
      <c r="A4763" s="4" t="str">
        <f ca="1">IFERROR(__xludf.DUMMYFUNCTION("""COMPUTED_VALUE"""),"कर्णशक्तिमफलां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॥नैषधीयचरितम्२१.८१ ॥")</f>
        <v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॥नैषधीयचरितम्२१.८१ ॥</v>
      </c>
      <c r="B4763" s="4" t="s">
        <v>5</v>
      </c>
      <c r="C4763" s="4"/>
    </row>
    <row r="4764" spans="1:3" ht="24" customHeight="1">
      <c r="A4764" s="4" t="str">
        <f ca="1">IFERROR(__xludf.DUMMYFUNCTION("""COMPUTED_VALUE"""),"नापगेयमनयः सशरीरं द्यां वरेण नितरामपि भक्तम् । मा स भूत्सुरवधूसुरतज्ञो दिव्यपि व्रतविलोपभियेति ॥नैषधीयचरितम्२१.८२ ॥")</f>
        <v>नापगेयमनयः सशरीरं द्यां वरेण नितरामपि भक्तम् । मा स भूत्सुरवधूसुरतज्ञो दिव्यपि व्रतविलोपभियेति ॥नैषधीयचरितम्२१.८२ ॥</v>
      </c>
      <c r="B4764" s="4" t="s">
        <v>2</v>
      </c>
      <c r="C4764" s="4"/>
    </row>
    <row r="4765" spans="1:3" ht="24" customHeight="1">
      <c r="A4765" s="4" t="str">
        <f ca="1">IFERROR(__xludf.DUMMYFUNCTION("""COMPUTED_VALUE"""),"घातितार्कसुतकर्णदयालुर्जैत्रितेन्दुकुलपार्थकृतार्थः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॥नैषधीयचरितम्२१.८३ ॥")</f>
        <v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॥नैषधीयचरितम्२१.८३ ॥</v>
      </c>
      <c r="B4765" s="4" t="s">
        <v>0</v>
      </c>
      <c r="C4765" s="4"/>
    </row>
    <row r="4766" spans="1:3" ht="24" customHeight="1">
      <c r="A4766" s="4" t="str">
        <f ca="1">IFERROR(__xludf.DUMMYFUNCTION("""COMPUTED_VALUE"""),"प्राणवत्प्रणयिराध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॥नैषधीयचरितम्२१.८४ ॥")</f>
        <v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॥नैषधीयचरितम्२१.८४ ॥</v>
      </c>
      <c r="B4766" s="4" t="s">
        <v>0</v>
      </c>
      <c r="C4766" s="4"/>
    </row>
    <row r="4767" spans="1:3" ht="24" customHeight="1">
      <c r="A4767" s="4" t="str">
        <f ca="1">IFERROR(__xludf.DUMMYFUNCTION("""COMPUTED_VALUE"""),"तावकापरतनोः सितकेशस्त्वं हली किल स एव च शेषः । साध्वसाववतरस्तव धत्ते तज्जरच्चिकुरनालविलासः ॥नैषधीयचरितम्२१.८५ ॥")</f>
        <v>तावकापरतनोः सितकेशस्त्वं हली किल स एव च शेषः । साध्वसाववतरस्तव धत्ते तज्जरच्चिकुरनालविलासः ॥नैषधीयचरितम्२१.८५ ॥</v>
      </c>
      <c r="B4767" s="4" t="s">
        <v>18</v>
      </c>
      <c r="C4767" s="4"/>
    </row>
    <row r="4768" spans="1:3" ht="24" customHeight="1">
      <c r="A4768" s="4" t="str">
        <f ca="1">IFERROR(__xludf.DUMMYFUNCTION("""COMPUTED_VALUE"""),"हृद्यगन्धवहभोगवतीशः शेषरूपमपि बिभ्रदशेषः । भोगभूतिमदिरारुचिरश्रीरुल्लसत्कुमुदबन्धुरुचिस्त्वम् ॥नैषधीयचरितम्२१.८६ ॥")</f>
        <v>हृद्यगन्धवहभोगवतीशः शेषरूपमपि बिभ्रदशेषः । भोगभूतिमदिरारुचिरश्रीरुल्लसत्कुमुदबन्धुरुचिस्त्वम् ॥नैषधीयचरितम्२१.८६ ॥</v>
      </c>
      <c r="B4768" s="4" t="s">
        <v>4</v>
      </c>
      <c r="C4768" s="4"/>
    </row>
    <row r="4769" spans="1:3" ht="24" customHeight="1">
      <c r="A4769" s="4" t="str">
        <f ca="1">IFERROR(__xludf.DUMMYFUNCTION("""COMPUTED_VALUE"""),"रेवतीशसुषमा किल नीलस्याम्बरस्य रुचिरा तनुभासा । कामपाल भवतः कुमुदाविर्भावभावितरुचेरुचितैव ॥नैषधीयचरितम्२१.८७ ॥")</f>
        <v>रेवतीशसुषमा किल नीलस्याम्बरस्य रुचिरा तनुभासा । कामपाल भवतः कुमुदाविर्भावभावितरुचेरुचितैव ॥नैषधीयचरितम्२१.८७ ॥</v>
      </c>
      <c r="B4769" s="4" t="s">
        <v>4</v>
      </c>
      <c r="C4769" s="4"/>
    </row>
    <row r="4770" spans="1:3" ht="24" customHeight="1">
      <c r="A4770" s="4" t="str">
        <f ca="1">IFERROR(__xludf.DUMMYFUNCTION("""COMPUTED_VALUE"""),"एकचित्तततिरद्वयवादिन्नत्रयीपरिचितोऽथ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॥नैषधीयचरितम्२१.८८ ॥")</f>
        <v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॥नैषधीयचरितम्२१.८८ ॥</v>
      </c>
      <c r="B4770" s="4" t="s">
        <v>25</v>
      </c>
      <c r="C4770" s="4"/>
    </row>
    <row r="4771" spans="1:3" ht="24" customHeight="1">
      <c r="A4771" s="4" t="str">
        <f ca="1">IFERROR(__xludf.DUMMYFUNCTION("""COMPUTED_VALUE"""),"तत्र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॥नैषधीयचरितम्२१.८९ ॥")</f>
        <v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॥नैषधीयचरितम्२१.८९ ॥</v>
      </c>
      <c r="B4771" s="4" t="s">
        <v>4</v>
      </c>
      <c r="C4771" s="4"/>
    </row>
    <row r="4772" spans="1:3" ht="24" customHeight="1">
      <c r="A4772" s="4" t="str">
        <f ca="1">IFERROR(__xludf.DUMMYFUNCTION("""COMPUTED_VALUE"""),"तावके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॥नैषधीयचरितम्२१.९ ॥")</f>
        <v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॥नैषधीयचरितम्२१.९ ॥</v>
      </c>
      <c r="B4772" s="4" t="s">
        <v>7</v>
      </c>
      <c r="C4772" s="4"/>
    </row>
    <row r="4773" spans="1:3" ht="24" customHeight="1">
      <c r="A4773" s="4" t="str">
        <f ca="1">IFERROR(__xludf.DUMMYFUNCTION("""COMPUTED_VALUE"""),"यत्तव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॥नैषधीयचरितम्२१.९१ ॥")</f>
        <v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॥नैषधीयचरितम्२१.९१ ॥</v>
      </c>
      <c r="B4773" s="4" t="s">
        <v>22</v>
      </c>
      <c r="C4773" s="4"/>
    </row>
    <row r="4774" spans="1:3" ht="24" customHeight="1">
      <c r="A4774" s="4" t="str">
        <f ca="1">IFERROR(__xludf.DUMMYFUNCTION("""COMPUTED_VALUE"""),"भूमवत्कलयता युधि कालं म्लेच्छकल्पशिखिनां करवालम् । कल्किना दशतयं मम कल्कं त्वं व्युदस्य दशमावतरेण ॥नैषधीयचरितम्२१.९२ ॥")</f>
        <v>भूमवत्कलयता युधि कालं म्लेच्छकल्पशिखिनां करवालम् । कल्किना दशतयं मम कल्कं त्वं व्युदस्य दशमावतरेण ॥नैषधीयचरितम्२१.९२ ॥</v>
      </c>
      <c r="B4774" s="4" t="s">
        <v>7</v>
      </c>
      <c r="C4774" s="4"/>
    </row>
    <row r="4775" spans="1:3" ht="24" customHeight="1">
      <c r="A4775" s="4" t="str">
        <f ca="1">IFERROR(__xludf.DUMMYFUNCTION("""COMPUTED_VALUE"""),"देहिनेव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॥नैषधीयचरितम्२१.९३ ॥")</f>
        <v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॥नैषधीयचरितम्२१.९३ ॥</v>
      </c>
      <c r="B4775" s="4" t="s">
        <v>10</v>
      </c>
      <c r="C4775" s="4"/>
    </row>
    <row r="4776" spans="1:3" ht="24" customHeight="1">
      <c r="A4776" s="4" t="str">
        <f ca="1">IFERROR(__xludf.DUMMYFUNCTION("""COMPUTED_VALUE"""),"सन्तमद्वयमयेऽध्वनि दत्तात्रेयमर्जुनयशोर्जनबीजम् । नौमि योगजयितानघसंज्ञं त्वामलर्कभवमोहतमोर्कम् ॥नैषधीयचरितम्२१.९४ ॥")</f>
        <v>सन्तमद्वयमयेऽध्वनि दत्तात्रेयमर्जुनयशोर्जनबीजम् । नौमि योगजयितानघसंज्ञं त्वामलर्कभवमोहतमोर्कम् ॥नैषधीयचरितम्२१.९४ ॥</v>
      </c>
      <c r="B4776" s="4" t="s">
        <v>19</v>
      </c>
      <c r="C4776" s="4"/>
    </row>
    <row r="4777" spans="1:3" ht="24" customHeight="1">
      <c r="A4777" s="4" t="str">
        <f ca="1">IFERROR(__xludf.DUMMYFUNCTION("""COMPUTED_VALUE"""),"भानुसुनुमनुगृह्य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॥नैषधीयचरितम्२१.९५ ॥")</f>
        <v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॥नैषधीयचरितम्२१.९५ ॥</v>
      </c>
      <c r="B4777" s="4" t="s">
        <v>3</v>
      </c>
      <c r="C4777" s="4"/>
    </row>
    <row r="4778" spans="1:3" ht="24" customHeight="1">
      <c r="A4778" s="4" t="str">
        <f ca="1">IFERROR(__xludf.DUMMYFUNCTION("""COMPUTED_VALUE"""),"वामनादणुतमादनुजीयास्त्वं त्रिविक्रमतनूभृतदिक्कः । वीतहिंसनकथादथ बुद्धात्कल्किना हतसमस्त नमस्ते ॥नैषधीयचरितम्२१.९६ ॥")</f>
        <v>वामनादणुतमादनुजीयास्त्वं त्रिविक्रमतनूभृतदिक्कः । वीतहिंसनकथादथ बुद्धात्कल्किना हतसमस्त नमस्ते ॥नैषधीयचरितम्२१.९६ ॥</v>
      </c>
      <c r="B4778" s="4" t="s">
        <v>2</v>
      </c>
      <c r="C4778" s="4"/>
    </row>
    <row r="4779" spans="1:3" ht="24" customHeight="1">
      <c r="A4779" s="4" t="str">
        <f ca="1">IFERROR(__xludf.DUMMYFUNCTION("""COMPUTED_VALUE"""),"मां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॥नैषधीयचरितम्२१.९७ ॥")</f>
        <v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॥नैषधीयचरितम्२१.९७ ॥</v>
      </c>
      <c r="B4779" s="4" t="s">
        <v>20</v>
      </c>
      <c r="C4779" s="4"/>
    </row>
    <row r="4780" spans="1:3" ht="24" customHeight="1">
      <c r="A4780" s="4" t="str">
        <f ca="1">IFERROR(__xludf.DUMMYFUNCTION("""COMPUTED_VALUE"""),"अर्धचक्रवपुषार्जुनबाहून्योऽलुनात्परशुनाथ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॥नैषधीयचरितम्२१.९८ ॥")</f>
        <v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॥नैषधीयचरितम्२१.९८ ॥</v>
      </c>
      <c r="B4780" s="4" t="s">
        <v>0</v>
      </c>
      <c r="C4780" s="4"/>
    </row>
    <row r="4781" spans="1:3" ht="24" customHeight="1">
      <c r="A4781" s="4" t="str">
        <f ca="1">IFERROR(__xludf.DUMMYFUNCTION("""COMPUTED_VALUE"""),"पाञ्चजन्यमधिगत्य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॥नैषधीयचरितम्२१.९९ ॥")</f>
        <v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॥नैषधीयचरितम्२१.९९ ॥</v>
      </c>
      <c r="B4781" s="4" t="s">
        <v>20</v>
      </c>
      <c r="C4781" s="4"/>
    </row>
    <row r="4782" spans="1:3" ht="24" customHeight="1">
      <c r="A4782" s="4" t="str">
        <f ca="1">IFERROR(__xludf.DUMMYFUNCTION("""COMPUTED_VALUE"""),"तावकोरसि लसद्वनमाले श्रीफलद्विफलशाखिकयेव । स्थीयते कमलया त्वदजस्रस्पर्शकण्टकितयोत्कुचया च ॥नैषधीयचरितम्२१.१ ॥")</f>
        <v>तावकोरसि लसद्वनमाले श्रीफलद्विफलशाखिकयेव । स्थीयते कमलया त्वदजस्रस्पर्शकण्टकितयोत्कुचया च ॥नैषधीयचरितम्२१.१ ॥</v>
      </c>
      <c r="B4782" s="4" t="s">
        <v>16</v>
      </c>
      <c r="C4782" s="4"/>
    </row>
    <row r="4783" spans="1:3" ht="24" customHeight="1">
      <c r="A4783" s="4" t="str">
        <f ca="1">IFERROR(__xludf.DUMMYFUNCTION("""COMPUTED_VALUE"""),"त्यज्यते न जलजेन करस्ते शिक्षितुं सुभगभूयमिवोच्चैः । आननं च नयनायितबिम्बः सेवते कुमुदहासकरांशुः ॥नैषधीयचरितम्२१.१०१ ॥")</f>
        <v>त्यज्यते न जलजेन करस्ते शिक्षितुं सुभगभूयमिवोच्चैः । आननं च नयनायितबिम्बः सेवते कुमुदहासकरांशुः ॥नैषधीयचरितम्२१.१०१ ॥</v>
      </c>
      <c r="B4783" s="4" t="s">
        <v>8</v>
      </c>
      <c r="C4783" s="4"/>
    </row>
    <row r="4784" spans="1:3" ht="24" customHeight="1">
      <c r="A4784" s="4" t="str">
        <f ca="1">IFERROR(__xludf.DUMMYFUNCTION("""COMPUTED_VALUE"""),"ये हिरण्यकशिपुं रिपुमुच्चै रावणं च कुरुवीरचयं च । हन्त हन्तुमभवंस्तव योगास्ते नरस्य च हरेश्च जयन्ति ॥नैषधीयचरितम्२१.१०२ ॥")</f>
        <v>ये हिरण्यकशिपुं रिपुमुच्चै रावणं च कुरुवीरचयं च । हन्त हन्तुमभवंस्तव योगास्ते नरस्य च हरेश्च जयन्ति ॥नैषधीयचरितम्२१.१०२ ॥</v>
      </c>
      <c r="B4784" s="4" t="s">
        <v>2</v>
      </c>
      <c r="C4784" s="4"/>
    </row>
    <row r="4785" spans="1:3" ht="24" customHeight="1">
      <c r="A4785" s="4" t="str">
        <f ca="1">IFERROR(__xludf.DUMMYFUNCTION("""COMPUTED_VALUE"""),"केयमर्धभवता भवतोहे मायिना ननु भवः सकलस्त्वम् । शेषतामपि भजन्तमशेषं वेद वेदनयनो हि जनस्त्वाम् ॥नैषधीयचरितम्२१.१०३ ॥")</f>
        <v>केयमर्धभवता भवतोहे मायिना ननु भवः सकलस्त्वम् । शेषतामपि भजन्तमशेषं वेद वेदनयनो हि जनस्त्वाम् ॥नैषधीयचरितम्२१.१०३ ॥</v>
      </c>
      <c r="B4785" s="4" t="s">
        <v>4</v>
      </c>
      <c r="C4785" s="4"/>
    </row>
    <row r="4786" spans="1:3" ht="24" customHeight="1">
      <c r="A4786" s="4" t="str">
        <f ca="1">IFERROR(__xludf.DUMMYFUNCTION("""COMPUTED_VALUE"""),"प्राग्भवैरुदगुदग्भवगुम्फान्मुक्तियुक्तिविहताविह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॥नैषधीयचरितम्२१.१०४ ॥")</f>
        <v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॥नैषधीयचरितम्२१.१०४ ॥</v>
      </c>
      <c r="B4786" s="4" t="s">
        <v>20</v>
      </c>
      <c r="C4786" s="4"/>
    </row>
    <row r="4787" spans="1:3" ht="24" customHeight="1">
      <c r="A4787" s="4" t="str">
        <f ca="1">IFERROR(__xludf.DUMMYFUNCTION("""COMPUTED_VALUE"""),"ऊर्ध्वदिक्कदलनां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॥नैषधीयचरितम्२१.१०५ ॥")</f>
        <v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॥नैषधीयचरितम्२१.१०५ ॥</v>
      </c>
      <c r="B4787" s="4" t="s">
        <v>15</v>
      </c>
      <c r="C4787" s="4"/>
    </row>
    <row r="4788" spans="1:3" ht="24" customHeight="1">
      <c r="A4788" s="4" t="str">
        <f ca="1">IFERROR(__xludf.DUMMYFUNCTION("""COMPUTED_VALUE"""),"आप्तकाम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॥नैषधीयचरितम्२१.१०६ ॥")</f>
        <v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॥नैषधीयचरितम्२१.१०६ ॥</v>
      </c>
      <c r="B4788" s="4" t="s">
        <v>5</v>
      </c>
      <c r="C4788" s="4"/>
    </row>
    <row r="4789" spans="1:3" ht="24" customHeight="1">
      <c r="A4789" s="4" t="str">
        <f ca="1">IFERROR(__xludf.DUMMYFUNCTION("""COMPUTED_VALUE"""),"जाह्नवीजलजकौस्तुभचन्द्रान्पादपाणिहृदयेक्षणवृत्तीन्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॥नैषधीयचरितम्२१.१०७ ॥")</f>
        <v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॥नैषधीयचरितम्२१.१०७ ॥</v>
      </c>
      <c r="B4789" s="4" t="s">
        <v>5</v>
      </c>
      <c r="C4789" s="4"/>
    </row>
    <row r="4790" spans="1:3" ht="24" customHeight="1">
      <c r="A4790" s="4" t="str">
        <f ca="1">IFERROR(__xludf.DUMMYFUNCTION("""COMPUTED_VALUE"""),"वस्तु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॥नैषधीयचरितम्२१.१०८ ॥")</f>
        <v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॥नैषधीयचरितम्२१.१०८ ॥</v>
      </c>
      <c r="B4790" s="4" t="s">
        <v>2</v>
      </c>
      <c r="C4790" s="4"/>
    </row>
    <row r="4791" spans="1:3" ht="24" customHeight="1">
      <c r="A4791" s="4" t="str">
        <f ca="1">IFERROR(__xludf.DUMMYFUNCTION("""COMPUTED_VALUE"""),"वस्तु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॥नैषधीयचरितम्२१.१०९ ॥")</f>
        <v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॥नैषधीयचरितम्२१.१०९ ॥</v>
      </c>
      <c r="B4791" s="4" t="s">
        <v>13</v>
      </c>
      <c r="C4791" s="4"/>
    </row>
    <row r="4792" spans="1:3" ht="24" customHeight="1">
      <c r="A4792" s="4" t="str">
        <f ca="1">IFERROR(__xludf.DUMMYFUNCTION("""COMPUTED_VALUE"""),"ब्रह्मणोऽस्तु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॥नैषधीयचरितम्२१.११ ॥ ")</f>
        <v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॥नैषधीयचरितम्२१.११ ॥ </v>
      </c>
      <c r="B4792" s="4" t="s">
        <v>26</v>
      </c>
      <c r="C4792" s="4"/>
    </row>
    <row r="4793" spans="1:3" ht="24" customHeight="1">
      <c r="A4793" s="4" t="str">
        <f ca="1">IFERROR(__xludf.DUMMYFUNCTION("""COMPUTED_VALUE"""),"धर्मबीजसलिला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॥नैषधीयचरितम्२१.१११ ॥")</f>
        <v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॥नैषधीयचरितम्२१.१११ ॥</v>
      </c>
      <c r="B4793" s="4" t="s">
        <v>4</v>
      </c>
      <c r="C4793" s="4"/>
    </row>
    <row r="4794" spans="1:3" ht="24" customHeight="1">
      <c r="A4794" s="4" t="str">
        <f ca="1">IFERROR(__xludf.DUMMYFUNCTION("""COMPUTED_VALUE"""),"लीलयापि तव नाम जना ये गृह्णते नरकनाशकरस्य । तेभ्य एव नरकैरुचिता भीस्ते तु बिभ्यतु कथं नरकेभ्यः ॥नैषधीयचरितम्२१.११२ ॥")</f>
        <v>लीलयापि तव नाम जना ये गृह्णते नरकनाशकरस्य । तेभ्य एव नरकैरुचिता भीस्ते तु बिभ्यतु कथं नरकेभ्यः ॥नैषधीयचरितम्२१.११२ ॥</v>
      </c>
      <c r="B4794" s="4" t="s">
        <v>5</v>
      </c>
      <c r="C4794" s="4"/>
    </row>
    <row r="4795" spans="1:3" ht="24" customHeight="1">
      <c r="A4795" s="4" t="str">
        <f ca="1">IFERROR(__xludf.DUMMYFUNCTION("""COMPUTED_VALUE"""),"मृत्युहेतुषु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॥नैषधीयचरितम्२१.११३ ॥")</f>
        <v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॥नैषधीयचरितम्२१.११३ ॥</v>
      </c>
      <c r="B4795" s="4" t="s">
        <v>0</v>
      </c>
      <c r="C4795" s="4"/>
    </row>
    <row r="4796" spans="1:3" ht="24" customHeight="1">
      <c r="A4796" s="4" t="str">
        <f ca="1">IFERROR(__xludf.DUMMYFUNCTION("""COMPUTED_VALUE"""),"सर्वथापि शुचिनि क्रियमाणे मन्दिरोदर इवावकरा ये । उद्भवन्ति भविनां हृदि तेषां शोधनी भवदनुस्मृतिधारा ॥नैषधीयचरितम्२१.११४ ॥")</f>
        <v>सर्वथापि शुचिनि क्रियमाणे मन्दिरोदर इवावकरा ये । उद्भवन्ति भविनां हृदि तेषां शोधनी भवदनुस्मृतिधारा ॥नैषधीयचरितम्२१.११४ ॥</v>
      </c>
      <c r="B4796" s="4" t="s">
        <v>0</v>
      </c>
      <c r="C4796" s="4"/>
    </row>
    <row r="4797" spans="1:3" ht="24" customHeight="1">
      <c r="A4797" s="4" t="str">
        <f ca="1">IFERROR(__xludf.DUMMYFUNCTION("""COMPUTED_VALUE"""),"अस्मदाद्यविषयेऽपि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॥नैषधीयचरितम्२१.११५ ॥")</f>
        <v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॥नैषधीयचरितम्२१.११५ ॥</v>
      </c>
      <c r="B4797" s="4" t="s">
        <v>9</v>
      </c>
      <c r="C4797" s="4"/>
    </row>
    <row r="4798" spans="1:3" ht="24" customHeight="1">
      <c r="A4798" s="4" t="str">
        <f ca="1">IFERROR(__xludf.DUMMYFUNCTION("""COMPUTED_VALUE"""),"भक्तिभाजमनुगृह्य दृशा मां भाष्करेण कुरु वीततमस्कम् । अर्पितेन मम नाथ न तापं लोचनेन विधुना विधुनासि ॥नैषधीयचरितम्२१.११६ ॥")</f>
        <v>भक्तिभाजमनुगृह्य दृशा मां भाष्करेण कुरु वीततमस्कम् । अर्पितेन मम नाथ न तापं लोचनेन विधुना विधुनासि ॥नैषधीयचरितम्२१.११६ ॥</v>
      </c>
      <c r="B4798" s="4" t="s">
        <v>18</v>
      </c>
      <c r="C4798" s="4"/>
    </row>
    <row r="4799" spans="1:3" ht="24" customHeight="1">
      <c r="A4799" s="4" t="str">
        <f ca="1">IFERROR(__xludf.DUMMYFUNCTION("""COMPUTED_VALUE"""),"लङ्घयन्नहरहर्भवदाज्ञामस्मि हा विधिनिषेधमयीं यः । दुर्लभं स तपसापि गिरैव त्वत्प्रसादमहमिच्छुरलज्जः ॥नैषधीयचरितम्२१.११७ ॥")</f>
        <v>लङ्घयन्नहरहर्भवदाज्ञामस्मि हा विधिनिषेधमयीं यः । दुर्लभं स तपसापि गिरैव त्वत्प्रसादमहमिच्छुरलज्जः ॥नैषधीयचरितम्२१.११७ ॥</v>
      </c>
      <c r="B4799" s="4" t="s">
        <v>3</v>
      </c>
      <c r="C4799" s="4"/>
    </row>
    <row r="4800" spans="1:3" ht="24" customHeight="1">
      <c r="A4800" s="4" t="str">
        <f ca="1">IFERROR(__xludf.DUMMYFUNCTION("""COMPUTED_VALUE"""),"विश्वरूप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॥नैषधीयचरितम्२१.११८ ॥ ")</f>
        <v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॥नैषधीयचरितम्२१.११८ ॥ </v>
      </c>
      <c r="B4800" s="4" t="s">
        <v>0</v>
      </c>
      <c r="C4800" s="4"/>
    </row>
    <row r="4801" spans="1:3" ht="24" customHeight="1">
      <c r="A4801" s="4" t="str">
        <f ca="1">IFERROR(__xludf.DUMMYFUNCTION("""COMPUTED_VALUE"""),"इत्युदीर्य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॥नैषधीयचरितम्२१.११९ ॥")</f>
        <v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॥नैषधीयचरितम्२१.११९ ॥</v>
      </c>
      <c r="B4801" s="4" t="s">
        <v>7</v>
      </c>
      <c r="C4801" s="4"/>
    </row>
    <row r="4802" spans="1:3" ht="24" customHeight="1">
      <c r="A4802" s="4" t="str">
        <f ca="1">IFERROR(__xludf.DUMMYFUNCTION("""COMPUTED_VALUE"""),"विप्रपाणिषु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॥नैषधीयचरितम्२१.१२ ॥")</f>
        <v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॥नैषधीयचरितम्२१.१२ ॥</v>
      </c>
      <c r="B4802" s="4" t="s">
        <v>8</v>
      </c>
      <c r="C4802" s="4"/>
    </row>
    <row r="4803" spans="1:3" ht="24" customHeight="1">
      <c r="A4803" s="4" t="str">
        <f ca="1">IFERROR(__xludf.DUMMYFUNCTION("""COMPUTED_VALUE"""),"माध्यंदिनादनु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॥नैषधीयचरितम्२१.१२१ ॥")</f>
        <v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॥नैषधीयचरितम्२१.१२१ ॥</v>
      </c>
      <c r="B4803" s="4" t="s">
        <v>0</v>
      </c>
      <c r="C4803" s="4"/>
    </row>
    <row r="4804" spans="1:3" ht="24" customHeight="1">
      <c r="A4804" s="4" t="str">
        <f ca="1">IFERROR(__xludf.DUMMYFUNCTION("""COMPUTED_VALUE"""),"भीमात्मजापि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॥नैषधीयचरितम्२१.१२२ ॥")</f>
        <v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॥नैषधीयचरितम्२१.१२२ ॥</v>
      </c>
      <c r="B4804" s="4" t="s">
        <v>15</v>
      </c>
      <c r="C4804" s="4"/>
    </row>
    <row r="4805" spans="1:3" ht="24" customHeight="1">
      <c r="A4805" s="4" t="str">
        <f ca="1">IFERROR(__xludf.DUMMYFUNCTION("""COMPUTED_VALUE"""),"तामन्वगादशितबिम्बविपाकचञ्चोः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॥नैषधीयचरितम्२१.१२३ ॥")</f>
        <v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॥नैषधीयचरितम्२१.१२३ ॥</v>
      </c>
      <c r="B4805" s="4" t="s">
        <v>11</v>
      </c>
      <c r="C4805" s="4"/>
    </row>
    <row r="4806" spans="1:3" ht="24" customHeight="1">
      <c r="A4806" s="4" t="str">
        <f ca="1">IFERROR(__xludf.DUMMYFUNCTION("""COMPUTED_VALUE"""),"कूजायुजा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॥नैषधीयचरितम्२१.१२४ ॥")</f>
        <v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॥नैषधीयचरितम्२१.१२४ ॥</v>
      </c>
      <c r="B4806" s="4" t="s">
        <v>1</v>
      </c>
      <c r="C4806" s="4"/>
    </row>
    <row r="4807" spans="1:3" ht="24" customHeight="1">
      <c r="A4807" s="4" t="str">
        <f ca="1">IFERROR(__xludf.DUMMYFUNCTION("""COMPUTED_VALUE"""),"शिष्याः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॥नैषधीयचरितम्२१.१२५ ॥")</f>
        <v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॥नैषधीयचरितम्२१.१२५ ॥</v>
      </c>
      <c r="B4807" s="4" t="s">
        <v>3</v>
      </c>
      <c r="C4807" s="4"/>
    </row>
    <row r="4808" spans="1:3" ht="24" customHeight="1">
      <c r="A4808" s="4" t="str">
        <f ca="1">IFERROR(__xludf.DUMMYFUNCTION("""COMPUTED_VALUE"""),"तासामभासत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॥नैषधीयचरितम्२१.१२६ ॥")</f>
        <v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॥नैषधीयचरितम्२१.१२६ ॥</v>
      </c>
      <c r="B4808" s="4" t="s">
        <v>4</v>
      </c>
      <c r="C4808" s="4"/>
    </row>
    <row r="4809" spans="1:3" ht="24" customHeight="1">
      <c r="A4809" s="4" t="str">
        <f ca="1">IFERROR(__xludf.DUMMYFUNCTION("""COMPUTED_VALUE"""),"सा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॥नैषधीयचरितम्२१.१२७ ॥")</f>
        <v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॥नैषधीयचरितम्२१.१२७ ॥</v>
      </c>
      <c r="B4809" s="4" t="s">
        <v>2</v>
      </c>
      <c r="C4809" s="4"/>
    </row>
    <row r="4810" spans="1:3" ht="24" customHeight="1">
      <c r="A4810" s="4" t="str">
        <f ca="1">IFERROR(__xludf.DUMMYFUNCTION("""COMPUTED_VALUE"""),"नादं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॥नैषधीयचरितम्२१.१२८ ॥")</f>
        <v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॥नैषधीयचरितम्२१.१२८ ॥</v>
      </c>
      <c r="B4810" s="4" t="s">
        <v>2</v>
      </c>
      <c r="C4810" s="4"/>
    </row>
    <row r="4811" spans="1:3" ht="24" customHeight="1">
      <c r="A4811" s="4" t="str">
        <f ca="1">IFERROR(__xludf.DUMMYFUNCTION("""COMPUTED_VALUE"""),"आकृष्य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॥नैषधीयचरितम्२१.१२९ ॥")</f>
        <v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॥नैषधीयचरितम्२१.१२९ ॥</v>
      </c>
      <c r="B4811" s="4" t="s">
        <v>13</v>
      </c>
      <c r="C4811" s="4"/>
    </row>
    <row r="4812" spans="1:3" ht="24" customHeight="1">
      <c r="A4812" s="4" t="str">
        <f ca="1">IFERROR(__xludf.DUMMYFUNCTION("""COMPUTED_VALUE"""),"तद्दम्पतिश्रुतिमधून्यथ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॥नैषधीयचरितम्२१.१३ ॥")</f>
        <v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॥नैषधीयचरितम्२१.१३ ॥</v>
      </c>
      <c r="B4812" s="4" t="s">
        <v>4</v>
      </c>
      <c r="C4812" s="4"/>
    </row>
    <row r="4813" spans="1:3" ht="24" customHeight="1">
      <c r="A4813" s="4" t="str">
        <f ca="1">IFERROR(__xludf.DUMMYFUNCTION("""COMPUTED_VALUE"""),"अस्माकमुक्तिभिरवैष्यथ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॥नैषधीयचरितम्२१.१३१ ॥")</f>
        <v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॥नैषधीयचरितम्२१.१३१ ॥</v>
      </c>
      <c r="B4813" s="4" t="s">
        <v>5</v>
      </c>
      <c r="C4813" s="4"/>
    </row>
    <row r="4814" spans="1:3" ht="24" customHeight="1">
      <c r="A4814" s="4" t="str">
        <f ca="1">IFERROR(__xludf.DUMMYFUNCTION("""COMPUTED_VALUE"""),"भूभृद्भवाङ्कभुवि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॥नैषधीयचरितम्२१.१३२ ॥")</f>
        <v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॥नैषधीयचरितम्२१.१३२ ॥</v>
      </c>
      <c r="B4814" s="4" t="s">
        <v>17</v>
      </c>
      <c r="C4814" s="4"/>
    </row>
    <row r="4815" spans="1:3" ht="24" customHeight="1">
      <c r="A4815" s="4" t="str">
        <f ca="1">IFERROR(__xludf.DUMMYFUNCTION("""COMPUTED_VALUE"""),"एषा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॥नैषधीयचरितम्२१.१३३ ॥ ")</f>
        <v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॥नैषधीयचरितम्२१.१३३ ॥ </v>
      </c>
      <c r="B4815" s="4" t="s">
        <v>19</v>
      </c>
      <c r="C4815" s="4"/>
    </row>
    <row r="4816" spans="1:3" ht="24" customHeight="1">
      <c r="A4816" s="4" t="str">
        <f ca="1">IFERROR(__xludf.DUMMYFUNCTION("""COMPUTED_VALUE"""),"एतां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॥नैषधीयचरितम्२१.१३४ ॥ ")</f>
        <v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॥नैषधीयचरितम्२१.१३४ ॥ </v>
      </c>
      <c r="B4816" s="4" t="s">
        <v>8</v>
      </c>
      <c r="C4816" s="4"/>
    </row>
    <row r="4817" spans="1:3" ht="24" customHeight="1">
      <c r="A4817" s="4" t="str">
        <f ca="1">IFERROR(__xludf.DUMMYFUNCTION("""COMPUTED_VALUE"""),"दत्ते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॥नैषधीयचरितम्२१.१३५ ॥")</f>
        <v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॥नैषधीयचरितम्२१.१३५ ॥</v>
      </c>
      <c r="B4817" s="4" t="s">
        <v>2</v>
      </c>
      <c r="C4817" s="4"/>
    </row>
    <row r="4818" spans="1:3" ht="24" customHeight="1">
      <c r="A4818" s="4" t="str">
        <f ca="1">IFERROR(__xludf.DUMMYFUNCTION("""COMPUTED_VALUE"""),"चेतोभवस्य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॥नैषधीयचरितम्२१.१३६ ॥")</f>
        <v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॥नैषधीयचरितम्२१.१३६ ॥</v>
      </c>
      <c r="B4818" s="4" t="s">
        <v>2</v>
      </c>
      <c r="C4818" s="4"/>
    </row>
    <row r="4819" spans="1:3" ht="24" customHeight="1">
      <c r="A4819" s="4" t="str">
        <f ca="1">IFERROR(__xludf.DUMMYFUNCTION("""COMPUTED_VALUE"""),"अस्या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॥नैषधीयचरितम्२१.१३७ ॥")</f>
        <v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॥नैषधीयचरितम्२१.१३७ ॥</v>
      </c>
      <c r="B4819" s="4" t="s">
        <v>5</v>
      </c>
      <c r="C4819" s="4"/>
    </row>
    <row r="4820" spans="1:3" ht="24" customHeight="1">
      <c r="A4820" s="4" t="str">
        <f ca="1">IFERROR(__xludf.DUMMYFUNCTION("""COMPUTED_VALUE"""),"स्वेदाप्लवप्रणयिनी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॥नैषधीयचरितम्२१.१३८ ॥")</f>
        <v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॥नैषधीयचरितम्२१.१३८ ॥</v>
      </c>
      <c r="B4820" s="4" t="s">
        <v>15</v>
      </c>
      <c r="C4820" s="4"/>
    </row>
    <row r="4821" spans="1:3" ht="24" customHeight="1">
      <c r="A4821" s="4" t="str">
        <f ca="1">IFERROR(__xludf.DUMMYFUNCTION("""COMPUTED_VALUE"""),"प्राप्ता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॥नैषधीयचरितम्२१.१३९ ॥")</f>
        <v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॥नैषधीयचरितम्२१.१३९ ॥</v>
      </c>
      <c r="B4821" s="4" t="s">
        <v>0</v>
      </c>
      <c r="C4821" s="4"/>
    </row>
    <row r="4822" spans="1:3" ht="24" customHeight="1">
      <c r="A4822" s="4" t="str">
        <f ca="1">IFERROR(__xludf.DUMMYFUNCTION("""COMPUTED_VALUE"""),"रागं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॥नैषधीयचरितम्२१.१४ ॥")</f>
        <v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॥नैषधीयचरितम्२१.१४ ॥</v>
      </c>
      <c r="B4822" s="4" t="s">
        <v>1</v>
      </c>
      <c r="C4822" s="4"/>
    </row>
    <row r="4823" spans="1:3" ht="24" customHeight="1">
      <c r="A4823" s="4" t="str">
        <f ca="1">IFERROR(__xludf.DUMMYFUNCTION("""COMPUTED_VALUE"""),"अन्योन्यरागवशयोर्युवयोर्विलासस्वच्छन्दताच्छिदपयातु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॥नैषधीयचरितम्२१.१४१ ॥")</f>
        <v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॥नैषधीयचरितम्२१.१४१ ॥</v>
      </c>
      <c r="B4823" s="4" t="s">
        <v>5</v>
      </c>
      <c r="C4823" s="4"/>
    </row>
    <row r="4824" spans="1:3" ht="24" customHeight="1">
      <c r="A4824" s="4" t="str">
        <f ca="1">IFERROR(__xludf.DUMMYFUNCTION("""COMPUTED_VALUE"""),"इति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॥नैषधीयचरितम्२१.१४२ ॥")</f>
        <v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॥नैषधीयचरितम्२१.१४२ ॥</v>
      </c>
      <c r="B4824" s="4" t="s">
        <v>5</v>
      </c>
      <c r="C4824" s="4"/>
    </row>
    <row r="4825" spans="1:3" ht="24" customHeight="1">
      <c r="A4825" s="4" t="str">
        <f ca="1">IFERROR(__xludf.DUMMYFUNCTION("""COMPUTED_VALUE"""),"अकृत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॥नैषधीयचरितम्२१.१४३ ॥")</f>
        <v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॥नैषधीयचरितम्२१.१४३ ॥</v>
      </c>
      <c r="B4825" s="4" t="s">
        <v>15</v>
      </c>
      <c r="C4825" s="4"/>
    </row>
    <row r="4826" spans="1:3" ht="24" customHeight="1">
      <c r="A4826" s="4" t="str">
        <f ca="1">IFERROR(__xludf.DUMMYFUNCTION("""COMPUTED_VALUE"""),"तुङ्गप्रासादवासादथ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॥नैषधीयचरितम्२१.१४४ ॥")</f>
        <v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॥नैषधीयचरितम्२१.१४४ ॥</v>
      </c>
      <c r="B4826" s="4" t="s">
        <v>5</v>
      </c>
      <c r="C4826" s="4"/>
    </row>
    <row r="4827" spans="1:3" ht="24" customHeight="1">
      <c r="A4827" s="4" t="str">
        <f ca="1">IFERROR(__xludf.DUMMYFUNCTION("""COMPUTED_VALUE"""),"अथ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॥नैषधीयचरितम्२१.१४५ ॥")</f>
        <v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॥नैषधीयचरितम्२१.१४५ ॥</v>
      </c>
      <c r="B4827" s="4" t="s">
        <v>18</v>
      </c>
      <c r="C4827" s="4"/>
    </row>
    <row r="4828" spans="1:3" ht="24" customHeight="1">
      <c r="A4828" s="4" t="str">
        <f ca="1">IFERROR(__xludf.DUMMYFUNCTION("""COMPUTED_VALUE"""),"अभिलपति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॥नैषधीयचरितम्२१.१४६ ॥")</f>
        <v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॥नैषधीयचरितम्२१.१४६ ॥</v>
      </c>
      <c r="B4828" s="4" t="s">
        <v>12</v>
      </c>
      <c r="C4828" s="4"/>
    </row>
    <row r="4829" spans="1:3" ht="24" customHeight="1">
      <c r="A4829" s="4" t="str">
        <f ca="1">IFERROR(__xludf.DUMMYFUNCTION("""COMPUTED_VALUE"""),"कुमुदमुदमुदेष्यतीमसोढा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॥नैषधीयचरितम्२१.१४७ ॥")</f>
        <v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॥नैषधीयचरितम्२१.१४७ ॥</v>
      </c>
      <c r="B4829" s="4" t="s">
        <v>2</v>
      </c>
      <c r="C4829" s="4"/>
    </row>
    <row r="4830" spans="1:3" ht="24" customHeight="1">
      <c r="A4830" s="4" t="str">
        <f ca="1">IFERROR(__xludf.DUMMYFUNCTION("""COMPUTED_VALUE"""),"अपि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॥नैषधीयचरितम्२१.१४८ ॥")</f>
        <v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॥नैषधीयचरितम्२१.१४८ ॥</v>
      </c>
      <c r="B4830" s="4" t="s">
        <v>1</v>
      </c>
      <c r="C4830" s="4"/>
    </row>
    <row r="4831" spans="1:3" ht="24" customHeight="1">
      <c r="A4831" s="4" t="str">
        <f ca="1">IFERROR(__xludf.DUMMYFUNCTION("""COMPUTED_VALUE"""),"अङ्घ्रिस्थारुणिमेष्टकाविसरणैः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॥नैषधीयचरितम्२१.१४९ ॥")</f>
        <v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॥नैषधीयचरितम्२१.१४९ ॥</v>
      </c>
      <c r="B4831" s="4" t="s">
        <v>2</v>
      </c>
      <c r="C4831" s="4"/>
    </row>
    <row r="4832" spans="1:3" ht="24" customHeight="1">
      <c r="A4832" s="4" t="str">
        <f ca="1">IFERROR(__xludf.DUMMYFUNCTION("""COMPUTED_VALUE"""),"इति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॥नैषधीयचरितम्२१.१५ ॥")</f>
        <v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॥नैषधीयचरितम्२१.१५ ॥</v>
      </c>
      <c r="B4832" s="4" t="s">
        <v>10</v>
      </c>
      <c r="C4832" s="4"/>
    </row>
    <row r="4833" spans="1:3" ht="24" customHeight="1">
      <c r="A4833" s="4" t="str">
        <f ca="1">IFERROR(__xludf.DUMMYFUNCTION("""COMPUTED_VALUE"""),"स्त्रीपुंसौ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॥नैषधीयचरितम्२१.१५१ ॥")</f>
        <v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॥नैषधीयचरितम्२१.१५१ ॥</v>
      </c>
      <c r="B4833" s="4" t="s">
        <v>5</v>
      </c>
      <c r="C4833" s="4"/>
    </row>
    <row r="4834" spans="1:3" ht="24" customHeight="1">
      <c r="A4834" s="4" t="str">
        <f ca="1">IFERROR(__xludf.DUMMYFUNCTION("""COMPUTED_VALUE"""),"पीतो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॥नैषधीयचरितम्२१.१५२ ॥")</f>
        <v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॥नैषधीयचरितम्२१.१५२ ॥</v>
      </c>
      <c r="B4834" s="4" t="s">
        <v>8</v>
      </c>
      <c r="C4834" s="4"/>
    </row>
    <row r="4835" spans="1:3" ht="24" customHeight="1">
      <c r="A4835" s="4" t="str">
        <f ca="1">IFERROR(__xludf.DUMMYFUNCTION("""COMPUTED_VALUE"""),"खण्डक्षोदमृदि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॥नैषधीयचरितम्२१.१५३ ॥")</f>
        <v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॥नैषधीयचरितम्२१.१५३ ॥</v>
      </c>
      <c r="B4835" s="4" t="s">
        <v>5</v>
      </c>
      <c r="C4835" s="4"/>
    </row>
    <row r="4836" spans="1:3" ht="24" customHeight="1">
      <c r="A4836" s="4" t="str">
        <f ca="1">IFERROR(__xludf.DUMMYFUNCTION("""COMPUTED_VALUE"""),"उन्मीलद्गुडपाकतन्तुलतया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॥नैषधीयचरितम्२१.१५४ ॥")</f>
        <v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॥नैषधीयचरितम्२१.१५४ ॥</v>
      </c>
      <c r="B4836" s="4" t="s">
        <v>7</v>
      </c>
      <c r="C4836" s="4"/>
    </row>
    <row r="4837" spans="1:3" ht="24" customHeight="1">
      <c r="A4837" s="4" t="str">
        <f ca="1">IFERROR(__xludf.DUMMYFUNCTION("""COMPUTED_VALUE"""),"आस्ये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॥नैषधीयचरितम्२१.१५५ ॥")</f>
        <v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॥नैषधीयचरितम्२१.१५५ ॥</v>
      </c>
      <c r="B4837" s="4" t="s">
        <v>2</v>
      </c>
      <c r="C4837" s="4"/>
    </row>
    <row r="4838" spans="1:3" ht="24" customHeight="1">
      <c r="A4838" s="4" t="str">
        <f ca="1">IFERROR(__xludf.DUMMYFUNCTION("""COMPUTED_VALUE"""),"वाणी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॥नैषधीयचरितम्२१.१५६ ॥")</f>
        <v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॥नैषधीयचरितम्२१.१५६ ॥</v>
      </c>
      <c r="B4838" s="4" t="s">
        <v>0</v>
      </c>
      <c r="C4838" s="4"/>
    </row>
    <row r="4839" spans="1:3" ht="24" customHeight="1">
      <c r="A4839" s="4" t="str">
        <f ca="1">IFERROR(__xludf.DUMMYFUNCTION("""COMPUTED_VALUE"""),"परभृतयुवतीनां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॥नैषधीयचरितम्२१.१५७ ॥")</f>
        <v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॥नैषधीयचरितम्२१.१५७ ॥</v>
      </c>
      <c r="B4839" s="4" t="s">
        <v>1</v>
      </c>
      <c r="C4839" s="4"/>
    </row>
    <row r="4840" spans="1:3" ht="24" customHeight="1">
      <c r="A4840" s="4" t="str">
        <f ca="1">IFERROR(__xludf.DUMMYFUNCTION("""COMPUTED_VALUE"""),"ऊर्ध्वस्ते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॥नैषधीयचरितम्२१.१५८ ॥")</f>
        <v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॥नैषधीयचरितम्२१.१५८ ॥</v>
      </c>
      <c r="B4840" s="4" t="s">
        <v>2</v>
      </c>
      <c r="C4840" s="4"/>
    </row>
    <row r="4841" spans="1:3" ht="24" customHeight="1">
      <c r="A4841" s="4" t="str">
        <f ca="1">IFERROR(__xludf.DUMMYFUNCTION("""COMPUTED_VALUE"""),"स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॥नैषधीयचरितम्२१.१५९ ॥")</f>
        <v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॥नैषधीयचरितम्२१.१५९ ॥</v>
      </c>
      <c r="B4841" s="4" t="s">
        <v>0</v>
      </c>
      <c r="C4841" s="4"/>
    </row>
    <row r="4842" spans="1:3" ht="24" customHeight="1">
      <c r="A4842" s="4" t="str">
        <f ca="1">IFERROR(__xludf.DUMMYFUNCTION("""COMPUTED_VALUE"""),"मध्ये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॥नैषधीयचरितम्२१.१६ ॥")</f>
        <v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॥नैषधीयचरितम्२१.१६ ॥</v>
      </c>
      <c r="B4842" s="4" t="s">
        <v>5</v>
      </c>
      <c r="C4842" s="4"/>
    </row>
    <row r="4843" spans="1:3" ht="24" customHeight="1">
      <c r="A4843" s="4" t="str">
        <f ca="1">IFERROR(__xludf.DUMMYFUNCTION("""COMPUTED_VALUE"""),"त्वद्वाचः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॥नैषधीयचरितम्२१.१६१ ॥")</f>
        <v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॥नैषधीयचरितम्२१.१६१ ॥</v>
      </c>
      <c r="B4843" s="4" t="s">
        <v>24</v>
      </c>
      <c r="C4843" s="4"/>
    </row>
    <row r="4844" spans="1:3" ht="24" customHeight="1">
      <c r="A4844" s="4" t="str">
        <f ca="1">IFERROR(__xludf.DUMMYFUNCTION("""COMPUTED_VALUE"""),"शोकश्चेत्कोकयोस्त्वां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॥नैषधीयचरितम्२१.१६२ ॥")</f>
        <v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॥नैषधीयचरितम्२१.१६२ ॥</v>
      </c>
      <c r="B4844" s="4" t="s">
        <v>7</v>
      </c>
      <c r="C4844" s="4"/>
    </row>
    <row r="4845" spans="1:3" ht="24" customHeight="1">
      <c r="A4845" s="4" t="str">
        <f ca="1">IFERROR(__xludf.DUMMYFUNCTION("""COMPUTED_VALUE"""),"तदानन्दाय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॥नैषधीयचरितम्२१.१६३ ॥")</f>
        <v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॥नैषधीयचरितम्२१.१६३ ॥</v>
      </c>
      <c r="B4845" s="4" t="s">
        <v>6</v>
      </c>
      <c r="C4845" s="4"/>
    </row>
    <row r="4846" spans="1:3" ht="24" customHeight="1">
      <c r="A4846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॥नैषधीयचरितम्२१.१६४ ॥")</f>
        <v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॥नैषधीयचरितम्२१.१६४ ॥</v>
      </c>
      <c r="B4846" s="4" t="s">
        <v>11</v>
      </c>
      <c r="C4846" s="4"/>
    </row>
    <row r="4847" spans="1:3" ht="24" customHeight="1">
      <c r="A4847" s="4" t="str">
        <f ca="1">IFERROR(__xludf.DUMMYFUNCTION("""COMPUTED_VALUE"""),"उपास्य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॥नैषधीयचरितम्२२.१ ॥")</f>
        <v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॥नैषधीयचरितम्२२.१ ॥</v>
      </c>
      <c r="B4847" s="4" t="s">
        <v>0</v>
      </c>
      <c r="C4847" s="4"/>
    </row>
    <row r="4848" spans="1:3" ht="24" customHeight="1">
      <c r="A4848" s="4" t="str">
        <f ca="1">IFERROR(__xludf.DUMMYFUNCTION("""COMPUTED_VALUE"""),"प्रत्युद्व्रजन्त्या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॥नैषधीयचरितम्२२.२ ॥")</f>
        <v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॥नैषधीयचरितम्२२.२ ॥</v>
      </c>
      <c r="B4848" s="4" t="s">
        <v>5</v>
      </c>
      <c r="C4848" s="4"/>
    </row>
    <row r="4849" spans="1:3" ht="24" customHeight="1">
      <c r="A4849" s="4" t="str">
        <f ca="1">IFERROR(__xludf.DUMMYFUNCTION("""COMPUTED_VALUE"""),"विलोकनेनानुगृहाण तावद्दिशं जलानामधिपस्य दारान् । अक्षालि लाक्षापयसेव येयमपूरि पङ्कैरिव कुङ्कुमस्य ॥नैषधीयचरितम्२२.३ ॥")</f>
        <v>विलोकनेनानुगृहाण तावद्दिशं जलानामधिपस्य दारान् । अक्षालि लाक्षापयसेव येयमपूरि पङ्कैरिव कुङ्कुमस्य ॥नैषधीयचरितम्२२.३ ॥</v>
      </c>
      <c r="B4849" s="4" t="s">
        <v>5</v>
      </c>
      <c r="C4849" s="4"/>
    </row>
    <row r="4850" spans="1:3" ht="24" customHeight="1">
      <c r="A4850" s="4" t="str">
        <f ca="1">IFERROR(__xludf.DUMMYFUNCTION("""COMPUTED_VALUE"""),"उच्चैस्तरादम्बरशैलमौलेश्च्युतो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॥नैषधीयचरितम्२२.४ ॥")</f>
        <v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॥नैषधीयचरितम्२२.४ ॥</v>
      </c>
      <c r="B4850" s="4" t="s">
        <v>2</v>
      </c>
      <c r="C4850" s="4"/>
    </row>
    <row r="4851" spans="1:3" ht="24" customHeight="1">
      <c r="A4851" s="4" t="str">
        <f ca="1">IFERROR(__xludf.DUMMYFUNCTION("""COMPUTED_VALUE"""),"अस्ताद्रिचूडालयपक्कणालिच्छेकस्य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॥नैषधीयचरितम्२२.५ ॥")</f>
        <v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॥नैषधीयचरितम्२२.५ ॥</v>
      </c>
      <c r="B4851" s="4" t="s">
        <v>5</v>
      </c>
      <c r="C4851" s="4"/>
    </row>
    <row r="4852" spans="1:3" ht="24" customHeight="1">
      <c r="A4852" s="4" t="str">
        <f ca="1">IFERROR(__xludf.DUMMYFUNCTION("""COMPUTED_VALUE"""),"पश्य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॥नैषधीयचरितम्२२.६ ॥")</f>
        <v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॥नैषधीयचरितम्२२.६ ॥</v>
      </c>
      <c r="B4852" s="4" t="s">
        <v>0</v>
      </c>
      <c r="C4852" s="4"/>
    </row>
    <row r="4853" spans="1:3" ht="24" customHeight="1">
      <c r="A4853" s="4" t="str">
        <f ca="1">IFERROR(__xludf.DUMMYFUNCTION("""COMPUTED_VALUE"""),"महानटः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॥नैषधीयचरितम्२२.७ ॥")</f>
        <v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॥नैषधीयचरितम्२२.७ ॥</v>
      </c>
      <c r="B4853" s="4" t="s">
        <v>0</v>
      </c>
      <c r="C4853" s="4"/>
    </row>
    <row r="4854" spans="1:3" ht="24" customHeight="1">
      <c r="A4854" s="4" t="str">
        <f ca="1">IFERROR(__xludf.DUMMYFUNCTION("""COMPUTED_VALUE"""),"भूषास्थिदाम्नस्त्रुटितस्य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॥नैषधीयचरितम्२२.८ ॥")</f>
        <v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॥नैषधीयचरितम्२२.८ ॥</v>
      </c>
      <c r="B4854" s="4" t="s">
        <v>23</v>
      </c>
      <c r="C4854" s="4"/>
    </row>
    <row r="4855" spans="1:3" ht="24" customHeight="1">
      <c r="A4855" s="4" t="str">
        <f ca="1">IFERROR(__xludf.DUMMYFUNCTION("""COMPUTED_VALUE"""),"कालः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॥नैषधीयचरितम्२२.९ ॥")</f>
        <v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॥नैषधीयचरितम्२२.९ ॥</v>
      </c>
      <c r="B4855" s="4" t="s">
        <v>1</v>
      </c>
      <c r="C4855" s="4"/>
    </row>
    <row r="4856" spans="1:3" ht="24" customHeight="1">
      <c r="A4856" s="4" t="str">
        <f ca="1">IFERROR(__xludf.DUMMYFUNCTION("""COMPUTED_VALUE"""),"संध्यासरागः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॥नैषधीयचरितम्२२.१ ॥")</f>
        <v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॥नैषधीयचरितम्२२.१ ॥</v>
      </c>
      <c r="B4856" s="4" t="s">
        <v>5</v>
      </c>
      <c r="C4856" s="4"/>
    </row>
    <row r="4857" spans="1:3" ht="24" customHeight="1">
      <c r="A4857" s="4" t="str">
        <f ca="1">IFERROR(__xludf.DUMMYFUNCTION("""COMPUTED_VALUE"""),"सतीमुमामुद्वहता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॥नैषधीयचरितम्२२.११ ॥")</f>
        <v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॥नैषधीयचरितम्२२.११ ॥</v>
      </c>
      <c r="B4857" s="4" t="s">
        <v>2</v>
      </c>
      <c r="C4857" s="4"/>
    </row>
    <row r="4858" spans="1:3" ht="24" customHeight="1">
      <c r="A4858" s="4" t="str">
        <f ca="1">IFERROR(__xludf.DUMMYFUNCTION("""COMPUTED_VALUE"""),"आदाय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॥नैषधीयचरितम्२२.१२ ॥")</f>
        <v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॥नैषधीयचरितम्२२.१२ ॥</v>
      </c>
      <c r="B4858" s="4" t="s">
        <v>5</v>
      </c>
      <c r="C4858" s="4"/>
    </row>
    <row r="4859" spans="1:3" ht="24" customHeight="1">
      <c r="A4859" s="4" t="str">
        <f ca="1">IFERROR(__xludf.DUMMYFUNCTION("""COMPUTED_VALUE"""),"अस्ताचलेऽस्मिन्निकषोपलाभे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॥नैषधीयचरितम्२२.१३ ॥")</f>
        <v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॥नैषधीयचरितम्२२.१३ ॥</v>
      </c>
      <c r="B4859" s="4" t="s">
        <v>5</v>
      </c>
      <c r="C4859" s="4"/>
    </row>
    <row r="4860" spans="1:3" ht="24" customHeight="1">
      <c r="A4860" s="4" t="str">
        <f ca="1">IFERROR(__xludf.DUMMYFUNCTION("""COMPUTED_VALUE"""),"पचेलिमं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॥नैषधीयचरितम्२२.१४ ॥")</f>
        <v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॥नैषधीयचरितम्२२.१४ ॥</v>
      </c>
      <c r="B4860" s="4" t="s">
        <v>10</v>
      </c>
      <c r="C4860" s="4"/>
    </row>
    <row r="4861" spans="1:3" ht="24" customHeight="1">
      <c r="A4861" s="4" t="str">
        <f ca="1">IFERROR(__xludf.DUMMYFUNCTION("""COMPUTED_VALUE"""),"ताराततिर्बीजमिवादमादमियं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॥नैषधीयचरितम्२२.१५ ॥")</f>
        <v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॥नैषधीयचरितम्२२.१५ ॥</v>
      </c>
      <c r="B4861" s="4" t="s">
        <v>4</v>
      </c>
      <c r="C4861" s="4"/>
    </row>
    <row r="4862" spans="1:3" ht="24" customHeight="1">
      <c r="A4862" s="4" t="str">
        <f ca="1">IFERROR(__xludf.DUMMYFUNCTION("""COMPUTED_VALUE"""),"संध्यावशेषे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॥नैषधीयचरितम्२२.१६ ॥")</f>
        <v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॥नैषधीयचरितम्२२.१६ ॥</v>
      </c>
      <c r="B4862" s="4" t="s">
        <v>5</v>
      </c>
      <c r="C4862" s="4"/>
    </row>
    <row r="4863" spans="1:3" ht="24" customHeight="1">
      <c r="A4863" s="4" t="str">
        <f ca="1">IFERROR(__xludf.DUMMYFUNCTION("""COMPUTED_VALUE"""),"इत्थं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॥नैषधीयचरितम्२२.१७ ॥")</f>
        <v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॥नैषधीयचरितम्२२.१७ ॥</v>
      </c>
      <c r="B4863" s="4" t="s">
        <v>13</v>
      </c>
      <c r="C4863" s="4"/>
    </row>
    <row r="4864" spans="1:3" ht="24" customHeight="1">
      <c r="A4864" s="4" t="str">
        <f ca="1">IFERROR(__xludf.DUMMYFUNCTION("""COMPUTED_VALUE"""),"रामेषुमर्मव्रणनार्तिवेगाद्रत्नाकरः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॥नैषधीयचरितम्२२.१८ ॥")</f>
        <v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॥नैषधीयचरितम्२२.१८ ॥</v>
      </c>
      <c r="B4864" s="4" t="s">
        <v>0</v>
      </c>
      <c r="C4864" s="4"/>
    </row>
    <row r="4865" spans="1:3" ht="24" customHeight="1">
      <c r="A4865" s="4" t="str">
        <f ca="1">IFERROR(__xludf.DUMMYFUNCTION("""COMPUTED_VALUE"""),"मोहाय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॥नैषधीयचरितम्२२.१९ ॥")</f>
        <v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॥नैषधीयचरितम्२२.१९ ॥</v>
      </c>
      <c r="B4865" s="4" t="s">
        <v>17</v>
      </c>
      <c r="C4865" s="4"/>
    </row>
    <row r="4866" spans="1:3" ht="24" customHeight="1">
      <c r="A4866" s="4" t="str">
        <f ca="1">IFERROR(__xludf.DUMMYFUNCTION("""COMPUTED_VALUE"""),"नभोनदीकूलकुलायचक्रीकुलस्य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॥नैषधीयचरितम्२२.२ ॥")</f>
        <v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॥नैषधीयचरितम्२२.२ ॥</v>
      </c>
      <c r="B4866" s="4" t="s">
        <v>0</v>
      </c>
      <c r="C4866" s="4"/>
    </row>
    <row r="4867" spans="1:3" ht="24" customHeight="1">
      <c r="A4867" s="4" t="str">
        <f ca="1">IFERROR(__xludf.DUMMYFUNCTION("""COMPUTED_VALUE"""),"अमूनि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॥नैषधीयचरितम्२२.२१ ॥")</f>
        <v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॥नैषधीयचरितम्२२.२१ ॥</v>
      </c>
      <c r="B4867" s="4" t="s">
        <v>12</v>
      </c>
      <c r="C4867" s="4"/>
    </row>
    <row r="4868" spans="1:3" ht="24" customHeight="1">
      <c r="A4868" s="4" t="str">
        <f ca="1">IFERROR(__xludf.DUMMYFUNCTION("""COMPUTED_VALUE"""),"स्मरस्य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॥नैषधीयचरितम्२२.२२ ॥")</f>
        <v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॥नैषधीयचरितम्२२.२२ ॥</v>
      </c>
      <c r="B4868" s="4" t="s">
        <v>5</v>
      </c>
      <c r="C4868" s="4"/>
    </row>
    <row r="4869" spans="1:3" ht="24" customHeight="1">
      <c r="A4869" s="4" t="str">
        <f ca="1">IFERROR(__xludf.DUMMYFUNCTION("""COMPUTED_VALUE"""),"किं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॥नैषधीयचरितम्२२.२३ ॥")</f>
        <v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॥नैषधीयचरितम्२२.२३ ॥</v>
      </c>
      <c r="B4869" s="4" t="s">
        <v>26</v>
      </c>
      <c r="C4869" s="4"/>
    </row>
    <row r="4870" spans="1:3" ht="24" customHeight="1">
      <c r="A4870" s="4" t="str">
        <f ca="1">IFERROR(__xludf.DUMMYFUNCTION("""COMPUTED_VALUE"""),"प्रबोधकालेऽहनि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॥नैषधीयचरितम्२२.२४ ॥")</f>
        <v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॥नैषधीयचरितम्२२.२४ ॥</v>
      </c>
      <c r="B4870" s="4" t="s">
        <v>6</v>
      </c>
      <c r="C4870" s="4"/>
    </row>
    <row r="4871" spans="1:3" ht="24" customHeight="1">
      <c r="A4871" s="4" t="str">
        <f ca="1">IFERROR(__xludf.DUMMYFUNCTION("""COMPUTED_VALUE"""),"एणः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॥नैषधीयचरितम्२२.२५ ॥")</f>
        <v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॥नैषधीयचरितम्२२.२५ ॥</v>
      </c>
      <c r="B4871" s="4" t="s">
        <v>5</v>
      </c>
      <c r="C4871" s="4"/>
    </row>
    <row r="4872" spans="1:3" ht="24" customHeight="1">
      <c r="A4872" s="4" t="str">
        <f ca="1">IFERROR(__xludf.DUMMYFUNCTION("""COMPUTED_VALUE"""),"लोकाश्रयो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॥नैषधीयचरितम्२२.२६ ॥")</f>
        <v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॥नैषधीयचरितम्२२.२६ ॥</v>
      </c>
      <c r="B4872" s="4" t="s">
        <v>1</v>
      </c>
      <c r="C4872" s="4"/>
    </row>
    <row r="4873" spans="1:3" ht="24" customHeight="1">
      <c r="A4873" s="4" t="str">
        <f ca="1">IFERROR(__xludf.DUMMYFUNCTION("""COMPUTED_VALUE"""),"शचीसपत्न्यां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॥नैषधीयचरितम्२२.२७ ॥")</f>
        <v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॥नैषधीयचरितम्२२.२७ ॥</v>
      </c>
      <c r="B4873" s="4" t="s">
        <v>0</v>
      </c>
      <c r="C4873" s="4"/>
    </row>
    <row r="4874" spans="1:3" ht="24" customHeight="1">
      <c r="A4874" s="4" t="str">
        <f ca="1">IFERROR(__xludf.DUMMYFUNCTION("""COMPUTED_VALUE"""),"रामालिरोमावलिदिग्विगाहि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॥नैषधीयचरितम्२२.२८ ॥")</f>
        <v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॥नैषधीयचरितम्२२.२८ ॥</v>
      </c>
      <c r="B4874" s="4" t="s">
        <v>4</v>
      </c>
      <c r="C4874" s="4"/>
    </row>
    <row r="4875" spans="1:3" ht="24" customHeight="1">
      <c r="A4875" s="4" t="str">
        <f ca="1">IFERROR(__xludf.DUMMYFUNCTION("""COMPUTED_VALUE"""),"पक्वं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॥नैषधीयचरितम्२२.२९ ॥")</f>
        <v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॥नैषधीयचरितम्२२.२९ ॥</v>
      </c>
      <c r="B4875" s="4" t="s">
        <v>18</v>
      </c>
      <c r="C4875" s="4"/>
    </row>
    <row r="4876" spans="1:3" ht="24" customHeight="1">
      <c r="A4876" s="4" t="str">
        <f ca="1">IFERROR(__xludf.DUMMYFUNCTION("""COMPUTED_VALUE"""),"पत्युर्गिरीणामयशः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॥नैषधीयचरितम्२२.३ ॥")</f>
        <v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॥नैषधीयचरितम्२२.३ ॥</v>
      </c>
      <c r="B4876" s="4" t="s">
        <v>6</v>
      </c>
      <c r="C4876" s="4"/>
    </row>
    <row r="4877" spans="1:3" ht="24" customHeight="1">
      <c r="A4877" s="4" t="str">
        <f ca="1">IFERROR(__xludf.DUMMYFUNCTION("""COMPUTED_VALUE"""),"ऊर्ध्वं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॥नैषधीयचरितम्२२.३१ ॥")</f>
        <v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॥नैषधीयचरितम्२२.३१ ॥</v>
      </c>
      <c r="B4877" s="4" t="s">
        <v>0</v>
      </c>
      <c r="C4877" s="4"/>
    </row>
    <row r="4878" spans="1:3" ht="24" customHeight="1">
      <c r="A4878" s="4" t="str">
        <f ca="1">IFERROR(__xludf.DUMMYFUNCTION("""COMPUTED_VALUE"""),"ऊर्ध्वार्पितन्युब्जकटाहकल्पे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॥नैषधीयचरितम्२२.३२ ॥")</f>
        <v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॥नैषधीयचरितम्२२.३२ ॥</v>
      </c>
      <c r="B4878" s="4" t="s">
        <v>19</v>
      </c>
      <c r="C4878" s="4"/>
    </row>
    <row r="4879" spans="1:3" ht="24" customHeight="1">
      <c r="A4879" s="4" t="str">
        <f ca="1">IFERROR(__xludf.DUMMYFUNCTION("""COMPUTED_VALUE"""),"ध्वान्तैणनाभ्या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॥नैषधीयचरितम्२२.३३ ॥")</f>
        <v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॥नैषधीयचरितम्२२.३३ ॥</v>
      </c>
      <c r="B4879" s="4" t="s">
        <v>6</v>
      </c>
      <c r="C4879" s="4"/>
    </row>
    <row r="4880" spans="1:3" ht="24" customHeight="1">
      <c r="A4880" s="4" t="str">
        <f ca="1">IFERROR(__xludf.DUMMYFUNCTION("""COMPUTED_VALUE"""),"भास्वन्मयीं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॥नैषधीयचरितम्२२.३४ ॥")</f>
        <v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॥नैषधीयचरितम्२२.३४ ॥</v>
      </c>
      <c r="B4880" s="4" t="s">
        <v>12</v>
      </c>
      <c r="C4880" s="4"/>
    </row>
    <row r="4881" spans="1:3" ht="24" customHeight="1">
      <c r="A4881" s="4" t="str">
        <f ca="1">IFERROR(__xludf.DUMMYFUNCTION("""COMPUTED_VALUE"""),"विवस्वतानायिषतेव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॥नैषधीयचरितम्२२.३५ ॥")</f>
        <v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॥नैषधीयचरितम्२२.३५ ॥</v>
      </c>
      <c r="B4881" s="4" t="s">
        <v>0</v>
      </c>
      <c r="C4881" s="4"/>
    </row>
    <row r="4882" spans="1:3" ht="24" customHeight="1">
      <c r="A4882" s="4" t="str">
        <f ca="1">IFERROR(__xludf.DUMMYFUNCTION("""COMPUTED_VALUE"""),"ध्वान्तस्य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॥नैषधीयचरितम्२२.३६ ॥")</f>
        <v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॥नैषधीयचरितम्२२.३६ ॥</v>
      </c>
      <c r="B4882" s="4" t="s">
        <v>5</v>
      </c>
      <c r="C4882" s="4"/>
    </row>
    <row r="4883" spans="1:3" ht="24" customHeight="1">
      <c r="A4883" s="4" t="str">
        <f ca="1">IFERROR(__xludf.DUMMYFUNCTION("""COMPUTED_VALUE"""),"म्लानिस्पृशः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॥नैषधीयचरितम्२२.३७ ॥")</f>
        <v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॥नैषधीयचरितम्२२.३७ ॥</v>
      </c>
      <c r="B4883" s="4" t="s">
        <v>2</v>
      </c>
      <c r="C4883" s="4"/>
    </row>
    <row r="4884" spans="1:3" ht="24" customHeight="1">
      <c r="A4884" s="4" t="str">
        <f ca="1">IFERROR(__xludf.DUMMYFUNCTION("""COMPUTED_VALUE"""),"मूर्धाभिषिक्तः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॥नैषधीयचरितम्२२.३८ ॥")</f>
        <v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॥नैषधीयचरितम्२२.३८ ॥</v>
      </c>
      <c r="B4884" s="4" t="s">
        <v>19</v>
      </c>
      <c r="C4884" s="4"/>
    </row>
    <row r="4885" spans="1:3" ht="24" customHeight="1">
      <c r="A4885" s="4" t="str">
        <f ca="1">IFERROR(__xludf.DUMMYFUNCTION("""COMPUTED_VALUE"""),"दिने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॥नैषधीयचरितम्२२.३९ ॥")</f>
        <v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॥नैषधीयचरितम्२२.३९ ॥</v>
      </c>
      <c r="B4885" s="4" t="s">
        <v>0</v>
      </c>
      <c r="C4885" s="4"/>
    </row>
    <row r="4886" spans="1:3" ht="24" customHeight="1">
      <c r="A4886" s="4" t="str">
        <f ca="1">IFERROR(__xludf.DUMMYFUNCTION("""COMPUTED_VALUE"""),"ध्वान्तस्य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॥नैषधीयचरितम्२२.४ ॥")</f>
        <v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॥नैषधीयचरितम्२२.४ ॥</v>
      </c>
      <c r="B4886" s="4" t="s">
        <v>4</v>
      </c>
      <c r="C4886" s="4"/>
    </row>
    <row r="4887" spans="1:3" ht="24" customHeight="1">
      <c r="A4887" s="4" t="str">
        <f ca="1">IFERROR(__xludf.DUMMYFUNCTION("""COMPUTED_VALUE"""),"पश्यन्वृतोऽप्येष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॥नैषधीयचरितम्२२.४१ ॥ ")</f>
        <v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॥नैषधीयचरितम्२२.४१ ॥ </v>
      </c>
      <c r="B4887" s="4" t="s">
        <v>17</v>
      </c>
      <c r="C4887" s="4"/>
    </row>
    <row r="4888" spans="1:3" ht="24" customHeight="1">
      <c r="A4888" s="4" t="str">
        <f ca="1">IFERROR(__xludf.DUMMYFUNCTION("""COMPUTED_VALUE"""),"ध्वान्ते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॥नैषधीयचरितम्२२.४२ ॥")</f>
        <v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॥नैषधीयचरितम्२२.४२ ॥</v>
      </c>
      <c r="B4888" s="4" t="s">
        <v>11</v>
      </c>
      <c r="C4888" s="4"/>
    </row>
    <row r="4889" spans="1:3" ht="24" customHeight="1">
      <c r="A4889" s="4" t="str">
        <f ca="1">IFERROR(__xludf.DUMMYFUNCTION("""COMPUTED_VALUE"""),"त्वदास्यलक्ष्मीमुकुरं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॥नैषधीयचरितम्२२.४३ ॥")</f>
        <v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॥नैषधीयचरितम्२२.४३ ॥</v>
      </c>
      <c r="B4889" s="4" t="s">
        <v>0</v>
      </c>
      <c r="C4889" s="4"/>
    </row>
    <row r="4890" spans="1:3" ht="24" customHeight="1">
      <c r="A4890" s="4" t="str">
        <f ca="1">IFERROR(__xludf.DUMMYFUNCTION("""COMPUTED_VALUE"""),"असंशयं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॥नैषधीयचरितम्२२.४४ ॥")</f>
        <v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॥नैषधीयचरितम्२२.४४ ॥</v>
      </c>
      <c r="B4890" s="4" t="s">
        <v>12</v>
      </c>
      <c r="C4890" s="4"/>
    </row>
    <row r="4891" spans="1:3" ht="24" customHeight="1">
      <c r="A4891" s="4" t="str">
        <f ca="1">IFERROR(__xludf.DUMMYFUNCTION("""COMPUTED_VALUE"""),"निजानुजेनातिथितामुपेतः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॥नैषधीयचरितम्२२.४५ ॥")</f>
        <v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॥नैषधीयचरितम्२२.४५ ॥</v>
      </c>
      <c r="B4891" s="4" t="s">
        <v>2</v>
      </c>
      <c r="C4891" s="4"/>
    </row>
    <row r="4892" spans="1:3" ht="24" customHeight="1">
      <c r="A4892" s="4" t="str">
        <f ca="1">IFERROR(__xludf.DUMMYFUNCTION("""COMPUTED_VALUE"""),"यत्प्रीतिमद्भिर्वदनैः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॥नैषधीयचरितम्२२.४६ ॥")</f>
        <v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॥नैषधीयचरितम्२२.४६ ॥</v>
      </c>
      <c r="B4892" s="4" t="s">
        <v>13</v>
      </c>
      <c r="C4892" s="4"/>
    </row>
    <row r="4893" spans="1:3" ht="24" customHeight="1">
      <c r="A4893" s="4" t="str">
        <f ca="1">IFERROR(__xludf.DUMMYFUNCTION("""COMPUTED_VALUE"""),"विलोमिताङ्कोत्किरणाद्दुरूहदृगादिना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॥नैषधीयचरितम्२२.४७ ॥")</f>
        <v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॥नैषधीयचरितम्२२.४७ ॥</v>
      </c>
      <c r="B4893" s="4" t="s">
        <v>1</v>
      </c>
      <c r="C4893" s="4"/>
    </row>
    <row r="4894" spans="1:3" ht="24" customHeight="1">
      <c r="A4894" s="4" t="str">
        <f ca="1">IFERROR(__xludf.DUMMYFUNCTION("""COMPUTED_VALUE"""),"अनेन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॥नैषधीयचरितम्२२.४८ ॥")</f>
        <v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॥नैषधीयचरितम्२२.४८ ॥</v>
      </c>
      <c r="B4894" s="4" t="s">
        <v>1</v>
      </c>
      <c r="C4894" s="4"/>
    </row>
    <row r="4895" spans="1:3" ht="24" customHeight="1">
      <c r="A4895" s="4" t="str">
        <f ca="1">IFERROR(__xludf.DUMMYFUNCTION("""COMPUTED_VALUE"""),"अस्याः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॥नैषधीयचरितम्२२.४९ ॥")</f>
        <v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॥नैषधीयचरितम्२२.४९ ॥</v>
      </c>
      <c r="B4895" s="4" t="s">
        <v>5</v>
      </c>
      <c r="C4895" s="4"/>
    </row>
    <row r="4896" spans="1:3" ht="24" customHeight="1">
      <c r="A4896" s="4" t="str">
        <f ca="1">IFERROR(__xludf.DUMMYFUNCTION("""COMPUTED_VALUE"""),"तानीव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॥नैषधीयचरितम्२२.५ ॥")</f>
        <v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॥नैषधीयचरितम्२२.५ ॥</v>
      </c>
      <c r="B4896" s="4" t="s">
        <v>5</v>
      </c>
      <c r="C4896" s="4"/>
    </row>
    <row r="4897" spans="1:3" ht="24" customHeight="1">
      <c r="A4897" s="4" t="str">
        <f ca="1">IFERROR(__xludf.DUMMYFUNCTION("""COMPUTED_VALUE"""),"अकर्णनासस्त्रपते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॥नैषधीयचरितम्२२.५१ ॥")</f>
        <v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॥नैषधीयचरितम्२२.५१ ॥</v>
      </c>
      <c r="B4897" s="4" t="s">
        <v>6</v>
      </c>
      <c r="C4897" s="4"/>
    </row>
    <row r="4898" spans="1:3" ht="24" customHeight="1">
      <c r="A4898" s="4" t="str">
        <f ca="1">IFERROR(__xludf.DUMMYFUNCTION("""COMPUTED_VALUE"""),"आदत्त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॥नैषधीयचरितम्२२.५२ ॥")</f>
        <v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॥नैषधीयचरितम्२२.५२ ॥</v>
      </c>
      <c r="B4898" s="4" t="s">
        <v>1</v>
      </c>
      <c r="C4898" s="4"/>
    </row>
    <row r="4899" spans="1:3" ht="24" customHeight="1">
      <c r="A4899" s="4" t="str">
        <f ca="1">IFERROR(__xludf.DUMMYFUNCTION("""COMPUTED_VALUE"""),"बालेन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॥नैषधीयचरितम्२२.५३ ॥")</f>
        <v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॥नैषधीयचरितम्२२.५३ ॥</v>
      </c>
      <c r="B4899" s="4" t="s">
        <v>1</v>
      </c>
      <c r="C4899" s="4"/>
    </row>
    <row r="4900" spans="1:3" ht="24" customHeight="1">
      <c r="A4900" s="4" t="str">
        <f ca="1">IFERROR(__xludf.DUMMYFUNCTION("""COMPUTED_VALUE"""),"ताराक्षरैर्यामसिते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॥नैषधीयचरितम्२२.५४ ॥")</f>
        <v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॥नैषधीयचरितम्२२.५४ ॥</v>
      </c>
      <c r="B4900" s="4" t="s">
        <v>8</v>
      </c>
      <c r="C4900" s="4"/>
    </row>
    <row r="4901" spans="1:3" ht="24" customHeight="1">
      <c r="A4901" s="4" t="str">
        <f ca="1">IFERROR(__xludf.DUMMYFUNCTION("""COMPUTED_VALUE"""),"सितो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॥नैषधीयचरितम्२२.५५ ॥")</f>
        <v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॥नैषधीयचरितम्२२.५५ ॥</v>
      </c>
      <c r="B4901" s="4" t="s">
        <v>4</v>
      </c>
      <c r="C4901" s="4"/>
    </row>
    <row r="4902" spans="1:3" ht="24" customHeight="1">
      <c r="A4902" s="4" t="str">
        <f ca="1">IFERROR(__xludf.DUMMYFUNCTION("""COMPUTED_VALUE"""),"कश्मीरजै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॥नैषधीयचरितम्२२.५६ ॥ ")</f>
        <v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॥नैषधीयचरितम्२२.५६ ॥ </v>
      </c>
      <c r="B4902" s="4" t="s">
        <v>6</v>
      </c>
      <c r="C4902" s="4"/>
    </row>
    <row r="4903" spans="1:3" ht="24" customHeight="1">
      <c r="A4903" s="4" t="str">
        <f ca="1">IFERROR(__xludf.DUMMYFUNCTION("""COMPUTED_VALUE"""),"विधिस्तुषारर्तुदिनानि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॥नैषधीयचरितम्२२.५७ ॥")</f>
        <v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॥नैषधीयचरितम्२२.५७ ॥</v>
      </c>
      <c r="B4903" s="4" t="s">
        <v>1</v>
      </c>
      <c r="C4903" s="4"/>
    </row>
    <row r="4904" spans="1:3" ht="24" customHeight="1">
      <c r="A4904" s="4" t="str">
        <f ca="1">IFERROR(__xludf.DUMMYFUNCTION("""COMPUTED_VALUE"""),"इत्युक्तिशेषे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॥नैषधीयचरितम्२२.५८ ॥")</f>
        <v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॥नैषधीयचरितम्२२.५८ ॥</v>
      </c>
      <c r="B4904" s="4" t="s">
        <v>0</v>
      </c>
      <c r="C4904" s="4"/>
    </row>
    <row r="4905" spans="1:3" ht="24" customHeight="1">
      <c r="A4905" s="4" t="str">
        <f ca="1">IFERROR(__xludf.DUMMYFUNCTION("""COMPUTED_VALUE"""),"शृङ्गारभृङ्गारसुधाकरेण वर्णस्रजानूपय कर्णकूपौ । त्वच्चारुवाणीरसवेणितीरं तृणानुकारः खलु कोषकारः ॥नैषधीयचरितम्२२.५९ ॥")</f>
        <v>शृङ्गारभृङ्गारसुधाकरेण वर्णस्रजानूपय कर्णकूपौ । त्वच्चारुवाणीरसवेणितीरं तृणानुकारः खलु कोषकारः ॥नैषधीयचरितम्२२.५९ ॥</v>
      </c>
      <c r="B4905" s="4" t="s">
        <v>0</v>
      </c>
      <c r="C4905" s="4"/>
    </row>
    <row r="4906" spans="1:3" ht="24" customHeight="1">
      <c r="A4906" s="4" t="str">
        <f ca="1">IFERROR(__xludf.DUMMYFUNCTION("""COMPUTED_VALUE"""),"अत्रैव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॥नैषधीयचरितम्२२.६ ॥")</f>
        <v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॥नैषधीयचरितम्२२.६ ॥</v>
      </c>
      <c r="B4906" s="4" t="s">
        <v>2</v>
      </c>
      <c r="C4906" s="4"/>
    </row>
    <row r="4907" spans="1:3" ht="24" customHeight="1">
      <c r="A4907" s="4" t="str">
        <f ca="1">IFERROR(__xludf.DUMMYFUNCTION("""COMPUTED_VALUE"""),"पूरं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॥नैषधीयचरितम्२२.६१ ॥")</f>
        <v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॥नैषधीयचरितम्२२.६१ ॥</v>
      </c>
      <c r="B4907" s="4" t="s">
        <v>2</v>
      </c>
      <c r="C4907" s="4"/>
    </row>
    <row r="4908" spans="1:3" ht="24" customHeight="1">
      <c r="A4908" s="4" t="str">
        <f ca="1">IFERROR(__xludf.DUMMYFUNCTION("""COMPUTED_VALUE"""),"ज्योत्स्नामयं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॥नैषधीयचरितम्२२.६२ ॥ ")</f>
        <v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॥नैषधीयचरितम्२२.६२ ॥ </v>
      </c>
      <c r="B4908" s="4" t="s">
        <v>9</v>
      </c>
      <c r="C4908" s="4"/>
    </row>
    <row r="4909" spans="1:3" ht="24" customHeight="1">
      <c r="A4909" s="4" t="str">
        <f ca="1">IFERROR(__xludf.DUMMYFUNCTION("""COMPUTED_VALUE"""),"हासत्विषैवाखिलकैरवाणां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॥नैषधीयचरितम्२२.६३ ॥")</f>
        <v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॥नैषधीयचरितम्२२.६३ ॥</v>
      </c>
      <c r="B4909" s="4" t="s">
        <v>2</v>
      </c>
      <c r="C4909" s="4"/>
    </row>
    <row r="4910" spans="1:3" ht="24" customHeight="1">
      <c r="A4910" s="4" t="str">
        <f ca="1">IFERROR(__xludf.DUMMYFUNCTION("""COMPUTED_VALUE"""),"मृत्युंजयस्यैष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॥नैषधीयचरितम्२२.६४ ॥")</f>
        <v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॥नैषधीयचरितम्२२.६४ ॥</v>
      </c>
      <c r="B4910" s="4" t="s">
        <v>4</v>
      </c>
      <c r="C4910" s="4"/>
    </row>
    <row r="4911" spans="1:3" ht="24" customHeight="1">
      <c r="A4911" s="4" t="str">
        <f ca="1">IFERROR(__xludf.DUMMYFUNCTION("""COMPUTED_VALUE"""),"त्विषं चकोराय सुधां सुराय कलामपि स्वावयवं हराय । ददज्जयत्येष समस्तमस्य कल्पद्रुमभ्रातुरथाल्पमेतत् ॥नैषधीयचरितम्२२.६५ ॥")</f>
        <v>त्विषं चकोराय सुधां सुराय कलामपि स्वावयवं हराय । ददज्जयत्येष समस्तमस्य कल्पद्रुमभ्रातुरथाल्पमेतत् ॥नैषधीयचरितम्२२.६५ ॥</v>
      </c>
      <c r="B4911" s="4" t="s">
        <v>2</v>
      </c>
      <c r="C4911" s="4"/>
    </row>
    <row r="4912" spans="1:3" ht="24" customHeight="1">
      <c r="A4912" s="4" t="str">
        <f ca="1">IFERROR(__xludf.DUMMYFUNCTION("""COMPUTED_VALUE"""),"अङ्केणनाभेर्विषकृष्णकण्ठः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॥नैषधीयचरितम्२२.६६ ॥ ")</f>
        <v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॥नैषधीयचरितम्२२.६६ ॥ </v>
      </c>
      <c r="B4912" s="4" t="s">
        <v>1</v>
      </c>
      <c r="C4912" s="4"/>
    </row>
    <row r="4913" spans="1:3" ht="24" customHeight="1">
      <c r="A4913" s="4" t="str">
        <f ca="1">IFERROR(__xludf.DUMMYFUNCTION("""COMPUTED_VALUE"""),"पुष्पायुधस्यास्थिभिरर्धदग्धैः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॥नैषधीयचरितम्२२.६७ ॥")</f>
        <v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॥नैषधीयचरितम्२२.६७ ॥</v>
      </c>
      <c r="B4913" s="4" t="s">
        <v>1</v>
      </c>
      <c r="C4913" s="4"/>
    </row>
    <row r="4914" spans="1:3" ht="24" customHeight="1">
      <c r="A4914" s="4" t="str">
        <f ca="1">IFERROR(__xludf.DUMMYFUNCTION("""COMPUTED_VALUE"""),"मृगस्य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॥नैषधीयचरितम्२२.६८ ॥")</f>
        <v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॥नैषधीयचरितम्२२.६८ ॥</v>
      </c>
      <c r="B4914" s="4" t="s">
        <v>5</v>
      </c>
      <c r="C4914" s="4"/>
    </row>
    <row r="4915" spans="1:3" ht="24" customHeight="1">
      <c r="A4915" s="4" t="str">
        <f ca="1">IFERROR(__xludf.DUMMYFUNCTION("""COMPUTED_VALUE"""),"सुधाभुजो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॥नैषधीयचरितम्२२.६९ ॥")</f>
        <v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॥नैषधीयचरितम्२२.६९ ॥</v>
      </c>
      <c r="B4915" s="4" t="s">
        <v>1</v>
      </c>
      <c r="C4915" s="4"/>
    </row>
    <row r="4916" spans="1:3" ht="24" customHeight="1">
      <c r="A4916" s="4" t="str">
        <f ca="1">IFERROR(__xludf.DUMMYFUNCTION("""COMPUTED_VALUE"""),"चतुर्दिगन्तीं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॥नैषधीयचरितम्२२.७ ॥")</f>
        <v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॥नैषधीयचरितम्२२.७ ॥</v>
      </c>
      <c r="B4916" s="4" t="s">
        <v>5</v>
      </c>
      <c r="C4916" s="4"/>
    </row>
    <row r="4917" spans="1:3" ht="24" customHeight="1">
      <c r="A4917" s="4" t="str">
        <f ca="1">IFERROR(__xludf.DUMMYFUNCTION("""COMPUTED_VALUE"""),"पुत्री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॥नैषधीयचरितम्२२.७१ ॥ ")</f>
        <v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॥नैषधीयचरितम्२२.७१ ॥ </v>
      </c>
      <c r="B4917" s="4" t="s">
        <v>2</v>
      </c>
      <c r="C4917" s="4"/>
    </row>
    <row r="4918" spans="1:3" ht="24" customHeight="1">
      <c r="A4918" s="4" t="str">
        <f ca="1">IFERROR(__xludf.DUMMYFUNCTION("""COMPUTED_VALUE"""),"ज्योत्स्नापयःक्ष्मातटवास्तुवस्तुच्छायाछलच्छिद्रधरा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॥नैषधीयचरितम्२२.७२ ॥")</f>
        <v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॥नैषधीयचरितम्२२.७२ ॥</v>
      </c>
      <c r="B4918" s="4" t="s">
        <v>2</v>
      </c>
      <c r="C4918" s="4"/>
    </row>
    <row r="4919" spans="1:3" ht="24" customHeight="1">
      <c r="A4919" s="4" t="str">
        <f ca="1">IFERROR(__xludf.DUMMYFUNCTION("""COMPUTED_VALUE"""),"कियान्यथानेन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॥नैषधीयचरितम्२२.७३ ॥")</f>
        <v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॥नैषधीयचरितम्२२.७३ ॥</v>
      </c>
      <c r="B4919" s="4" t="s">
        <v>0</v>
      </c>
      <c r="C4919" s="4"/>
    </row>
    <row r="4920" spans="1:3" ht="24" customHeight="1">
      <c r="A4920" s="4" t="str">
        <f ca="1">IFERROR(__xludf.DUMMYFUNCTION("""COMPUTED_VALUE"""),"गुणौ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॥नैषधीयचरितम्२२.७४ ॥")</f>
        <v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॥नैषधीयचरितम्२२.७४ ॥</v>
      </c>
      <c r="B4920" s="4" t="s">
        <v>0</v>
      </c>
      <c r="C4920" s="4"/>
    </row>
    <row r="4921" spans="1:3" ht="24" customHeight="1">
      <c r="A4921" s="4" t="str">
        <f ca="1">IFERROR(__xludf.DUMMYFUNCTION("""COMPUTED_VALUE"""),"आदर्शदृश्यत्वमपि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॥नैषधीयचरितम्२२.७५ ॥")</f>
        <v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॥नैषधीयचरितम्२२.७५ ॥</v>
      </c>
      <c r="B4921" s="4" t="s">
        <v>0</v>
      </c>
      <c r="C4921" s="4"/>
    </row>
    <row r="4922" spans="1:3" ht="24" customHeight="1">
      <c r="A4922" s="4" t="str">
        <f ca="1">IFERROR(__xludf.DUMMYFUNCTION("""COMPUTED_VALUE"""),"इज्येव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॥नैषधीयचरितम्२२.७६ ॥")</f>
        <v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॥नैषधीयचरितम्२२.७६ ॥</v>
      </c>
      <c r="B4922" s="4" t="s">
        <v>2</v>
      </c>
      <c r="C4922" s="4"/>
    </row>
    <row r="4923" spans="1:3" ht="24" customHeight="1">
      <c r="A4923" s="4" t="str">
        <f ca="1">IFERROR(__xludf.DUMMYFUNCTION("""COMPUTED_VALUE"""),"एकः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॥नैषधीयचरितम्२२.७७ ॥")</f>
        <v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॥नैषधीयचरितम्२२.७७ ॥</v>
      </c>
      <c r="B4923" s="4" t="s">
        <v>17</v>
      </c>
      <c r="C4923" s="4"/>
    </row>
    <row r="4924" spans="1:3" ht="24" customHeight="1">
      <c r="A4924" s="4" t="str">
        <f ca="1">IFERROR(__xludf.DUMMYFUNCTION("""COMPUTED_VALUE"""),"अस्मिञ्शिशौ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॥नैषधीयचरितम्२२.७८ ॥")</f>
        <v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॥नैषधीयचरितम्२२.७८ ॥</v>
      </c>
      <c r="B4924" s="4" t="s">
        <v>5</v>
      </c>
      <c r="C4924" s="4"/>
    </row>
    <row r="4925" spans="1:3" ht="24" customHeight="1">
      <c r="A4925" s="4" t="str">
        <f ca="1">IFERROR(__xludf.DUMMYFUNCTION("""COMPUTED_VALUE"""),"अस्यैव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॥नैषधीयचरितम्२२.७९ ॥")</f>
        <v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॥नैषधीयचरितम्२२.७९ ॥</v>
      </c>
      <c r="B4925" s="4" t="s">
        <v>19</v>
      </c>
      <c r="C4925" s="4"/>
    </row>
    <row r="4926" spans="1:3" ht="24" customHeight="1">
      <c r="A4926" s="4" t="str">
        <f ca="1">IFERROR(__xludf.DUMMYFUNCTION("""COMPUTED_VALUE"""),"रुद्रेषुविद्रावितमार्तमारात्तारामृगं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॥नैषधीयचरितम्२२.८ ॥")</f>
        <v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॥नैषधीयचरितम्२२.८ ॥</v>
      </c>
      <c r="B4926" s="4" t="s">
        <v>7</v>
      </c>
      <c r="C4926" s="4"/>
    </row>
    <row r="4927" spans="1:3" ht="24" customHeight="1">
      <c r="A4927" s="4" t="str">
        <f ca="1">IFERROR(__xludf.DUMMYFUNCTION("""COMPUTED_VALUE"""),"पृष्ठेऽपि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॥नैषधीयचरितम्२२.८१ ॥")</f>
        <v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॥नैषधीयचरितम्२२.८१ ॥</v>
      </c>
      <c r="B4927" s="4" t="s">
        <v>5</v>
      </c>
      <c r="C4927" s="4"/>
    </row>
    <row r="4928" spans="1:3" ht="24" customHeight="1">
      <c r="A4928" s="4" t="str">
        <f ca="1">IFERROR(__xludf.DUMMYFUNCTION("""COMPUTED_VALUE"""),"उत्तानमेवास्य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॥नैषधीयचरितम्२२.८२ ॥")</f>
        <v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॥नैषधीयचरितम्२२.८२ ॥</v>
      </c>
      <c r="B4928" s="4" t="s">
        <v>5</v>
      </c>
      <c r="C4928" s="4"/>
    </row>
    <row r="4929" spans="1:3" ht="24" customHeight="1">
      <c r="A4929" s="4" t="str">
        <f ca="1">IFERROR(__xludf.DUMMYFUNCTION("""COMPUTED_VALUE"""),"दूरस्थितैर्वस्तुनि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॥नैषधीयचरितम्२२.८३ ॥")</f>
        <v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॥नैषधीयचरितम्२२.८३ ॥</v>
      </c>
      <c r="B4929" s="4" t="s">
        <v>15</v>
      </c>
      <c r="C4929" s="4"/>
    </row>
    <row r="4930" spans="1:3" ht="24" customHeight="1">
      <c r="A4930" s="4" t="str">
        <f ca="1">IFERROR(__xludf.DUMMYFUNCTION("""COMPUTED_VALUE"""),"भङ्क्तुं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॥नैषधीयचरितम्२२.८४ ॥")</f>
        <v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॥नैषधीयचरितम्२२.८४ ॥</v>
      </c>
      <c r="B4930" s="4" t="s">
        <v>2</v>
      </c>
      <c r="C4930" s="4"/>
    </row>
    <row r="4931" spans="1:3" ht="24" customHeight="1">
      <c r="A4931" s="4" t="str">
        <f ca="1">IFERROR(__xludf.DUMMYFUNCTION("""COMPUTED_VALUE"""),"यावन्तमिन्दुं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॥नैषधीयचरितम्२२.८५ ॥")</f>
        <v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॥नैषधीयचरितम्२२.८५ ॥</v>
      </c>
      <c r="B4931" s="4" t="s">
        <v>15</v>
      </c>
      <c r="C4931" s="4"/>
    </row>
    <row r="4932" spans="1:3" ht="24" customHeight="1">
      <c r="A4932" s="4" t="str">
        <f ca="1">IFERROR(__xludf.DUMMYFUNCTION("""COMPUTED_VALUE"""),"आरोप्यते चेदिह केतकत्वमिन्दौ दलाकारकलाकलापे । तत्संवदत्यङ्कमृगस्य नाभिकस्तूरिक्रा सौरभवासनाभिः ॥नैषधीयचरितम्२२.८६ ॥")</f>
        <v>आरोप्यते चेदिह केतकत्वमिन्दौ दलाकारकलाकलापे । तत्संवदत्यङ्कमृगस्य नाभिकस्तूरिक्रा सौरभवासनाभिः ॥नैषधीयचरितम्२२.८६ ॥</v>
      </c>
      <c r="B4932" s="4" t="s">
        <v>6</v>
      </c>
      <c r="C4932" s="4"/>
    </row>
    <row r="4933" spans="1:3" ht="24" customHeight="1">
      <c r="A4933" s="4" t="str">
        <f ca="1">IFERROR(__xludf.DUMMYFUNCTION("""COMPUTED_VALUE"""),"आसीद्यथाज्यौतिषमेष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॥नैषधीयचरितम्२२.८७ ॥")</f>
        <v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॥नैषधीयचरितम्२२.८७ ॥</v>
      </c>
      <c r="B4933" s="4" t="s">
        <v>13</v>
      </c>
      <c r="C4933" s="4"/>
    </row>
    <row r="4934" spans="1:3" ht="24" customHeight="1">
      <c r="A4934" s="4" t="str">
        <f ca="1">IFERROR(__xludf.DUMMYFUNCTION("""COMPUTED_VALUE"""),"असावसाम्याद्वितनोः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॥नैषधीयचरितम्२२.८८ ॥")</f>
        <v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॥नैषधीयचरितम्२२.८८ ॥</v>
      </c>
      <c r="B4934" s="4" t="s">
        <v>2</v>
      </c>
      <c r="C4934" s="4"/>
    </row>
    <row r="4935" spans="1:3" ht="24" customHeight="1">
      <c r="A4935" s="4" t="str">
        <f ca="1">IFERROR(__xludf.DUMMYFUNCTION("""COMPUTED_VALUE"""),"स्थाने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॥नैषधीयचरितम्२२.८९ ॥")</f>
        <v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॥नैषधीयचरितम्२२.८९ ॥</v>
      </c>
      <c r="B4935" s="4" t="s">
        <v>18</v>
      </c>
      <c r="C4935" s="4"/>
    </row>
    <row r="4936" spans="1:3" ht="24" customHeight="1">
      <c r="A4936" s="4" t="str">
        <f ca="1">IFERROR(__xludf.DUMMYFUNCTION("""COMPUTED_VALUE"""),"नेत्रारविन्दत्वमगान्मृगाङ्कः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॥नैषधीयचरितम्२२.९ ॥")</f>
        <v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॥नैषधीयचरितम्२२.९ ॥</v>
      </c>
      <c r="B4936" s="4" t="s">
        <v>4</v>
      </c>
      <c r="C4936" s="4"/>
    </row>
    <row r="4937" spans="1:3" ht="24" customHeight="1">
      <c r="A4937" s="4" t="str">
        <f ca="1">IFERROR(__xludf.DUMMYFUNCTION("""COMPUTED_VALUE"""),"देवेन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॥नैषधीयचरितम्२२.९१ ॥")</f>
        <v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॥नैषधीयचरितम्२२.९१ ॥</v>
      </c>
      <c r="B4937" s="4" t="s">
        <v>5</v>
      </c>
      <c r="C4937" s="4"/>
    </row>
    <row r="4938" spans="1:3" ht="24" customHeight="1">
      <c r="A4938" s="4" t="str">
        <f ca="1">IFERROR(__xludf.DUMMYFUNCTION("""COMPUTED_VALUE"""),"यैरन्वमायि ज्वलनस्तुषारे सरोजिनीदाहविकारहेतोः । तदीयधूमौघतया हिमांशौ शङ्के कलङ्कोऽपि समर्थितस्तैः ॥नैषधीयचरितम्२२.९२ ॥")</f>
        <v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॥नैषधीयचरितम्२२.९२ ॥</v>
      </c>
      <c r="B4938" s="4" t="s">
        <v>2</v>
      </c>
      <c r="C4938" s="4"/>
    </row>
    <row r="4939" spans="1:3" ht="24" customHeight="1">
      <c r="A4939" s="4" t="str">
        <f ca="1">IFERROR(__xludf.DUMMYFUNCTION("""COMPUTED_VALUE"""),"स्वेदस्य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॥नैषधीयचरितम्२२.९३ ॥")</f>
        <v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॥नैषधीयचरितम्२२.९३ ॥</v>
      </c>
      <c r="B4939" s="4" t="s">
        <v>0</v>
      </c>
      <c r="C4939" s="4"/>
    </row>
    <row r="4940" spans="1:3" ht="24" customHeight="1">
      <c r="A4940" s="4" t="str">
        <f ca="1">IFERROR(__xludf.DUMMYFUNCTION("""COMPUTED_VALUE"""),"ममानुमैवं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॥नैषधीयचरितम्२२.९४ ॥")</f>
        <v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॥नैषधीयचरितम्२२.९४ ॥</v>
      </c>
      <c r="B4940" s="4" t="s">
        <v>5</v>
      </c>
      <c r="C4940" s="4"/>
    </row>
    <row r="4941" spans="1:3" ht="24" customHeight="1">
      <c r="A4941" s="4" t="str">
        <f ca="1">IFERROR(__xludf.DUMMYFUNCTION("""COMPUTED_VALUE"""),"मावापदुन्निद्रसरोजपूजा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॥नैषधीयचरितम्२२.९५ ॥")</f>
        <v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॥नैषधीयचरितम्२२.९५ ॥</v>
      </c>
      <c r="B4941" s="4" t="s">
        <v>5</v>
      </c>
      <c r="C4941" s="4"/>
    </row>
    <row r="4942" spans="1:3" ht="24" customHeight="1">
      <c r="A4942" s="4" t="str">
        <f ca="1">IFERROR(__xludf.DUMMYFUNCTION("""COMPUTED_VALUE"""),"य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॥नैषधीयचरितम्२२.९६ ॥")</f>
        <v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॥नैषधीयचरितम्२२.९६ ॥</v>
      </c>
      <c r="B4942" s="4" t="s">
        <v>9</v>
      </c>
      <c r="C4942" s="4"/>
    </row>
    <row r="4943" spans="1:3" ht="24" customHeight="1">
      <c r="A4943" s="4" t="str">
        <f ca="1">IFERROR(__xludf.DUMMYFUNCTION("""COMPUTED_VALUE"""),"गौरे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॥नैषधीयचरितम्२२.९७ ॥")</f>
        <v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॥नैषधीयचरितम्२२.९७ ॥</v>
      </c>
      <c r="B4943" s="4" t="s">
        <v>2</v>
      </c>
      <c r="C4943" s="4"/>
    </row>
    <row r="4944" spans="1:3" ht="24" customHeight="1">
      <c r="A4944" s="4" t="str">
        <f ca="1">IFERROR(__xludf.DUMMYFUNCTION("""COMPUTED_VALUE"""),"वर्षातपानावरणं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॥नैषधीयचरितम्२२.९८ ॥")</f>
        <v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॥नैषधीयचरितम्२२.९८ ॥</v>
      </c>
      <c r="B4944" s="4" t="s">
        <v>0</v>
      </c>
      <c r="C4944" s="4"/>
    </row>
    <row r="4945" spans="1:3" ht="24" customHeight="1">
      <c r="A4945" s="4" t="str">
        <f ca="1">IFERROR(__xludf.DUMMYFUNCTION("""COMPUTED_VALUE"""),"दिनावसाने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॥नैषधीयचरितम्२२.९९ ॥")</f>
        <v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॥नैषधीयचरितम्२२.९९ ॥</v>
      </c>
      <c r="B4945" s="4" t="s">
        <v>2</v>
      </c>
      <c r="C4945" s="4"/>
    </row>
    <row r="4946" spans="1:3" ht="24" customHeight="1">
      <c r="A4946" s="4" t="str">
        <f ca="1">IFERROR(__xludf.DUMMYFUNCTION("""COMPUTED_VALUE"""),"किं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॥नैषधीयचरितम्२२.१ ॥")</f>
        <v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॥नैषधीयचरितम्२२.१ ॥</v>
      </c>
      <c r="B4946" s="4" t="s">
        <v>5</v>
      </c>
      <c r="C4946" s="4"/>
    </row>
    <row r="4947" spans="1:3" ht="24" customHeight="1">
      <c r="A4947" s="4" t="str">
        <f ca="1">IFERROR(__xludf.DUMMYFUNCTION("""COMPUTED_VALUE"""),"त्रातुं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॥नैषधीयचरितम्२२.१०१ ॥")</f>
        <v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॥नैषधीयचरितम्२२.१०१ ॥</v>
      </c>
      <c r="B4947" s="4" t="s">
        <v>4</v>
      </c>
      <c r="C4947" s="4"/>
    </row>
    <row r="4948" spans="1:3" ht="24" customHeight="1">
      <c r="A4948" s="4" t="str">
        <f ca="1">IFERROR(__xludf.DUMMYFUNCTION("""COMPUTED_VALUE"""),"मृषा निशानाथमहः सुधा वा हरेदसौ वा न जराविनाशौ । पीत्वा कथं नापरथा चकोरा विधोर्मरीचीनजरामराः स्युः ॥नैषधीयचरितम्२२.१०२ ॥")</f>
        <v>मृषा निशानाथमहः सुधा वा हरेदसौ वा न जराविनाशौ । पीत्वा कथं नापरथा चकोरा विधोर्मरीचीनजरामराः स्युः ॥नैषधीयचरितम्२२.१०२ ॥</v>
      </c>
      <c r="B4948" s="4" t="s">
        <v>5</v>
      </c>
      <c r="C4948" s="4"/>
    </row>
    <row r="4949" spans="1:3" ht="24" customHeight="1">
      <c r="A4949" s="4" t="str">
        <f ca="1">IFERROR(__xludf.DUMMYFUNCTION("""COMPUTED_VALUE"""),"वाणीभिराभिः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॥नैषधीयचरितम्२२.१०३ ॥")</f>
        <v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॥नैषधीयचरितम्२२.१०३ ॥</v>
      </c>
      <c r="B4949" s="4" t="s">
        <v>18</v>
      </c>
      <c r="C4949" s="4"/>
    </row>
    <row r="4950" spans="1:3" ht="24" customHeight="1">
      <c r="A4950" s="4" t="str">
        <f ca="1">IFERROR(__xludf.DUMMYFUNCTION("""COMPUTED_VALUE"""),"इतो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॥नैषधीयचरितम्२२.१०४ ॥")</f>
        <v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॥नैषधीयचरितम्२२.१०४ ॥</v>
      </c>
      <c r="B4950" s="4" t="s">
        <v>1</v>
      </c>
      <c r="C4950" s="4"/>
    </row>
    <row r="4951" spans="1:3" ht="24" customHeight="1">
      <c r="A4951" s="4" t="str">
        <f ca="1">IFERROR(__xludf.DUMMYFUNCTION("""COMPUTED_VALUE"""),"प्रियेण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॥नैषधीयचरितम्२२.१०५ ॥")</f>
        <v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॥नैषधीयचरितम्२२.१०५ ॥</v>
      </c>
      <c r="B4951" s="4" t="s">
        <v>0</v>
      </c>
      <c r="C4951" s="4"/>
    </row>
    <row r="4952" spans="1:3" ht="24" customHeight="1">
      <c r="A4952" s="4" t="str">
        <f ca="1">IFERROR(__xludf.DUMMYFUNCTION("""COMPUTED_VALUE"""),"स्ववर्णना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॥नैषधीयचरितम्२२.१०६ ॥")</f>
        <v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॥नैषधीयचरितम्२२.१०६ ॥</v>
      </c>
      <c r="B4952" s="4" t="s">
        <v>24</v>
      </c>
      <c r="C4952" s="4"/>
    </row>
    <row r="4953" spans="1:3" ht="24" customHeight="1">
      <c r="A4953" s="4" t="str">
        <f ca="1">IFERROR(__xludf.DUMMYFUNCTION("""COMPUTED_VALUE"""),"तयेरितः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॥नैषधीयचरितम्२२.१०७ ॥")</f>
        <v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॥नैषधीयचरितम्२२.१०७ ॥</v>
      </c>
      <c r="B4953" s="4" t="s">
        <v>7</v>
      </c>
      <c r="C4953" s="4"/>
    </row>
    <row r="4954" spans="1:3" ht="24" customHeight="1">
      <c r="A4954" s="4" t="str">
        <f ca="1">IFERROR(__xludf.DUMMYFUNCTION("""COMPUTED_VALUE"""),"तवानने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॥नैषधीयचरितम्२२.१०८ ॥")</f>
        <v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॥नैषधीयचरितम्२२.१०८ ॥</v>
      </c>
      <c r="B4954" s="4" t="s">
        <v>7</v>
      </c>
      <c r="C4954" s="4"/>
    </row>
    <row r="4955" spans="1:3" ht="24" customHeight="1">
      <c r="A4955" s="4" t="str">
        <f ca="1">IFERROR(__xludf.DUMMYFUNCTION("""COMPUTED_VALUE"""),"इन्दोर्भ्रमेणोपगमाय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॥नैषधीयचरितम्२२.१०९ ॥")</f>
        <v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॥नैषधीयचरितम्२२.१०९ ॥</v>
      </c>
      <c r="B4955" s="4" t="s">
        <v>1</v>
      </c>
      <c r="C4955" s="4"/>
    </row>
    <row r="4956" spans="1:3" ht="24" customHeight="1">
      <c r="A4956" s="4" t="str">
        <f ca="1">IFERROR(__xludf.DUMMYFUNCTION("""COMPUTED_VALUE"""),"आप्यायनाद्वा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॥नैषधीयचरितम्२२.११ ॥")</f>
        <v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॥नैषधीयचरितम्२२.११ ॥</v>
      </c>
      <c r="B4956" s="4" t="s">
        <v>10</v>
      </c>
      <c r="C4956" s="4"/>
    </row>
    <row r="4957" spans="1:3" ht="24" customHeight="1">
      <c r="A4957" s="4" t="str">
        <f ca="1">IFERROR(__xludf.DUMMYFUNCTION("""COMPUTED_VALUE"""),"दूरेऽपि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॥नैषधीयचरितम्२२.१११ ॥")</f>
        <v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॥नैषधीयचरितम्२२.१११ ॥</v>
      </c>
      <c r="B4957" s="4" t="s">
        <v>18</v>
      </c>
      <c r="C4957" s="4"/>
    </row>
    <row r="4958" spans="1:3" ht="24" customHeight="1">
      <c r="A4958" s="4" t="str">
        <f ca="1">IFERROR(__xludf.DUMMYFUNCTION("""COMPUTED_VALUE"""),"अस्मिन्न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॥नैषधीयचरितम्२२.११२ ॥")</f>
        <v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॥नैषधीयचरितम्२२.११२ ॥</v>
      </c>
      <c r="B4958" s="4" t="s">
        <v>5</v>
      </c>
      <c r="C4958" s="4"/>
    </row>
    <row r="4959" spans="1:3" ht="24" customHeight="1">
      <c r="A4959" s="4" t="str">
        <f ca="1">IFERROR(__xludf.DUMMYFUNCTION("""COMPUTED_VALUE"""),"आभिर्मृगेन्द्रोदरि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॥नैषधीयचरितम्२२.११३ ॥")</f>
        <v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॥नैषधीयचरितम्२२.११३ ॥</v>
      </c>
      <c r="B4959" s="4" t="s">
        <v>5</v>
      </c>
      <c r="C4959" s="4"/>
    </row>
    <row r="4960" spans="1:3" ht="24" customHeight="1">
      <c r="A4960" s="4" t="str">
        <f ca="1">IFERROR(__xludf.DUMMYFUNCTION("""COMPUTED_VALUE"""),"पयोमुचां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॥नैषधीयचरितम्२२.११४ ॥")</f>
        <v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॥नैषधीयचरितम्२२.११४ ॥</v>
      </c>
      <c r="B4960" s="4" t="s">
        <v>5</v>
      </c>
      <c r="C4960" s="4"/>
    </row>
    <row r="4961" spans="1:3" ht="24" customHeight="1">
      <c r="A4961" s="4" t="str">
        <f ca="1">IFERROR(__xludf.DUMMYFUNCTION("""COMPUTED_VALUE"""),"एकादशैकादशरुद्रमौलीनस्तं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॥नैषधीयचरितम्२२.११५ ॥")</f>
        <v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॥नैषधीयचरितम्२२.११५ ॥</v>
      </c>
      <c r="B4961" s="4" t="s">
        <v>0</v>
      </c>
      <c r="C4961" s="4"/>
    </row>
    <row r="4962" spans="1:3" ht="24" customHeight="1">
      <c r="A4962" s="4" t="str">
        <f ca="1">IFERROR(__xludf.DUMMYFUNCTION("""COMPUTED_VALUE"""),"निरन्तरत्वेन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॥नैषधीयचरितम्२२.११६ ॥")</f>
        <v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॥नैषधीयचरितम्२२.११६ ॥</v>
      </c>
      <c r="B4962" s="4" t="s">
        <v>2</v>
      </c>
      <c r="C4962" s="4"/>
    </row>
    <row r="4963" spans="1:3" ht="24" customHeight="1">
      <c r="A4963" s="4" t="str">
        <f ca="1">IFERROR(__xludf.DUMMYFUNCTION("""COMPUTED_VALUE"""),"यत्पद्ममादित्सु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॥नैषधीयचरितम्२२.११७ ॥")</f>
        <v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॥नैषधीयचरितम्२२.११७ ॥</v>
      </c>
      <c r="B4963" s="4" t="s">
        <v>20</v>
      </c>
      <c r="C4963" s="4"/>
    </row>
    <row r="4964" spans="1:3" ht="24" customHeight="1">
      <c r="A4964" s="4" t="str">
        <f ca="1">IFERROR(__xludf.DUMMYFUNCTION("""COMPUTED_VALUE"""),"लब्धं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॥नैषधीयचरितम्२२.११८ ॥")</f>
        <v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॥नैषधीयचरितम्२२.११८ ॥</v>
      </c>
      <c r="B4964" s="4" t="s">
        <v>5</v>
      </c>
      <c r="C4964" s="4"/>
    </row>
    <row r="4965" spans="1:3" ht="24" customHeight="1">
      <c r="A4965" s="4" t="str">
        <f ca="1">IFERROR(__xludf.DUMMYFUNCTION("""COMPUTED_VALUE"""),"एनं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॥नैषधीयचरितम्२२.११९ ॥")</f>
        <v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॥नैषधीयचरितम्२२.११९ ॥</v>
      </c>
      <c r="B4965" s="4" t="s">
        <v>19</v>
      </c>
      <c r="C4965" s="4"/>
    </row>
    <row r="4966" spans="1:3" ht="24" customHeight="1">
      <c r="A4966" s="4" t="str">
        <f ca="1">IFERROR(__xludf.DUMMYFUNCTION("""COMPUTED_VALUE"""),"नास्य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॥नैषधीयचरितम्२२.१२ ॥")</f>
        <v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॥नैषधीयचरितम्२२.१२ ॥</v>
      </c>
      <c r="B4966" s="4" t="s">
        <v>2</v>
      </c>
      <c r="C4966" s="4"/>
    </row>
    <row r="4967" spans="1:3" ht="24" customHeight="1">
      <c r="A4967" s="4" t="str">
        <f ca="1">IFERROR(__xludf.DUMMYFUNCTION("""COMPUTED_VALUE"""),"स्वधाकृतं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॥नैषधीयचरितम्२२.१२१ ॥")</f>
        <v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॥नैषधीयचरितम्२२.१२१ ॥</v>
      </c>
      <c r="B4967" s="4" t="s">
        <v>4</v>
      </c>
      <c r="C4967" s="4"/>
    </row>
    <row r="4968" spans="1:3" ht="24" customHeight="1">
      <c r="A4968" s="4" t="str">
        <f ca="1">IFERROR(__xludf.DUMMYFUNCTION("""COMPUTED_VALUE"""),"पश्योच्चसौधस्थितिसौख्यलक्ष्ये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॥नैषधीयचरितम्२२.१२२ ॥")</f>
        <v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॥नैषधीयचरितम्२२.१२२ ॥</v>
      </c>
      <c r="B4968" s="4" t="s">
        <v>18</v>
      </c>
      <c r="C4968" s="4"/>
    </row>
    <row r="4969" spans="1:3" ht="24" customHeight="1">
      <c r="A4969" s="4" t="str">
        <f ca="1">IFERROR(__xludf.DUMMYFUNCTION("""COMPUTED_VALUE"""),"सौवर्गवर्गैरमृतं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॥नैषधीयचरितम्२२.१२३ ॥")</f>
        <v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॥नैषधीयचरितम्२२.१२३ ॥</v>
      </c>
      <c r="B4969" s="4" t="s">
        <v>1</v>
      </c>
      <c r="C4969" s="4"/>
    </row>
    <row r="4970" spans="1:3" ht="24" customHeight="1">
      <c r="A4970" s="4" t="str">
        <f ca="1">IFERROR(__xludf.DUMMYFUNCTION("""COMPUTED_VALUE"""),"समं समेते शशिनः करेण प्रसूनपाणाविह कैरविण्याः ।  विवाहलीलामनयोरिवाह मधुच्छलत्यागजलाभिषेकः ॥नैषधीयचरितम्२२.१२४ ॥ ")</f>
        <v xml:space="preserve">समं समेते शशिनः करेण प्रसूनपाणाविह कैरविण्याः ।  विवाहलीलामनयोरिवाह मधुच्छलत्यागजलाभिषेकः ॥नैषधीयचरितम्२२.१२४ ॥ </v>
      </c>
      <c r="B4970" s="4" t="s">
        <v>19</v>
      </c>
      <c r="C4970" s="4"/>
    </row>
    <row r="4971" spans="1:3" ht="24" customHeight="1">
      <c r="A4971" s="4" t="str">
        <f ca="1">IFERROR(__xludf.DUMMYFUNCTION("""COMPUTED_VALUE"""),"विकासिनीलायतपुष्पनेत्रा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॥नैषधीयचरितम्२२.१२५ ॥")</f>
        <v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॥नैषधीयचरितम्२२.१२५ ॥</v>
      </c>
      <c r="B4971" s="4" t="s">
        <v>3</v>
      </c>
      <c r="C4971" s="4"/>
    </row>
    <row r="4972" spans="1:3" ht="24" customHeight="1">
      <c r="A4972" s="4" t="str">
        <f ca="1">IFERROR(__xludf.DUMMYFUNCTION("""COMPUTED_VALUE"""),"तपस्यतामम्बुनि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॥नैषधीयचरितम्२२.१२६ ॥")</f>
        <v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॥नैषधीयचरितम्२२.१२६ ॥</v>
      </c>
      <c r="B4972" s="4" t="s">
        <v>0</v>
      </c>
      <c r="C4972" s="4"/>
    </row>
    <row r="4973" spans="1:3" ht="24" customHeight="1">
      <c r="A4973" s="4" t="str">
        <f ca="1">IFERROR(__xludf.DUMMYFUNCTION("""COMPUTED_VALUE"""),"अल्पाङ्कपङ्का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॥नैषधीयचरितम्२२.१२७ ॥")</f>
        <v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॥नैषधीयचरितम्२२.१२७ ॥</v>
      </c>
      <c r="B4973" s="4" t="s">
        <v>1</v>
      </c>
      <c r="C4973" s="4"/>
    </row>
    <row r="4974" spans="1:3" ht="24" customHeight="1">
      <c r="A4974" s="4" t="str">
        <f ca="1">IFERROR(__xludf.DUMMYFUNCTION("""COMPUTED_VALUE"""),"तारास्थिभूषा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॥नैषधीयचरितम्२२.१२८ ॥")</f>
        <v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॥नैषधीयचरितम्२२.१२८ ॥</v>
      </c>
      <c r="B4974" s="4" t="s">
        <v>2</v>
      </c>
      <c r="C4974" s="4"/>
    </row>
    <row r="4975" spans="1:3" ht="24" customHeight="1">
      <c r="A4975" s="4" t="str">
        <f ca="1">IFERROR(__xludf.DUMMYFUNCTION("""COMPUTED_VALUE"""),"एकैव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॥नैषधीयचरितम्२२.१२९ ॥")</f>
        <v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॥नैषधीयचरितम्२२.१२९ ॥</v>
      </c>
      <c r="B4975" s="4" t="s">
        <v>2</v>
      </c>
      <c r="C4975" s="4"/>
    </row>
    <row r="4976" spans="1:3" ht="24" customHeight="1">
      <c r="A4976" s="4" t="str">
        <f ca="1">IFERROR(__xludf.DUMMYFUNCTION("""COMPUTED_VALUE"""),"मृगाक्षि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॥नैषधीयचरितम्२२.१३ ॥")</f>
        <v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॥नैषधीयचरितम्२२.१३ ॥</v>
      </c>
      <c r="B4976" s="4" t="s">
        <v>5</v>
      </c>
      <c r="C4976" s="4"/>
    </row>
    <row r="4977" spans="1:3" ht="24" customHeight="1">
      <c r="A4977" s="4" t="str">
        <f ca="1">IFERROR(__xludf.DUMMYFUNCTION("""COMPUTED_VALUE"""),"दशाननेनापि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॥नैषधीयचरितम्२२.१३१ ॥")</f>
        <v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॥नैषधीयचरितम्२२.१३१ ॥</v>
      </c>
      <c r="B4977" s="4" t="s">
        <v>5</v>
      </c>
      <c r="C4977" s="4"/>
    </row>
    <row r="4978" spans="1:3" ht="24" customHeight="1">
      <c r="A4978" s="4" t="str">
        <f ca="1">IFERROR(__xludf.DUMMYFUNCTION("""COMPUTED_VALUE"""),"दृष्टो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॥नैषधीयचरितम्२२.१३२ ॥")</f>
        <v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॥नैषधीयचरितम्२२.१३२ ॥</v>
      </c>
      <c r="B4978" s="4" t="s">
        <v>5</v>
      </c>
      <c r="C4978" s="4"/>
    </row>
    <row r="4979" spans="1:3" ht="24" customHeight="1">
      <c r="A4979" s="4" t="str">
        <f ca="1">IFERROR(__xludf.DUMMYFUNCTION("""COMPUTED_VALUE"""),"क्षत्त्राणि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॥नैषधीयचरितम्२२.१३३ ॥")</f>
        <v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॥नैषधीयचरितम्२२.१३३ ॥</v>
      </c>
      <c r="B4979" s="4" t="s">
        <v>2</v>
      </c>
      <c r="C4979" s="4"/>
    </row>
    <row r="4980" spans="1:3" ht="24" customHeight="1">
      <c r="A4980" s="4" t="str">
        <f ca="1">IFERROR(__xludf.DUMMYFUNCTION("""COMPUTED_VALUE"""),"अन्तः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॥नैषधीयचरितम्२२.१३४ ॥")</f>
        <v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॥नैषधीयचरितम्२२.१३४ ॥</v>
      </c>
      <c r="B4980" s="4" t="s">
        <v>2</v>
      </c>
      <c r="C4980" s="4"/>
    </row>
    <row r="4981" spans="1:3" ht="24" customHeight="1">
      <c r="A4981" s="4" t="str">
        <f ca="1">IFERROR(__xludf.DUMMYFUNCTION("""COMPUTED_VALUE"""),"सागरान्मुनिविलोचनोदराद्यद्द्वयादजनि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॥नैषधीयचरितम्२२.१३५ ॥")</f>
        <v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॥नैषधीयचरितम्२२.१३५ ॥</v>
      </c>
      <c r="B4981" s="4" t="s">
        <v>3</v>
      </c>
      <c r="C4981" s="4"/>
    </row>
    <row r="4982" spans="1:3" ht="24" customHeight="1">
      <c r="A4982" s="4" t="str">
        <f ca="1">IFERROR(__xludf.DUMMYFUNCTION("""COMPUTED_VALUE"""),"ताराविहारभुवि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॥नैषधीयचरितम्२२.१३६ ॥")</f>
        <v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॥नैषधीयचरितम्२२.१३६ ॥</v>
      </c>
      <c r="B4982" s="4" t="s">
        <v>2</v>
      </c>
      <c r="C4982" s="4"/>
    </row>
    <row r="4983" spans="1:3" ht="24" customHeight="1">
      <c r="A4983" s="4" t="str">
        <f ca="1">IFERROR(__xludf.DUMMYFUNCTION("""COMPUTED_VALUE"""),"इन्दुं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॥नैषधीयचरितम्२२.१३७ ॥")</f>
        <v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॥नैषधीयचरितम्२२.१३७ ॥</v>
      </c>
      <c r="B4983" s="4" t="s">
        <v>13</v>
      </c>
      <c r="C4983" s="4"/>
    </row>
    <row r="4984" spans="1:3" ht="24" customHeight="1">
      <c r="A4984" s="4" t="str">
        <f ca="1">IFERROR(__xludf.DUMMYFUNCTION("""COMPUTED_VALUE"""),"स्वर्भानुना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॥नैषधीयचरितम्२२.१३८ ॥")</f>
        <v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॥नैषधीयचरितम्२२.१३८ ॥</v>
      </c>
      <c r="B4984" s="4" t="s">
        <v>22</v>
      </c>
      <c r="C4984" s="4"/>
    </row>
    <row r="4985" spans="1:3" ht="24" customHeight="1">
      <c r="A4985" s="4" t="str">
        <f ca="1">IFERROR(__xludf.DUMMYFUNCTION("""COMPUTED_VALUE"""),"हर्यक्षीभवतः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॥नैषधीयचरितम्२२.१३९ ॥")</f>
        <v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॥नैषधीयचरितम्२२.१३९ ॥</v>
      </c>
      <c r="B4985" s="4" t="s">
        <v>2</v>
      </c>
      <c r="C4985" s="4"/>
    </row>
    <row r="4986" spans="1:3" ht="24" customHeight="1">
      <c r="A4986" s="4" t="str">
        <f ca="1">IFERROR(__xludf.DUMMYFUNCTION("""COMPUTED_VALUE"""),"यत्पूजां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॥नैषधीयचरितम्२२.१४ ॥")</f>
        <v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॥नैषधीयचरितम्२२.१४ ॥</v>
      </c>
      <c r="B4986" s="4" t="s">
        <v>19</v>
      </c>
      <c r="C4986" s="4"/>
    </row>
    <row r="4987" spans="1:3" ht="24" customHeight="1">
      <c r="A4987" s="4" t="str">
        <f ca="1">IFERROR(__xludf.DUMMYFUNCTION("""COMPUTED_VALUE"""),"जातं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॥नैषधीयचरितम्२२.१४१ ")</f>
        <v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॥नैषधीयचरितम्२२.१४१ </v>
      </c>
      <c r="B4987" s="4" t="s">
        <v>19</v>
      </c>
      <c r="C4987" s="4"/>
    </row>
    <row r="4988" spans="1:3" ht="24" customHeight="1">
      <c r="A4988" s="4" t="str">
        <f ca="1">IFERROR(__xludf.DUMMYFUNCTION("""COMPUTED_VALUE"""),"अंशं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॥नैषधीयचरितम्२२.१४२ ॥")</f>
        <v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॥नैषधीयचरितम्२२.१४२ ॥</v>
      </c>
      <c r="B4988" s="4" t="s">
        <v>19</v>
      </c>
      <c r="C4988" s="4"/>
    </row>
    <row r="4989" spans="1:3" ht="24" customHeight="1">
      <c r="A4989" s="4" t="str">
        <f ca="1">IFERROR(__xludf.DUMMYFUNCTION("""COMPUTED_VALUE"""),"ज्योत्स्नामादयते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॥नैषधीयचरितम्२२.१४३ ॥")</f>
        <v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॥नैषधीयचरितम्२२.१४३ ॥</v>
      </c>
      <c r="B4989" s="4" t="s">
        <v>20</v>
      </c>
      <c r="C4989" s="4"/>
    </row>
    <row r="4990" spans="1:3" ht="24" customHeight="1">
      <c r="A4990" s="4" t="str">
        <f ca="1">IFERROR(__xludf.DUMMYFUNCTION("""COMPUTED_VALUE"""),"लावण्येन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॥नैषधीयचरितम्२२.१४४ ॥")</f>
        <v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॥नैषधीयचरितम्२२.१४४ ॥</v>
      </c>
      <c r="B4990" s="4" t="s">
        <v>2</v>
      </c>
      <c r="C4990" s="4"/>
    </row>
    <row r="4991" spans="1:3" ht="24" customHeight="1">
      <c r="A4991" s="4" t="str">
        <f ca="1">IFERROR(__xludf.DUMMYFUNCTION("""COMPUTED_VALUE"""),"लावण्येन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॥नैषधीयचरितम्२२.१४५ ॥")</f>
        <v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॥नैषधीयचरितम्२२.१४५ ॥</v>
      </c>
      <c r="B4991" s="4" t="s">
        <v>5</v>
      </c>
      <c r="C4991" s="4"/>
    </row>
    <row r="4992" spans="1:3" ht="24" customHeight="1">
      <c r="A4992" s="4" t="str">
        <f ca="1">IFERROR(__xludf.DUMMYFUNCTION("""COMPUTED_VALUE"""),"सपीतेः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॥नैषधीयचरितम्२२.१४६ ॥")</f>
        <v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॥नैषधीयचरितम्२२.१४६ ॥</v>
      </c>
      <c r="B4992" s="4" t="s">
        <v>19</v>
      </c>
      <c r="C4992" s="4"/>
    </row>
    <row r="4993" spans="1:3" ht="24" customHeight="1">
      <c r="A4993" s="4" t="str">
        <f ca="1">IFERROR(__xludf.DUMMYFUNCTION("""COMPUTED_VALUE"""),"आस्यं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॥नैषधीयचरितम्२२.१४७ ॥")</f>
        <v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॥नैषधीयचरितम्२२.१४७ ॥</v>
      </c>
      <c r="B4993" s="4" t="s">
        <v>2</v>
      </c>
      <c r="C4993" s="4"/>
    </row>
    <row r="4994" spans="1:3" ht="24" customHeight="1">
      <c r="A4994" s="4" t="str">
        <f ca="1">IFERROR(__xludf.DUMMYFUNCTION("""COMPUTED_VALUE"""),"शुचिरुचिमुडुगणमगणनममुमतिकलयसि कृशतनु न गगनतटमनु । प्रतिनिशशशितलविगलदमृतभृतरविरथहयचयखुरबिलकुलमिव ॥नैषधीयचरितम्२२.१४८ ॥")</f>
        <v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॥नैषधीयचरितम्२२.१४८ ॥</v>
      </c>
      <c r="B4994" s="4" t="s">
        <v>4</v>
      </c>
      <c r="C4994" s="4"/>
    </row>
    <row r="4995" spans="1:3" ht="24" customHeight="1">
      <c r="A4995" s="4" t="str">
        <f ca="1">IFERROR(__xludf.DUMMYFUNCTION("""COMPUTED_VALUE"""),"उपनतमुडुपुष्पजातमास्ते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॥नैषधीयचरितम्२२.१४९ ॥")</f>
        <v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॥नैषधीयचरितम्२२.१४९ ॥</v>
      </c>
      <c r="B4995" s="4" t="s">
        <v>7</v>
      </c>
      <c r="C4995" s="4"/>
    </row>
    <row r="4996" spans="1:3" ht="24" customHeight="1">
      <c r="A4996" s="4" t="str">
        <f ca="1">IFERROR(__xludf.DUMMYFUNCTION("""COMPUTED_VALUE"""),"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॥नैषधीयचरितम्२२.१५ ॥")</f>
        <v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॥नैषधीयचरितम्२२.१५ ॥</v>
      </c>
      <c r="B4996" s="4" t="s">
        <v>5</v>
      </c>
      <c r="C4996" s="4"/>
    </row>
    <row r="4997" spans="1:3" ht="24" customHeight="1">
      <c r="A4997" s="4" t="str">
        <f ca="1">IFERROR(__xludf.DUMMYFUNCTION("""COMPUTED_VALUE"""),"श्रीहर्षं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॥नैषधीयचरितम्२२.१५१ ॥")</f>
        <v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॥नैषधीयचरितम्२२.१५१ ॥</v>
      </c>
      <c r="B4997" s="4" t="s">
        <v>11</v>
      </c>
      <c r="C4997" s="4"/>
    </row>
    <row r="4998" spans="1:3" ht="24" customHeight="1">
      <c r="A4998" s="4" t="str">
        <f ca="1">IFERROR(__xludf.DUMMYFUNCTION("""COMPUTED_VALUE"""),"यथा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॥नैषधीयचरितम्२२.१५२ ॥")</f>
        <v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॥नैषधीयचरितम्२२.१५२ ॥</v>
      </c>
      <c r="B4998" s="4" t="s">
        <v>0</v>
      </c>
      <c r="C4998" s="4"/>
    </row>
    <row r="4999" spans="1:3" ht="24" customHeight="1">
      <c r="A4999" s="4" t="str">
        <f ca="1">IFERROR(__xludf.DUMMYFUNCTION("""COMPUTED_VALUE"""),"दिशि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॥नैषधीयचरितम्२२.१५३ ॥")</f>
        <v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॥नैषधीयचरितम्२२.१५३ ॥</v>
      </c>
      <c r="B4999" s="4" t="s">
        <v>1</v>
      </c>
      <c r="C4999" s="4"/>
    </row>
    <row r="5000" spans="1:3" ht="24" customHeight="1">
      <c r="A5000" s="4" t="str">
        <f ca="1">IFERROR(__xludf.DUMMYFUNCTION("""COMPUTED_VALUE"""),"ग्रन्थग्रन्थिरिह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॥नैषधीयचरितम्२२.१५४ ॥")</f>
        <v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॥नैषधीयचरितम्२२.१५४ ॥</v>
      </c>
      <c r="B5000" s="4" t="s">
        <v>1</v>
      </c>
      <c r="C5000" s="4"/>
    </row>
    <row r="5001" spans="1:3" ht="24" customHeight="1">
      <c r="A5001" s="4" t="str">
        <f ca="1">IFERROR(__xludf.DUMMYFUNCTION("""COMPUTED_VALUE"""),"ताम्बूलद्वयमासनं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॥नैषधीयचरितम्२२.१५५ ॥")</f>
        <v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॥नैषधीयचरितम्२२.१५५ ॥</v>
      </c>
      <c r="B5001" s="4" t="s">
        <v>5</v>
      </c>
      <c r="C5001" s="4"/>
    </row>
    <row r="5002" spans="1:3" ht="24" customHeight="1">
      <c r="A5002" s="4" t="str">
        <f ca="1">IFERROR(__xludf.DUMMYFUNCTION("""COMPUTED_VALUE"""),"श्रियः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||")</f>
        <v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||</v>
      </c>
      <c r="B5002" s="4" t="s">
        <v>0</v>
      </c>
      <c r="C5002" s="4"/>
    </row>
    <row r="5003" spans="1:3" ht="24" customHeight="1">
      <c r="A5003" s="4" t="str">
        <f ca="1">IFERROR(__xludf.DUMMYFUNCTION("""COMPUTED_VALUE"""),"कृतप्रणामस्य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||")</f>
        <v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||</v>
      </c>
      <c r="B5003" s="4" t="s">
        <v>7</v>
      </c>
      <c r="C5003" s="4"/>
    </row>
    <row r="5004" spans="1:3" ht="24" customHeight="1">
      <c r="A5004" s="4" t="str">
        <f ca="1">IFERROR(__xludf.DUMMYFUNCTION("""COMPUTED_VALUE"""),"द्विषां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||")</f>
        <v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||</v>
      </c>
      <c r="B5004" s="4" t="s">
        <v>17</v>
      </c>
      <c r="C5004" s="4"/>
    </row>
    <row r="5005" spans="1:3" ht="24" customHeight="1">
      <c r="A5005" s="4" t="str">
        <f ca="1">IFERROR(__xludf.DUMMYFUNCTION("""COMPUTED_VALUE"""),"क्रियासु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||")</f>
        <v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||</v>
      </c>
      <c r="B5005" s="4" t="s">
        <v>16</v>
      </c>
      <c r="C5005" s="4"/>
    </row>
    <row r="5006" spans="1:3" ht="24" customHeight="1">
      <c r="A5006" s="4" t="str">
        <f ca="1">IFERROR(__xludf.DUMMYFUNCTION("""COMPUTED_VALUE"""),"स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||")</f>
        <v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||</v>
      </c>
      <c r="B5006" s="4" t="s">
        <v>17</v>
      </c>
      <c r="C5006" s="4"/>
    </row>
    <row r="5007" spans="1:3" ht="24" customHeight="1">
      <c r="A5007" s="4" t="str">
        <f ca="1">IFERROR(__xludf.DUMMYFUNCTION("""COMPUTED_VALUE"""),"निसर्गदुर्बोधमबोधविक्लवाः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||")</f>
        <v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||</v>
      </c>
      <c r="B5007" s="4" t="s">
        <v>13</v>
      </c>
      <c r="C5007" s="4"/>
    </row>
    <row r="5008" spans="1:3" ht="24" customHeight="1">
      <c r="A5008" s="4" t="str">
        <f ca="1">IFERROR(__xludf.DUMMYFUNCTION("""COMPUTED_VALUE"""),"विशङ्कमानो भवतः पराभवं नृपासनस्थोऽपि वनाधिवासिनः । दुरोदरच्छद्मजितां समीहते नयेन जेतुं जगतीं सुयोधनः ||")</f>
        <v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||</v>
      </c>
      <c r="B5008" s="4" t="s">
        <v>1</v>
      </c>
      <c r="C5008" s="4"/>
    </row>
    <row r="5009" spans="1:3" ht="24" customHeight="1">
      <c r="A5009" s="4" t="str">
        <f ca="1">IFERROR(__xludf.DUMMYFUNCTION("""COMPUTED_VALUE"""),"तथापि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||")</f>
        <v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||</v>
      </c>
      <c r="B5009" s="4" t="s">
        <v>6</v>
      </c>
      <c r="C5009" s="4"/>
    </row>
    <row r="5010" spans="1:3" ht="24" customHeight="1">
      <c r="A5010" s="4" t="str">
        <f ca="1">IFERROR(__xludf.DUMMYFUNCTION("""COMPUTED_VALUE"""),"कृतारिषड्वर्गजयेन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||")</f>
        <v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||</v>
      </c>
      <c r="B5010" s="4" t="s">
        <v>13</v>
      </c>
      <c r="C5010" s="4"/>
    </row>
    <row r="5011" spans="1:3" ht="24" customHeight="1">
      <c r="A5011" s="4" t="str">
        <f ca="1">IFERROR(__xludf.DUMMYFUNCTION("""COMPUTED_VALUE"""),"सखीनिव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||")</f>
        <v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||</v>
      </c>
      <c r="B5011" s="4" t="s">
        <v>2</v>
      </c>
      <c r="C5011" s="4"/>
    </row>
    <row r="5012" spans="1:3" ht="24" customHeight="1">
      <c r="A5012" s="4" t="str">
        <f ca="1">IFERROR(__xludf.DUMMYFUNCTION("""COMPUTED_VALUE"""),"असक्तमाराधयतो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||")</f>
        <v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||</v>
      </c>
      <c r="B5012" s="4" t="s">
        <v>0</v>
      </c>
      <c r="C5012" s="4"/>
    </row>
    <row r="5013" spans="1:3" ht="24" customHeight="1">
      <c r="A5013" s="4" t="str">
        <f ca="1">IFERROR(__xludf.DUMMYFUNCTION("""COMPUTED_VALUE"""),"निरत्ययं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||")</f>
        <v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||</v>
      </c>
      <c r="B5013" s="4" t="s">
        <v>5</v>
      </c>
      <c r="C5013" s="4"/>
    </row>
    <row r="5014" spans="1:3" ht="24" customHeight="1">
      <c r="A5014" s="4" t="str">
        <f ca="1">IFERROR(__xludf.DUMMYFUNCTION("""COMPUTED_VALUE"""),"वसूनि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||")</f>
        <v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||</v>
      </c>
      <c r="B5014" s="4" t="s">
        <v>4</v>
      </c>
      <c r="C5014" s="4"/>
    </row>
    <row r="5015" spans="1:3" ht="24" customHeight="1">
      <c r="A5015" s="4" t="str">
        <f ca="1">IFERROR(__xludf.DUMMYFUNCTION("""COMPUTED_VALUE"""),"विधाय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||")</f>
        <v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||</v>
      </c>
      <c r="B5015" s="4" t="s">
        <v>17</v>
      </c>
      <c r="C5015" s="4"/>
    </row>
    <row r="5016" spans="1:3" ht="24" customHeight="1">
      <c r="A5016" s="4" t="str">
        <f ca="1">IFERROR(__xludf.DUMMYFUNCTION("""COMPUTED_VALUE"""),"अनारतं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||")</f>
        <v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||</v>
      </c>
      <c r="B5016" s="4" t="s">
        <v>17</v>
      </c>
      <c r="C5016" s="4"/>
    </row>
    <row r="5017" spans="1:3" ht="24" customHeight="1">
      <c r="A5017" s="4" t="str">
        <f ca="1">IFERROR(__xludf.DUMMYFUNCTION("""COMPUTED_VALUE"""),"अनेकराजन्यरथाश्वसंकुलं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||")</f>
        <v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||</v>
      </c>
      <c r="B5017" s="4" t="s">
        <v>17</v>
      </c>
      <c r="C5017" s="4"/>
    </row>
    <row r="5018" spans="1:3" ht="24" customHeight="1">
      <c r="A5018" s="4" t="str">
        <f ca="1">IFERROR(__xludf.DUMMYFUNCTION("""COMPUTED_VALUE"""),"सुखेन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||")</f>
        <v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||</v>
      </c>
      <c r="B5018" s="4" t="s">
        <v>2</v>
      </c>
      <c r="C5018" s="4"/>
    </row>
    <row r="5019" spans="1:3" ht="24" customHeight="1">
      <c r="A5019" s="4" t="str">
        <f ca="1">IFERROR(__xludf.DUMMYFUNCTION("""COMPUTED_VALUE"""),"महौजसो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||")</f>
        <v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||</v>
      </c>
      <c r="B5019" s="4" t="s">
        <v>2</v>
      </c>
      <c r="C5019" s="4"/>
    </row>
    <row r="5020" spans="1:3" ht="24" customHeight="1">
      <c r="A5020" s="4" t="str">
        <f ca="1">IFERROR(__xludf.DUMMYFUNCTION("""COMPUTED_VALUE"""),"उदारकीर्तेरुदयं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||")</f>
        <v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||</v>
      </c>
      <c r="B5020" s="4" t="s">
        <v>1</v>
      </c>
      <c r="C5020" s="4"/>
    </row>
    <row r="5021" spans="1:3" ht="24" customHeight="1">
      <c r="A5021" s="4" t="str">
        <f ca="1">IFERROR(__xludf.DUMMYFUNCTION("""COMPUTED_VALUE"""),"महीभुजां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||")</f>
        <v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||</v>
      </c>
      <c r="B5021" s="4" t="s">
        <v>11</v>
      </c>
      <c r="C5021" s="4"/>
    </row>
    <row r="5022" spans="1:3" ht="24" customHeight="1">
      <c r="A5022" s="4" t="str">
        <f ca="1">IFERROR(__xludf.DUMMYFUNCTION("""COMPUTED_VALUE"""),"न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||")</f>
        <v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||</v>
      </c>
      <c r="B5022" s="4" t="s">
        <v>1</v>
      </c>
      <c r="C5022" s="4"/>
    </row>
    <row r="5023" spans="1:3" ht="24" customHeight="1">
      <c r="A5023" s="4" t="str">
        <f ca="1">IFERROR(__xludf.DUMMYFUNCTION("""COMPUTED_VALUE"""),"स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||")</f>
        <v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||</v>
      </c>
      <c r="B5023" s="4" t="s">
        <v>18</v>
      </c>
      <c r="C5023" s="4"/>
    </row>
    <row r="5024" spans="1:3" ht="24" customHeight="1">
      <c r="A5024" s="4" t="str">
        <f ca="1">IFERROR(__xludf.DUMMYFUNCTION("""COMPUTED_VALUE"""),"प्रलीनभूपालमपि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||")</f>
        <v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||</v>
      </c>
      <c r="B5024" s="4" t="s">
        <v>2</v>
      </c>
      <c r="C5024" s="4"/>
    </row>
    <row r="5025" spans="1:3" ht="24" customHeight="1">
      <c r="A5025" s="4" t="str">
        <f ca="1">IFERROR(__xludf.DUMMYFUNCTION("""COMPUTED_VALUE"""),"कथाप्रसङ्गेन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||")</f>
        <v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||</v>
      </c>
      <c r="B5025" s="4" t="s">
        <v>15</v>
      </c>
      <c r="C5025" s="4"/>
    </row>
    <row r="5026" spans="1:3" ht="24" customHeight="1">
      <c r="A5026" s="4" t="str">
        <f ca="1">IFERROR(__xludf.DUMMYFUNCTION("""COMPUTED_VALUE"""),"तदाशु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||")</f>
        <v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||</v>
      </c>
      <c r="B5026" s="4" t="s">
        <v>5</v>
      </c>
      <c r="C5026" s="4"/>
    </row>
    <row r="5027" spans="1:3" ht="24" customHeight="1">
      <c r="A5027" s="4" t="str">
        <f ca="1">IFERROR(__xludf.DUMMYFUNCTION("""COMPUTED_VALUE"""),"इतीरयित्वा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||")</f>
        <v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||</v>
      </c>
      <c r="B5027" s="4" t="s">
        <v>16</v>
      </c>
      <c r="C5027" s="4"/>
    </row>
    <row r="5028" spans="1:3" ht="24" customHeight="1">
      <c r="A5028" s="4" t="str">
        <f ca="1">IFERROR(__xludf.DUMMYFUNCTION("""COMPUTED_VALUE"""),"निशम्य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||")</f>
        <v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||</v>
      </c>
      <c r="B5028" s="4" t="s">
        <v>0</v>
      </c>
      <c r="C5028" s="4"/>
    </row>
    <row r="5029" spans="1:3" ht="24" customHeight="1">
      <c r="A5029" s="4" t="str">
        <f ca="1">IFERROR(__xludf.DUMMYFUNCTION("""COMPUTED_VALUE"""),"भवादृशेषु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||")</f>
        <v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||</v>
      </c>
      <c r="B5029" s="4" t="s">
        <v>5</v>
      </c>
      <c r="C5029" s="4"/>
    </row>
    <row r="5030" spans="1:3" ht="24" customHeight="1">
      <c r="A5030" s="4" t="str">
        <f ca="1">IFERROR(__xludf.DUMMYFUNCTION("""COMPUTED_VALUE"""),"अखण्डमाखण्डलतुल्यधामभिश्चिरं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||")</f>
        <v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||</v>
      </c>
      <c r="B5030" s="4" t="s">
        <v>2</v>
      </c>
      <c r="C5030" s="4"/>
    </row>
    <row r="5031" spans="1:3" ht="24" customHeight="1">
      <c r="A5031" s="4" t="str">
        <f ca="1">IFERROR(__xludf.DUMMYFUNCTION("""COMPUTED_VALUE"""),"व्रजन्ति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||")</f>
        <v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||</v>
      </c>
      <c r="B5031" s="4" t="s">
        <v>4</v>
      </c>
      <c r="C5031" s="4"/>
    </row>
    <row r="5032" spans="1:3" ht="24" customHeight="1">
      <c r="A5032" s="4" t="str">
        <f ca="1">IFERROR(__xludf.DUMMYFUNCTION("""COMPUTED_VALUE"""),"गुणानुरक्तां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||")</f>
        <v>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||</v>
      </c>
      <c r="B5032" s="4" t="s">
        <v>5</v>
      </c>
      <c r="C5032" s="4"/>
    </row>
    <row r="5033" spans="1:3" ht="24" customHeight="1">
      <c r="A5033" s="4" t="str">
        <f ca="1">IFERROR(__xludf.DUMMYFUNCTION("""COMPUTED_VALUE"""),"भवन्तं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||")</f>
        <v>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||</v>
      </c>
      <c r="B5033" s="4" t="s">
        <v>14</v>
      </c>
      <c r="C5033" s="4"/>
    </row>
    <row r="5034" spans="1:3" ht="24" customHeight="1">
      <c r="A5034" s="4" t="str">
        <f ca="1">IFERROR(__xludf.DUMMYFUNCTION("""COMPUTED_VALUE"""),"अवन्ध्यकोपस्य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||")</f>
        <v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||</v>
      </c>
      <c r="B5034" s="4" t="s">
        <v>0</v>
      </c>
      <c r="C5034" s="4"/>
    </row>
    <row r="5035" spans="1:3" ht="24" customHeight="1">
      <c r="A5035" s="4" t="str">
        <f ca="1">IFERROR(__xludf.DUMMYFUNCTION("""COMPUTED_VALUE"""),"परिभ्रमंल्लोहितचन्दनोचितः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||")</f>
        <v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||</v>
      </c>
      <c r="B5035" s="4" t="s">
        <v>0</v>
      </c>
      <c r="C5035" s="4"/>
    </row>
    <row r="5036" spans="1:3" ht="24" customHeight="1">
      <c r="A5036" s="4" t="str">
        <f ca="1">IFERROR(__xludf.DUMMYFUNCTION("""COMPUTED_VALUE"""),"विजित्य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||")</f>
        <v>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||</v>
      </c>
      <c r="B5036" s="4" t="s">
        <v>5</v>
      </c>
      <c r="C5036" s="4"/>
    </row>
    <row r="5037" spans="1:3" ht="24" customHeight="1">
      <c r="A5037" s="4" t="str">
        <f ca="1">IFERROR(__xludf.DUMMYFUNCTION("""COMPUTED_VALUE"""),"वनान्तशय्याकठिनीकृताकृती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||")</f>
        <v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||</v>
      </c>
      <c r="B5037" s="4" t="s">
        <v>2</v>
      </c>
      <c r="C5037" s="4"/>
    </row>
    <row r="5038" spans="1:3" ht="24" customHeight="1">
      <c r="A5038" s="4" t="str">
        <f ca="1">IFERROR(__xludf.DUMMYFUNCTION("""COMPUTED_VALUE"""),"इमां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||")</f>
        <v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||</v>
      </c>
      <c r="B5038" s="4" t="s">
        <v>5</v>
      </c>
      <c r="C5038" s="4"/>
    </row>
    <row r="5039" spans="1:3" ht="24" customHeight="1">
      <c r="A5039" s="4" t="str">
        <f ca="1">IFERROR(__xludf.DUMMYFUNCTION("""COMPUTED_VALUE"""),"पुराधिरूढः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||")</f>
        <v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||</v>
      </c>
      <c r="B5039" s="4" t="s">
        <v>2</v>
      </c>
      <c r="C5039" s="4"/>
    </row>
    <row r="5040" spans="1:3" ht="24" customHeight="1">
      <c r="A5040" s="4" t="str">
        <f ca="1">IFERROR(__xludf.DUMMYFUNCTION("""COMPUTED_VALUE"""),"पुरोपनीतं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||")</f>
        <v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||</v>
      </c>
      <c r="B5040" s="4" t="s">
        <v>9</v>
      </c>
      <c r="C5040" s="4"/>
    </row>
    <row r="5041" spans="1:3" ht="24" customHeight="1">
      <c r="A5041" s="4" t="str">
        <f ca="1">IFERROR(__xludf.DUMMYFUNCTION("""COMPUTED_VALUE"""),"अनारतं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||")</f>
        <v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||</v>
      </c>
      <c r="B5041" s="4" t="s">
        <v>13</v>
      </c>
      <c r="C5041" s="4"/>
    </row>
    <row r="5042" spans="1:3" ht="24" customHeight="1">
      <c r="A5042" s="4" t="str">
        <f ca="1">IFERROR(__xludf.DUMMYFUNCTION("""COMPUTED_VALUE"""),"द्विषन्निमित्ता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||")</f>
        <v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||</v>
      </c>
      <c r="B5042" s="4" t="s">
        <v>1</v>
      </c>
      <c r="C5042" s="4"/>
    </row>
    <row r="5043" spans="1:3" ht="24" customHeight="1">
      <c r="A5043" s="4" t="str">
        <f ca="1">IFERROR(__xludf.DUMMYFUNCTION("""COMPUTED_VALUE"""),"विहाय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||")</f>
        <v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||</v>
      </c>
      <c r="B5043" s="4" t="s">
        <v>2</v>
      </c>
      <c r="C5043" s="4"/>
    </row>
    <row r="5044" spans="1:3" ht="24" customHeight="1">
      <c r="A5044" s="4" t="str">
        <f ca="1">IFERROR(__xludf.DUMMYFUNCTION("""COMPUTED_VALUE"""),"पुरःसरा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||")</f>
        <v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||</v>
      </c>
      <c r="B5044" s="4" t="s">
        <v>2</v>
      </c>
      <c r="C5044" s="4"/>
    </row>
    <row r="5045" spans="1:3" ht="24" customHeight="1">
      <c r="A5045" s="4" t="str">
        <f ca="1">IFERROR(__xludf.DUMMYFUNCTION("""COMPUTED_VALUE"""),"अथ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||")</f>
        <v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||</v>
      </c>
      <c r="B5045" s="4" t="s">
        <v>19</v>
      </c>
      <c r="C5045" s="4"/>
    </row>
    <row r="5046" spans="1:3" ht="24" customHeight="1">
      <c r="A5046" s="4" t="str">
        <f ca="1">IFERROR(__xludf.DUMMYFUNCTION("""COMPUTED_VALUE"""),"न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||")</f>
        <v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||</v>
      </c>
      <c r="B5046" s="4" t="s">
        <v>1</v>
      </c>
      <c r="C5046" s="4"/>
    </row>
    <row r="5047" spans="1:3" ht="24" customHeight="1">
      <c r="A5047" s="4" t="str">
        <f ca="1">IFERROR(__xludf.DUMMYFUNCTION("""COMPUTED_VALUE"""),"विधिसमयनियोगाद्दीप्तिसंहारजिह्मं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||")</f>
        <v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||</v>
      </c>
      <c r="B5047" s="4" t="s">
        <v>5</v>
      </c>
      <c r="C5047" s="4"/>
    </row>
    <row r="5048" spans="1:3" ht="24" customHeight="1">
      <c r="A5048" s="4" t="str">
        <f ca="1">IFERROR(__xludf.DUMMYFUNCTION("""COMPUTED_VALUE"""),"विहितां प्रियया मनःप्रियां अथ निश्चित्य गिरं गरीयसीं । उपपत्तिमदूर्जिताश्रयं नृपं ऊचे वचनं वृकोदरः ||")</f>
        <v>विहितां प्रियया मनःप्रियां अथ निश्चित्य गिरं गरीयसीं । उपपत्तिमदूर्जिताश्रयं नृपं ऊचे वचनं वृकोदरः ||</v>
      </c>
      <c r="B5048" s="4" t="s">
        <v>0</v>
      </c>
      <c r="C5048" s="4"/>
    </row>
    <row r="5049" spans="1:3" ht="24" customHeight="1">
      <c r="A5049" s="4" t="str">
        <f ca="1">IFERROR(__xludf.DUMMYFUNCTION("""COMPUTED_VALUE"""),"यदवोचत वीक्ष्य मानिनी परितः स्नेहमयेन चक्षुषा । अपि वागधिपस्य दुर्वचं वचनं तद्विदधीत विस्मयं ||")</f>
        <v>यदवोचत वीक्ष्य मानिनी परितः स्नेहमयेन चक्षुषा । अपि वागधिपस्य दुर्वचं वचनं तद्विदधीत विस्मयं ||</v>
      </c>
      <c r="B5049" s="4" t="s">
        <v>5</v>
      </c>
      <c r="C5049" s="4"/>
    </row>
    <row r="5050" spans="1:3" ht="24" customHeight="1">
      <c r="A5050" s="4" t="str">
        <f ca="1">IFERROR(__xludf.DUMMYFUNCTION("""COMPUTED_VALUE"""),"विषमोऽपि विगाह्यते नयः कृततीर्थः पयसां इवाशयः । स तु तत्र विशेषदुर्लभः सदुपन्यस्यति कृत्यवर्त्म यः ||")</f>
        <v>विषमोऽपि विगाह्यते नयः कृततीर्थः पयसां इवाशयः । स तु तत्र विशेषदुर्लभः सदुपन्यस्यति कृत्यवर्त्म यः ||</v>
      </c>
      <c r="B5050" s="4" t="s">
        <v>5</v>
      </c>
      <c r="C5050" s="4"/>
    </row>
    <row r="5051" spans="1:3" ht="24" customHeight="1">
      <c r="A5051" s="4" t="str">
        <f ca="1">IFERROR(__xludf.DUMMYFUNCTION("""COMPUTED_VALUE"""),"परिणामसुखे गरीयसि व्यथकेऽस्मिन्वचसि क्षतौजसां । अतिवीर्यवतीव भेषजे बहुरल्पीयसि दृश्यते गुणः ||")</f>
        <v>परिणामसुखे गरीयसि व्यथकेऽस्मिन्वचसि क्षतौजसां । अतिवीर्यवतीव भेषजे बहुरल्पीयसि दृश्यते गुणः ||</v>
      </c>
      <c r="B5051" s="4" t="s">
        <v>7</v>
      </c>
      <c r="C5051" s="4"/>
    </row>
    <row r="5052" spans="1:3" ht="24" customHeight="1">
      <c r="A5052" s="4" t="str">
        <f ca="1">IFERROR(__xludf.DUMMYFUNCTION("""COMPUTED_VALUE"""),"इयं इष्टगुणाय रोचतां रुचिरार्था भवतेऽपि भारती । ननु वक्तृविशेषनिःस्पृहा गुणगृह्या वचने विपश्चितः ||")</f>
        <v>इयं इष्टगुणाय रोचतां रुचिरार्था भवतेऽपि भारती । ननु वक्तृविशेषनिःस्पृहा गुणगृह्या वचने विपश्चितः ||</v>
      </c>
      <c r="B5052" s="4" t="s">
        <v>2</v>
      </c>
      <c r="C5052" s="4"/>
    </row>
    <row r="5053" spans="1:3" ht="24" customHeight="1">
      <c r="A5053" s="4" t="str">
        <f ca="1">IFERROR(__xludf.DUMMYFUNCTION("""COMPUTED_VALUE"""),"चतसृष्वपि ते विवेकिनी नृप विद्यासु निरूढिं आगता । कथं एत्य मतिर्विपर्ययं करिणी पङ्कं इवावसीदति ||")</f>
        <v>चतसृष्वपि ते विवेकिनी नृप विद्यासु निरूढिं आगता । कथं एत्य मतिर्विपर्ययं करिणी पङ्कं इवावसीदति ||</v>
      </c>
      <c r="B5053" s="4" t="s">
        <v>2</v>
      </c>
      <c r="C5053" s="4"/>
    </row>
    <row r="5054" spans="1:3" ht="24" customHeight="1">
      <c r="A5054" s="4" t="str">
        <f ca="1">IFERROR(__xludf.DUMMYFUNCTION("""COMPUTED_VALUE"""),"विधुरं किं अतः परं परैरवगीतां गमिते दशां इमां । अवसीदति यत्सुरैरपि त्वयि सम्भावितवृत्ति पौरुषं ||")</f>
        <v>विधुरं किं अतः परं परैरवगीतां गमिते दशां इमां । अवसीदति यत्सुरैरपि त्वयि सम्भावितवृत्ति पौरुषं ||</v>
      </c>
      <c r="B5054" s="4" t="s">
        <v>13</v>
      </c>
      <c r="C5054" s="4"/>
    </row>
    <row r="5055" spans="1:3" ht="24" customHeight="1">
      <c r="A5055" s="4" t="str">
        <f ca="1">IFERROR(__xludf.DUMMYFUNCTION("""COMPUTED_VALUE"""),"द्विषतां उदयः सुमेधसा गुरुरस्वन्ततरः सुमर्षणः । न महानपि भूतिं इच्छता फलसम्पत्प्रवणः परिक्षयः ||")</f>
        <v>द्विषतां उदयः सुमेधसा गुरुरस्वन्ततरः सुमर्षणः । न महानपि भूतिं इच्छता फलसम्पत्प्रवणः परिक्षयः ||</v>
      </c>
      <c r="B5055" s="4" t="s">
        <v>5</v>
      </c>
      <c r="C5055" s="4"/>
    </row>
    <row r="5056" spans="1:3" ht="24" customHeight="1">
      <c r="A5056" s="4" t="str">
        <f ca="1">IFERROR(__xludf.DUMMYFUNCTION("""COMPUTED_VALUE"""),"अचिरेण परस्य भूयसीं विपरीतां विगणय्य चात्मनः । क्षययुक्तिं उपेक्षते कृती कुरुते तत्प्रतिकारं अन्यथा ||")</f>
        <v>अचिरेण परस्य भूयसीं विपरीतां विगणय्य चात्मनः । क्षययुक्तिं उपेक्षते कृती कुरुते तत्प्रतिकारं अन्यथा ||</v>
      </c>
      <c r="B5056" s="4" t="s">
        <v>10</v>
      </c>
      <c r="C5056" s="4"/>
    </row>
    <row r="5057" spans="1:3" ht="24" customHeight="1">
      <c r="A5057" s="4" t="str">
        <f ca="1">IFERROR(__xludf.DUMMYFUNCTION("""COMPUTED_VALUE"""),"अनुपालयतां उदेष्यतीं प्रभुशक्तिं द्विषतां अनीहया । अपयान्त्यचिरान्महीभुजां जननिर्वादभयादिव श्रियः ||")</f>
        <v>अनुपालयतां उदेष्यतीं प्रभुशक्तिं द्विषतां अनीहया । अपयान्त्यचिरान्महीभुजां जननिर्वादभयादिव श्रियः ||</v>
      </c>
      <c r="B5057" s="4" t="s">
        <v>5</v>
      </c>
      <c r="C5057" s="4"/>
    </row>
    <row r="5058" spans="1:3" ht="24" customHeight="1">
      <c r="A5058" s="4" t="str">
        <f ca="1">IFERROR(__xludf.DUMMYFUNCTION("""COMPUTED_VALUE"""),"क्षययुक्तं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||")</f>
        <v>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||</v>
      </c>
      <c r="B5058" s="4" t="s">
        <v>9</v>
      </c>
      <c r="C5058" s="4"/>
    </row>
    <row r="5059" spans="1:3" ht="24" customHeight="1">
      <c r="A5059" s="4" t="str">
        <f ca="1">IFERROR(__xludf.DUMMYFUNCTION("""COMPUTED_VALUE"""),"प्रभवः खलु कोशदण्डयोः कृतपञ्चाङ्गविनिर्णयो नयः । स विधेयपदेषु दक्षतां नियतिं लोक इवानुरुध्यते ||")</f>
        <v>प्रभवः खलु कोशदण्डयोः कृतपञ्चाङ्गविनिर्णयो नयः । स विधेयपदेषु दक्षतां नियतिं लोक इवानुरुध्यते ||</v>
      </c>
      <c r="B5059" s="4" t="s">
        <v>2</v>
      </c>
      <c r="C5059" s="4"/>
    </row>
    <row r="5060" spans="1:3" ht="24" customHeight="1">
      <c r="A5060" s="4" t="str">
        <f ca="1">IFERROR(__xludf.DUMMYFUNCTION("""COMPUTED_VALUE"""),"अभिमानवतो मनस्विनः प्रियं उच्चैः पदं आरुरुक्षतः । विनिपातनिवर्तनक्षमं मतं आलम्बनं आत्मपौरुषं ||")</f>
        <v>अभिमानवतो मनस्विनः प्रियं उच्चैः पदं आरुरुक्षतः । विनिपातनिवर्तनक्षमं मतं आलम्बनं आत्मपौरुषं ||</v>
      </c>
      <c r="B5060" s="4" t="s">
        <v>13</v>
      </c>
      <c r="C5060" s="4"/>
    </row>
    <row r="5061" spans="1:3" ht="24" customHeight="1">
      <c r="A5061" s="4" t="str">
        <f ca="1">IFERROR(__xludf.DUMMYFUNCTION("""COMPUTED_VALUE"""),"विपदोऽभिभवन्त्यविक्रमं रहयत्यापदुपेतं आयतिः । नियता लघुता निरायतेरगरीयान्न पदं नृपश्रियः ||")</f>
        <v>विपदोऽभिभवन्त्यविक्रमं रहयत्यापदुपेतं आयतिः । नियता लघुता निरायतेरगरीयान्न पदं नृपश्रियः ||</v>
      </c>
      <c r="B5061" s="4" t="s">
        <v>5</v>
      </c>
      <c r="C5061" s="4"/>
    </row>
    <row r="5062" spans="1:3" ht="24" customHeight="1">
      <c r="A5062" s="4" t="str">
        <f ca="1">IFERROR(__xludf.DUMMYFUNCTION("""COMPUTED_VALUE"""),"तदलं प्रतिपक्षं उन्नतेरवलम्ब्य व्यवसायवन्ध्यतां । निवसन्ति पराक्रमाश्रया न विषादेन समं समृद्धयः ||")</f>
        <v>तदलं प्रतिपक्षं उन्नतेरवलम्ब्य व्यवसायवन्ध्यतां । निवसन्ति पराक्रमाश्रया न विषादेन समं समृद्धयः ||</v>
      </c>
      <c r="B5062" s="4" t="s">
        <v>5</v>
      </c>
      <c r="C5062" s="4"/>
    </row>
    <row r="5063" spans="1:3" ht="24" customHeight="1">
      <c r="A5063" s="4" t="str">
        <f ca="1">IFERROR(__xludf.DUMMYFUNCTION("""COMPUTED_VALUE"""),"अथ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||")</f>
        <v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||</v>
      </c>
      <c r="B5063" s="4" t="s">
        <v>17</v>
      </c>
      <c r="C5063" s="4"/>
    </row>
    <row r="5064" spans="1:3" ht="24" customHeight="1">
      <c r="A5064" s="4" t="str">
        <f ca="1">IFERROR(__xludf.DUMMYFUNCTION("""COMPUTED_VALUE"""),"द्विषता विहितं त्वयाथवा यदि लब्धा पुनरात्मनः पदं । जननाथ तवानुजन्मनां कृतं आविष्कृतपौरुषैर्भुजैः ||")</f>
        <v>द्विषता विहितं त्वयाथवा यदि लब्धा पुनरात्मनः पदं । जननाथ तवानुजन्मनां कृतं आविष्कृतपौरुषैर्भुजैः ||</v>
      </c>
      <c r="B5064" s="4" t="s">
        <v>3</v>
      </c>
      <c r="C5064" s="4"/>
    </row>
    <row r="5065" spans="1:3" ht="24" customHeight="1">
      <c r="A5065" s="4" t="str">
        <f ca="1">IFERROR(__xludf.DUMMYFUNCTION("""COMPUTED_VALUE"""),"मदसिक्तमुखैर्मृगाधिपः करिभिर्वर्तयति स्वयं हतैः । लघयन्खलु तेजसा जगन्न महानिच्छति भूतिं अन्यतः ||")</f>
        <v>मदसिक्तमुखैर्मृगाधिपः करिभिर्वर्तयति स्वयं हतैः । लघयन्खलु तेजसा जगन्न महानिच्छति भूतिं अन्यतः ||</v>
      </c>
      <c r="B5065" s="4" t="s">
        <v>2</v>
      </c>
      <c r="C5065" s="4"/>
    </row>
    <row r="5066" spans="1:3" ht="24" customHeight="1">
      <c r="A5066" s="4" t="str">
        <f ca="1">IFERROR(__xludf.DUMMYFUNCTION("""COMPUTED_VALUE"""),"अभिमानधनस्य गत्वरैरसुभिः स्थास्नु यशश्चिचीषतः । अचिरांशुविलासचञ्चला ननु लक्ष्मीः फलं आनुषङ्गिकं ||")</f>
        <v>अभिमानधनस्य गत्वरैरसुभिः स्थास्नु यशश्चिचीषतः । अचिरांशुविलासचञ्चला ननु लक्ष्मीः फलं आनुषङ्गिकं ||</v>
      </c>
      <c r="B5066" s="4" t="s">
        <v>19</v>
      </c>
      <c r="C5066" s="4"/>
    </row>
    <row r="5067" spans="1:3" ht="24" customHeight="1">
      <c r="A5067" s="4" t="str">
        <f ca="1">IFERROR(__xludf.DUMMYFUNCTION("""COMPUTED_VALUE"""),"ज्वलितं न हिरण्यरेतसं चयं आस्कन्दति भस्मनां जनः । अभिभूतिभयादसूनतः सुखं उज्झन्ति न धाम मानिनः ||")</f>
        <v>ज्वलितं न हिरण्यरेतसं चयं आस्कन्दति भस्मनां जनः । अभिभूतिभयादसूनतः सुखं उज्झन्ति न धाम मानिनः ||</v>
      </c>
      <c r="B5067" s="4" t="s">
        <v>1</v>
      </c>
      <c r="C5067" s="4"/>
    </row>
    <row r="5068" spans="1:3" ht="24" customHeight="1">
      <c r="A5068" s="4" t="str">
        <f ca="1">IFERROR(__xludf.DUMMYFUNCTION("""COMPUTED_VALUE"""),"किं अवेक्ष्य फलं पयोधरान्ध्वनतः प्रार्थयते मृगाधिपः । प्रकृतिः खलु सा महीयसः सहते नान्यसमुन्नतिं यया ||")</f>
        <v>किं अवेक्ष्य फलं पयोधरान्ध्वनतः प्रार्थयते मृगाधिपः । प्रकृतिः खलु सा महीयसः सहते नान्यसमुन्नतिं यया ||</v>
      </c>
      <c r="B5068" s="4" t="s">
        <v>5</v>
      </c>
      <c r="C5068" s="4"/>
    </row>
    <row r="5069" spans="1:3" ht="24" customHeight="1">
      <c r="A5069" s="4" t="str">
        <f ca="1">IFERROR(__xludf.DUMMYFUNCTION("""COMPUTED_VALUE"""),"कुरु तन्मतिं एव विक्रमे नृप निर्धूय तमः प्रमादजं । ध्रुवं एतदवेहि विद्विषां त्वदनुत्साहहता विपत्तयः ||")</f>
        <v>कुरु तन्मतिं एव विक्रमे नृप निर्धूय तमः प्रमादजं । ध्रुवं एतदवेहि विद्विषां त्वदनुत्साहहता विपत्तयः ||</v>
      </c>
      <c r="B5069" s="4" t="s">
        <v>5</v>
      </c>
      <c r="C5069" s="4"/>
    </row>
    <row r="5070" spans="1:3" ht="24" customHeight="1">
      <c r="A5070" s="4" t="str">
        <f ca="1">IFERROR(__xludf.DUMMYFUNCTION("""COMPUTED_VALUE"""),"द्विरदानिव दिग्विभावितांश्चतुरस्तोयनिधीनिवायतः । प्रसहेत रणे तवानुजान्द्विषतां कः शतमन्युतेजसः ||")</f>
        <v>द्विरदानिव दिग्विभावितांश्चतुरस्तोयनिधीनिवायतः । प्रसहेत रणे तवानुजान्द्विषतां कः शतमन्युतेजसः ||</v>
      </c>
      <c r="B5070" s="4" t="s">
        <v>18</v>
      </c>
      <c r="C5070" s="4"/>
    </row>
    <row r="5071" spans="1:3" ht="24" customHeight="1">
      <c r="A5071" s="4" t="str">
        <f ca="1">IFERROR(__xludf.DUMMYFUNCTION("""COMPUTED_VALUE"""),"ज्वलतस्तव जातवेदसः सततं वैरिकृतस्य चेतसि । विदधातु शमं शिवेतरा रिपुनारीनयनाम्बुसन्ततिः ||")</f>
        <v>ज्वलतस्तव जातवेदसः सततं वैरिकृतस्य चेतसि । विदधातु शमं शिवेतरा रिपुनारीनयनाम्बुसन्ततिः ||</v>
      </c>
      <c r="B5071" s="4" t="s">
        <v>2</v>
      </c>
      <c r="C5071" s="4"/>
    </row>
    <row r="5072" spans="1:3" ht="24" customHeight="1">
      <c r="A5072" s="4" t="str">
        <f ca="1">IFERROR(__xludf.DUMMYFUNCTION("""COMPUTED_VALUE"""),"इति दर्शितविक्रियं सुतं मरुतः कोपपरीतमानसं । उपसान्त्वयितुं महीपतिर्द्विरदं दुष्टं इवोपचक्रमे ||")</f>
        <v>इति दर्शितविक्रियं सुतं मरुतः कोपपरीतमानसं । उपसान्त्वयितुं महीपतिर्द्विरदं दुष्टं इवोपचक्रमे ||</v>
      </c>
      <c r="B5072" s="4" t="s">
        <v>12</v>
      </c>
      <c r="C5072" s="4"/>
    </row>
    <row r="5073" spans="1:3" ht="24" customHeight="1">
      <c r="A5073" s="4" t="str">
        <f ca="1">IFERROR(__xludf.DUMMYFUNCTION("""COMPUTED_VALUE"""),"अपवर्जितविप्लवे शुचय्हृदयग्राहिणि मङ्गलास्पदे । विमला तव विस्तरे गिरां मतिरादर्श इवाभिदृश्यते ||")</f>
        <v>अपवर्जितविप्लवे शुचय्हृदयग्राहिणि मङ्गलास्पदे । विमला तव विस्तरे गिरां मतिरादर्श इवाभिदृश्यते ||</v>
      </c>
      <c r="B5073" s="4" t="s">
        <v>2</v>
      </c>
      <c r="C5073" s="4"/>
    </row>
    <row r="5074" spans="1:3" ht="24" customHeight="1">
      <c r="A5074" s="4" t="str">
        <f ca="1">IFERROR(__xludf.DUMMYFUNCTION("""COMPUTED_VALUE"""),"स्फुटता न पदैरपाकृता न च न स्वीकृतं अर्थगौरवं । रचिता पृथगर्थता गिरां न च सामर्थ्यं अपोहितं क्वचिथ् ||")</f>
        <v>स्फुटता न पदैरपाकृता न च न स्वीकृतं अर्थगौरवं । रचिता पृथगर्थता गिरां न च सामर्थ्यं अपोहितं क्वचिथ् ||</v>
      </c>
      <c r="B5074" s="4" t="s">
        <v>16</v>
      </c>
      <c r="C5074" s="4"/>
    </row>
    <row r="5075" spans="1:3" ht="24" customHeight="1">
      <c r="A5075" s="4" t="str">
        <f ca="1">IFERROR(__xludf.DUMMYFUNCTION("""COMPUTED_VALUE"""),"उपपत्तिरुदाहृता बलादनुमानेन न चागमः क्षतः । इदं ईदृगनीदृगाशयः प्रसभं वक्तुं उपक्रमेत कः ||")</f>
        <v>उपपत्तिरुदाहृता बलादनुमानेन न चागमः क्षतः । इदं ईदृगनीदृगाशयः प्रसभं वक्तुं उपक्रमेत कः ||</v>
      </c>
      <c r="B5075" s="4" t="s">
        <v>19</v>
      </c>
      <c r="C5075" s="4"/>
    </row>
    <row r="5076" spans="1:3" ht="24" customHeight="1">
      <c r="A5076" s="4" t="str">
        <f ca="1">IFERROR(__xludf.DUMMYFUNCTION("""COMPUTED_VALUE"""),"अवितृप्ततया तथापि मे हृदयं निर्णयं एव धावति । अवसाययितुं क्षमाः सुखं न विधेयेषु विशेषसम्पदः ||")</f>
        <v>अवितृप्ततया तथापि मे हृदयं निर्णयं एव धावति । अवसाययितुं क्षमाः सुखं न विधेयेषु विशेषसम्पदः ||</v>
      </c>
      <c r="B5076" s="4" t="s">
        <v>17</v>
      </c>
      <c r="C5076" s="4"/>
    </row>
    <row r="5077" spans="1:3" ht="24" customHeight="1">
      <c r="A5077" s="4" t="str">
        <f ca="1">IFERROR(__xludf.DUMMYFUNCTION("""COMPUTED_VALUE"""),"सहसा विदधीत न क्रियां अविवेकः परं आपदां पदं । वृणते हि विमृश्यकारिणं गुणलुब्धाः स्वयं एव सम्पदः ||")</f>
        <v>सहसा विदधीत न क्रियां अविवेकः परं आपदां पदं । वृणते हि विमृश्यकारिणं गुणलुब्धाः स्वयं एव सम्पदः ||</v>
      </c>
      <c r="B5077" s="4" t="s">
        <v>17</v>
      </c>
      <c r="C5077" s="4"/>
    </row>
    <row r="5078" spans="1:3" ht="24" customHeight="1">
      <c r="A5078" s="4" t="str">
        <f ca="1">IFERROR(__xludf.DUMMYFUNCTION("""COMPUTED_VALUE"""),"अभिवर्षति योऽनुपालयन्विधिबीजानि विवेकवारिणा । स सदा फलशालिनीं क्रियां शरदं लोक इवाधितिष्ठति ||")</f>
        <v>अभिवर्षति योऽनुपालयन्विधिबीजानि विवेकवारिणा । स सदा फलशालिनीं क्रियां शरदं लोक इवाधितिष्ठति ||</v>
      </c>
      <c r="B5078" s="4" t="s">
        <v>2</v>
      </c>
      <c r="C5078" s="4"/>
    </row>
    <row r="5079" spans="1:3" ht="24" customHeight="1">
      <c r="A5079" s="4" t="str">
        <f ca="1">IFERROR(__xludf.DUMMYFUNCTION("""COMPUTED_VALUE"""),"शुचि भूषयति श्रुतं वपुः प्रशमस्तस्य भवत्यलंक्रिया । प्रशमाभरणं पराक्रमः स नयापादितसिद्धिभूषणः ||")</f>
        <v>शुचि भूषयति श्रुतं वपुः प्रशमस्तस्य भवत्यलंक्रिया । प्रशमाभरणं पराक्रमः स नयापादितसिद्धिभूषणः ||</v>
      </c>
      <c r="B5079" s="4" t="s">
        <v>7</v>
      </c>
      <c r="C5079" s="4"/>
    </row>
    <row r="5080" spans="1:3" ht="24" customHeight="1">
      <c r="A5080" s="4" t="str">
        <f ca="1">IFERROR(__xludf.DUMMYFUNCTION("""COMPUTED_VALUE"""),"मतिभेदतमस्तिरोहिते गहने कृत्यविधौ विवेकिनां । सुकृतः परिशुद्ध आगमः कुरुते दीप इवार्थदर्शनं ||")</f>
        <v>मतिभेदतमस्तिरोहिते गहने कृत्यविधौ विवेकिनां । सुकृतः परिशुद्ध आगमः कुरुते दीप इवार्थदर्शनं ||</v>
      </c>
      <c r="B5080" s="4" t="s">
        <v>1</v>
      </c>
      <c r="C5080" s="4"/>
    </row>
    <row r="5081" spans="1:3" ht="24" customHeight="1">
      <c r="A5081" s="4" t="str">
        <f ca="1">IFERROR(__xludf.DUMMYFUNCTION("""COMPUTED_VALUE"""),"स्पृहणीयगुणैर्महात्मभिश्चरिते वर्त्मनि यच्छतां मनः । विधिहेतुरहेतुरागसां विनिपातोऽपि समः समुन्नतेः ||")</f>
        <v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||</v>
      </c>
      <c r="B5081" s="4" t="s">
        <v>2</v>
      </c>
      <c r="C5081" s="4"/>
    </row>
    <row r="5082" spans="1:3" ht="24" customHeight="1">
      <c r="A5082" s="4" t="str">
        <f ca="1">IFERROR(__xludf.DUMMYFUNCTION("""COMPUTED_VALUE"""),"शिवं औपयिकं गरीयसीं फलनिष्पत्तिं अदूषितायतिं । विगणय्य नयन्ति पौरुषं विजितक्रोधरया जिगीषवः ||")</f>
        <v>शिवं औपयिकं गरीयसीं फलनिष्पत्तिं अदूषितायतिं । विगणय्य नयन्ति पौरुषं विजितक्रोधरया जिगीषवः ||</v>
      </c>
      <c r="B5082" s="4" t="s">
        <v>4</v>
      </c>
      <c r="C5082" s="4"/>
    </row>
    <row r="5083" spans="1:3" ht="24" customHeight="1">
      <c r="A5083" s="4" t="str">
        <f ca="1">IFERROR(__xludf.DUMMYFUNCTION("""COMPUTED_VALUE"""),"अपनेयं उदेतुं इच्छता तिमिरं रोषमयं धिया पुरः । अविभिद्य निशाकृतं तमः प्रभया नांशुमताप्युदीयते ||")</f>
        <v>अपनेयं उदेतुं इच्छता तिमिरं रोषमयं धिया पुरः । अविभिद्य निशाकृतं तमः प्रभया नांशुमताप्युदीयते ||</v>
      </c>
      <c r="B5083" s="4" t="s">
        <v>2</v>
      </c>
      <c r="C5083" s="4"/>
    </row>
    <row r="5084" spans="1:3" ht="24" customHeight="1">
      <c r="A5084" s="4" t="str">
        <f ca="1">IFERROR(__xludf.DUMMYFUNCTION("""COMPUTED_VALUE"""),"बलवानपि कोपजन्मनस्तमसो नाभिभवं रुणद्धि यः । क्षयपक्ष इवैन्दवीः कलाः सकला हन्ति स शक्तिसम्पदः ||")</f>
        <v>बलवानपि कोपजन्मनस्तमसो नाभिभवं रुणद्धि यः । क्षयपक्ष इवैन्दवीः कलाः सकला हन्ति स शक्तिसम्पदः ||</v>
      </c>
      <c r="B5084" s="4" t="s">
        <v>17</v>
      </c>
      <c r="C5084" s="4"/>
    </row>
    <row r="5085" spans="1:3" ht="24" customHeight="1">
      <c r="A5085" s="4" t="str">
        <f ca="1">IFERROR(__xludf.DUMMYFUNCTION("""COMPUTED_VALUE"""),"समवृत्तिरुपैति मार्दवं समये यश्च तनोति तिग्मतां । अधितिष्ठति लोकं ओजसा स विवस्वानिव मेदिनीपतिः ||")</f>
        <v>समवृत्तिरुपैति मार्दवं समये यश्च तनोति तिग्मतां । अधितिष्ठति लोकं ओजसा स विवस्वानिव मेदिनीपतिः ||</v>
      </c>
      <c r="B5085" s="4" t="s">
        <v>2</v>
      </c>
      <c r="C5085" s="4"/>
    </row>
    <row r="5086" spans="1:3" ht="24" customHeight="1">
      <c r="A5086" s="4" t="str">
        <f ca="1">IFERROR(__xludf.DUMMYFUNCTION("""COMPUTED_VALUE"""),"क्व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||")</f>
        <v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||</v>
      </c>
      <c r="B5086" s="4" t="s">
        <v>5</v>
      </c>
      <c r="C5086" s="4"/>
    </row>
    <row r="5087" spans="1:3" ht="24" customHeight="1">
      <c r="A5087" s="4" t="str">
        <f ca="1">IFERROR(__xludf.DUMMYFUNCTION("""COMPUTED_VALUE"""),"किं असामयिकं वितन्वता मनसः क्षोभं उपात्तरंहसः । क्रियते पतिरुच्चकैरपां भवता धीरतयाधरीकृतः ||")</f>
        <v>किं असामयिकं वितन्वता मनसः क्षोभं उपात्तरंहसः । क्रियते पतिरुच्चकैरपां भवता धीरतयाधरीकृतः ||</v>
      </c>
      <c r="B5087" s="4" t="s">
        <v>2</v>
      </c>
      <c r="C5087" s="4"/>
    </row>
    <row r="5088" spans="1:3" ht="24" customHeight="1">
      <c r="A5088" s="4" t="str">
        <f ca="1">IFERROR(__xludf.DUMMYFUNCTION("""COMPUTED_VALUE"""),"श्रुतं अप्यधिगम्य ये रिपून्विनयन्ते स्म न शरीरजन्मनः । जनयन्त्यचिराय सम्पदां अयशस्ते खलु चापलाश्रयं ||")</f>
        <v>श्रुतं अप्यधिगम्य ये रिपून्विनयन्ते स्म न शरीरजन्मनः । जनयन्त्यचिराय सम्पदां अयशस्ते खलु चापलाश्रयं ||</v>
      </c>
      <c r="B5088" s="4" t="s">
        <v>5</v>
      </c>
      <c r="C5088" s="4"/>
    </row>
    <row r="5089" spans="1:3" ht="24" customHeight="1">
      <c r="A5089" s="4" t="str">
        <f ca="1">IFERROR(__xludf.DUMMYFUNCTION("""COMPUTED_VALUE"""),"अतिपातितकालसाधना स्वशरीरेन्द्रियवर्गतापनी । जनवन्न भवन्तं अक्षमा नयसिद्धेरपनेतुं अर्हति ||")</f>
        <v>अतिपातितकालसाधना स्वशरीरेन्द्रियवर्गतापनी । जनवन्न भवन्तं अक्षमा नयसिद्धेरपनेतुं अर्हति ||</v>
      </c>
      <c r="B5089" s="4" t="s">
        <v>2</v>
      </c>
      <c r="C5089" s="4"/>
    </row>
    <row r="5090" spans="1:3" ht="24" customHeight="1">
      <c r="A5090" s="4" t="str">
        <f ca="1">IFERROR(__xludf.DUMMYFUNCTION("""COMPUTED_VALUE"""),"उपकारकं आयतेर्भृशं प्रसवः कर्मफलस्य भूरिणः । अनपायि निबर्हणं द्विषां न तितिक्षासमं अस्ति साधनं ||")</f>
        <v>उपकारकं आयतेर्भृशं प्रसवः कर्मफलस्य भूरिणः । अनपायि निबर्हणं द्विषां न तितिक्षासमं अस्ति साधनं ||</v>
      </c>
      <c r="B5090" s="4" t="s">
        <v>1</v>
      </c>
      <c r="C5090" s="4"/>
    </row>
    <row r="5091" spans="1:3" ht="24" customHeight="1">
      <c r="A5091" s="4" t="str">
        <f ca="1">IFERROR(__xludf.DUMMYFUNCTION("""COMPUTED_VALUE"""),"प्रणतिप्रवणान्विहाय नः सहजस्नेहनिबद्धचेतसः । प्रणमन्ति सदा सुयोधनं प्रथमे मानभृतां न वृष्णयः ||")</f>
        <v>प्रणतिप्रवणान्विहाय नः सहजस्नेहनिबद्धचेतसः । प्रणमन्ति सदा सुयोधनं प्रथमे मानभृतां न वृष्णयः ||</v>
      </c>
      <c r="B5091" s="4" t="s">
        <v>5</v>
      </c>
      <c r="C5091" s="4"/>
    </row>
    <row r="5092" spans="1:3" ht="24" customHeight="1">
      <c r="A5092" s="4" t="str">
        <f ca="1">IFERROR(__xludf.DUMMYFUNCTION("""COMPUTED_VALUE"""),"सुहृदः सहजास्तथेतरे मतं एषां न विलङ्घयन्ति ये । विनयादिव यापयन्ति ते धृतराष्ट्रात्मजं आत्मसिद्धये ||")</f>
        <v>सुहृदः सहजास्तथेतरे मतं एषां न विलङ्घयन्ति ये । विनयादिव यापयन्ति ते धृतराष्ट्रात्मजं आत्मसिद्धये ||</v>
      </c>
      <c r="B5092" s="4" t="s">
        <v>5</v>
      </c>
      <c r="C5092" s="4"/>
    </row>
    <row r="5093" spans="1:3" ht="24" customHeight="1">
      <c r="A5093" s="4" t="str">
        <f ca="1">IFERROR(__xludf.DUMMYFUNCTION("""COMPUTED_VALUE"""),"अभियोग इमान्महीभुजो भवता तस्य ततः कृतावधेः । प्रविघाटयिता समुत्पतन्हरिदश्वः कमलाकरानिव ||")</f>
        <v>अभियोग इमान्महीभुजो भवता तस्य ततः कृतावधेः । प्रविघाटयिता समुत्पतन्हरिदश्वः कमलाकरानिव ||</v>
      </c>
      <c r="B5093" s="4" t="s">
        <v>4</v>
      </c>
      <c r="C5093" s="4"/>
    </row>
    <row r="5094" spans="1:3" ht="24" customHeight="1">
      <c r="A5094" s="4" t="str">
        <f ca="1">IFERROR(__xludf.DUMMYFUNCTION("""COMPUTED_VALUE"""),"उपजापसहान्विलङ्घयन्स विधाता नृपतीन्मदोद्धतः । सहते न जनोऽप्यधःक्रियां किं उ लोकाधिकधाम राजकं ||")</f>
        <v>उपजापसहान्विलङ्घयन्स विधाता नृपतीन्मदोद्धतः । सहते न जनोऽप्यधःक्रियां किं उ लोकाधिकधाम राजकं ||</v>
      </c>
      <c r="B5094" s="4" t="s">
        <v>19</v>
      </c>
      <c r="C5094" s="4"/>
    </row>
    <row r="5095" spans="1:3" ht="24" customHeight="1">
      <c r="A5095" s="4" t="str">
        <f ca="1">IFERROR(__xludf.DUMMYFUNCTION("""COMPUTED_VALUE"""),"असमापितकृत्यसम्पदां हतवेगं विनयेन तावता । प्रभवन्त्यभिमानशालिनां मदं उत्तम्भयितुं विभूतयः ||")</f>
        <v>असमापितकृत्यसम्पदां हतवेगं विनयेन तावता । प्रभवन्त्यभिमानशालिनां मदं उत्तम्भयितुं विभूतयः ||</v>
      </c>
      <c r="B5095" s="4" t="s">
        <v>5</v>
      </c>
      <c r="C5095" s="4"/>
    </row>
    <row r="5096" spans="1:3" ht="24" customHeight="1">
      <c r="A5096" s="4" t="str">
        <f ca="1">IFERROR(__xludf.DUMMYFUNCTION("""COMPUTED_VALUE"""),"मदमानसमुद्धतं नृपं न वियुङ्क्ते नियमेन मूढता । अतिमूढ उदस्यते नयान्नयहीनादपरज्यते जनः ||")</f>
        <v>मदमानसमुद्धतं नृपं न वियुङ्क्ते नियमेन मूढता । अतिमूढ उदस्यते नयान्नयहीनादपरज्यते जनः ||</v>
      </c>
      <c r="B5096" s="4" t="s">
        <v>1</v>
      </c>
      <c r="C5096" s="4"/>
    </row>
    <row r="5097" spans="1:3" ht="24" customHeight="1">
      <c r="A5097" s="4" t="str">
        <f ca="1">IFERROR(__xludf.DUMMYFUNCTION("""COMPUTED_VALUE"""),"अपरागसमीरणेरितः क्रमशीर्णाकुलमूलसन्ततिः । सुकरस्तरुवत्सहिष्णुना रिपुरुन्मूलयितुं महानपि ||")</f>
        <v>अपरागसमीरणेरितः क्रमशीर्णाकुलमूलसन्ततिः । सुकरस्तरुवत्सहिष्णुना रिपुरुन्मूलयितुं महानपि ||</v>
      </c>
      <c r="B5097" s="4" t="s">
        <v>9</v>
      </c>
      <c r="C5097" s="4"/>
    </row>
    <row r="5098" spans="1:3" ht="24" customHeight="1">
      <c r="A5098" s="4" t="str">
        <f ca="1">IFERROR(__xludf.DUMMYFUNCTION("""COMPUTED_VALUE"""),"अणुरप्युपहन्ति विग्रहः प्रभुं अन्तःप्रकृतिप्रकोपजः । अखिलं हि हिनस्ति भूधरं तरुशाखान्तनिघर्षजोऽनलः ||")</f>
        <v>अणुरप्युपहन्ति विग्रहः प्रभुं अन्तःप्रकृतिप्रकोपजः । अखिलं हि हिनस्ति भूधरं तरुशाखान्तनिघर्षजोऽनलः ||</v>
      </c>
      <c r="B5098" s="4" t="s">
        <v>11</v>
      </c>
      <c r="C5098" s="4"/>
    </row>
    <row r="5099" spans="1:3" ht="24" customHeight="1">
      <c r="A5099" s="4" t="str">
        <f ca="1">IFERROR(__xludf.DUMMYFUNCTION("""COMPUTED_VALUE"""),"मतिमान्विनयप्रमाथिनः समुपेक्षेत समुन्नतिं द्विषः । सुजयः खलु तादृगन्तरे विपदन्ता ह्यविनीतसम्पदः ||")</f>
        <v>मतिमान्विनयप्रमाथिनः समुपेक्षेत समुन्नतिं द्विषः । सुजयः खलु तादृगन्तरे विपदन्ता ह्यविनीतसम्पदः ||</v>
      </c>
      <c r="B5099" s="4" t="s">
        <v>17</v>
      </c>
      <c r="C5099" s="4"/>
    </row>
    <row r="5100" spans="1:3" ht="24" customHeight="1">
      <c r="A5100" s="4" t="str">
        <f ca="1">IFERROR(__xludf.DUMMYFUNCTION("""COMPUTED_VALUE"""),"लघुवृत्तितया भिदां गतं बहिरन्तश्च नृपस्य मण्डलं । अभिभूय हरत्यनन्तरः शिथिलं कूलं इवापगारयः ||")</f>
        <v>लघुवृत्तितया भिदां गतं बहिरन्तश्च नृपस्य मण्डलं । अभिभूय हरत्यनन्तरः शिथिलं कूलं इवापगारयः ||</v>
      </c>
      <c r="B5100" s="4" t="s">
        <v>5</v>
      </c>
      <c r="C5100" s="4"/>
    </row>
    <row r="5101" spans="1:3" ht="24" customHeight="1">
      <c r="A5101" s="4" t="str">
        <f ca="1">IFERROR(__xludf.DUMMYFUNCTION("""COMPUTED_VALUE"""),"अनुशासतं इत्यनाकुलं नयवर्त्माकुलं अर्जुनाग्रजं । स्वयं अर्थ इवाभिवाञ्छितस्तं अभीयाय पराशरात्मजः ||")</f>
        <v>अनुशासतं इत्यनाकुलं नयवर्त्माकुलं अर्जुनाग्रजं । स्वयं अर्थ इवाभिवाञ्छितस्तं अभीयाय पराशरात्मजः ||</v>
      </c>
      <c r="B5101" s="4" t="s">
        <v>3</v>
      </c>
      <c r="C5101" s="4"/>
    </row>
    <row r="5102" spans="1:3" ht="24" customHeight="1">
      <c r="A5102" s="4" t="str">
        <f ca="1">IFERROR(__xludf.DUMMYFUNCTION("""COMPUTED_VALUE"""),"मधुरैरवशानि लम्भयन्नपि तिर्यञ्चि शमं निरीक्षितैः । परितः पटु बिभ्रदेनसां दहनं धाम विलोकनक्षमं ||")</f>
        <v>मधुरैरवशानि लम्भयन्नपि तिर्यञ्चि शमं निरीक्षितैः । परितः पटु बिभ्रदेनसां दहनं धाम विलोकनक्षमं ||</v>
      </c>
      <c r="B5102" s="4" t="s">
        <v>12</v>
      </c>
      <c r="C5102" s="4"/>
    </row>
    <row r="5103" spans="1:3" ht="24" customHeight="1">
      <c r="A5103" s="4" t="str">
        <f ca="1">IFERROR(__xludf.DUMMYFUNCTION("""COMPUTED_VALUE"""),"सहसोपगतः सविस्मयं तपसां सूतिरसूतिरेनसां । ददृशे जगतीभुजा मुनिः स वपुष्मानिव पुण्यसंचयः ||")</f>
        <v>सहसोपगतः सविस्मयं तपसां सूतिरसूतिरेनसां । ददृशे जगतीभुजा मुनिः स वपुष्मानिव पुण्यसंचयः ||</v>
      </c>
      <c r="B5103" s="4" t="s">
        <v>5</v>
      </c>
      <c r="C5103" s="4"/>
    </row>
    <row r="5104" spans="1:3" ht="24" customHeight="1">
      <c r="A5104" s="4" t="str">
        <f ca="1">IFERROR(__xludf.DUMMYFUNCTION("""COMPUTED_VALUE"""),"अथोच्चकैरासनतः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||")</f>
        <v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||</v>
      </c>
      <c r="B5104" s="4" t="s">
        <v>12</v>
      </c>
      <c r="C5104" s="4"/>
    </row>
    <row r="5105" spans="1:3" ht="24" customHeight="1">
      <c r="A5105" s="4" t="str">
        <f ca="1">IFERROR(__xludf.DUMMYFUNCTION("""COMPUTED_VALUE"""),"अवहितहृदयो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||")</f>
        <v>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||</v>
      </c>
      <c r="B5105" s="4" t="s">
        <v>0</v>
      </c>
      <c r="C5105" s="4"/>
    </row>
    <row r="5106" spans="1:3" ht="24" customHeight="1">
      <c r="A5106" s="4" t="str">
        <f ca="1">IFERROR(__xludf.DUMMYFUNCTION("""COMPUTED_VALUE"""),"व्यक्तोदितस्मितमयूखविभासितोष्ठस्तिष्ठन्मुनेरभिमुखं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||")</f>
        <v>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||</v>
      </c>
      <c r="B5106" s="4" t="s">
        <v>2</v>
      </c>
      <c r="C5106" s="4"/>
    </row>
    <row r="5107" spans="1:3" ht="24" customHeight="1">
      <c r="A5107" s="4" t="str">
        <f ca="1">IFERROR(__xludf.DUMMYFUNCTION("""COMPUTED_VALUE"""),"ततः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||")</f>
        <v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||</v>
      </c>
      <c r="B5107" s="4" t="s">
        <v>24</v>
      </c>
      <c r="C5107" s="4"/>
    </row>
    <row r="5108" spans="1:3" ht="24" customHeight="1">
      <c r="A5108" s="4" t="str">
        <f ca="1">IFERROR(__xludf.DUMMYFUNCTION("""COMPUTED_VALUE"""),"प्रसादलक्ष्मीं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||")</f>
        <v>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||</v>
      </c>
      <c r="B5108" s="4" t="s">
        <v>0</v>
      </c>
      <c r="C5108" s="4"/>
    </row>
    <row r="5109" spans="1:3" ht="24" customHeight="1">
      <c r="A5109" s="4" t="str">
        <f ca="1">IFERROR(__xludf.DUMMYFUNCTION("""COMPUTED_VALUE"""),"अनुद्धताकारतया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||")</f>
        <v>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||</v>
      </c>
      <c r="B5109" s="4" t="s">
        <v>1</v>
      </c>
      <c r="C5109" s="4"/>
    </row>
    <row r="5110" spans="1:3" ht="24" customHeight="1">
      <c r="A5110" s="4" t="str">
        <f ca="1">IFERROR(__xludf.DUMMYFUNCTION("""COMPUTED_VALUE"""),"धर्मात्मजो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||")</f>
        <v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||</v>
      </c>
      <c r="B5110" s="4" t="s">
        <v>13</v>
      </c>
      <c r="C5110" s="4"/>
    </row>
    <row r="5111" spans="1:3" ht="24" customHeight="1">
      <c r="A5111" s="4" t="str">
        <f ca="1">IFERROR(__xludf.DUMMYFUNCTION("""COMPUTED_VALUE"""),"अनाप्तपुण्योपचयैर्दुरापा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||")</f>
        <v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||</v>
      </c>
      <c r="B5111" s="4" t="s">
        <v>5</v>
      </c>
      <c r="C5111" s="4"/>
    </row>
    <row r="5112" spans="1:3" ht="24" customHeight="1">
      <c r="A5112" s="4" t="str">
        <f ca="1">IFERROR(__xludf.DUMMYFUNCTION("""COMPUTED_VALUE"""),"अद्य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||")</f>
        <v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||</v>
      </c>
      <c r="B5112" s="4" t="s">
        <v>0</v>
      </c>
      <c r="C5112" s="4"/>
    </row>
    <row r="5113" spans="1:3" ht="24" customHeight="1">
      <c r="A5113" s="4" t="str">
        <f ca="1">IFERROR(__xludf.DUMMYFUNCTION("""COMPUTED_VALUE"""),"श्रियं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||")</f>
        <v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||</v>
      </c>
      <c r="B5113" s="4" t="s">
        <v>2</v>
      </c>
      <c r="C5113" s="4"/>
    </row>
    <row r="5114" spans="1:3" ht="24" customHeight="1">
      <c r="A5114" s="4" t="str">
        <f ca="1">IFERROR(__xludf.DUMMYFUNCTION("""COMPUTED_VALUE"""),"च्योतन्मयूखेऽपि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||")</f>
        <v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||</v>
      </c>
      <c r="B5114" s="4" t="s">
        <v>2</v>
      </c>
      <c r="C5114" s="4"/>
    </row>
    <row r="5115" spans="1:3" ht="24" customHeight="1">
      <c r="A5115" s="4" t="str">
        <f ca="1">IFERROR(__xludf.DUMMYFUNCTION("""COMPUTED_VALUE"""),"निरास्पदं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||")</f>
        <v>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||</v>
      </c>
      <c r="B5115" s="4" t="s">
        <v>2</v>
      </c>
      <c r="C5115" s="4"/>
    </row>
    <row r="5116" spans="1:3" ht="24" customHeight="1">
      <c r="A5116" s="4" t="str">
        <f ca="1">IFERROR(__xludf.DUMMYFUNCTION("""COMPUTED_VALUE"""),"इत्युक्तवानुक्तिविशेषरम्यं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||")</f>
        <v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||</v>
      </c>
      <c r="B5116" s="4" t="s">
        <v>0</v>
      </c>
      <c r="C5116" s="4"/>
    </row>
    <row r="5117" spans="1:3" ht="24" customHeight="1">
      <c r="A5117" s="4" t="str">
        <f ca="1">IFERROR(__xludf.DUMMYFUNCTION("""COMPUTED_VALUE"""),"चिचीषतां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||")</f>
        <v>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||</v>
      </c>
      <c r="B5117" s="4" t="s">
        <v>1</v>
      </c>
      <c r="C5117" s="4"/>
    </row>
    <row r="5118" spans="1:3" ht="24" customHeight="1">
      <c r="A5118" s="4" t="str">
        <f ca="1">IFERROR(__xludf.DUMMYFUNCTION("""COMPUTED_VALUE"""),"तथापि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||")</f>
        <v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||</v>
      </c>
      <c r="B5118" s="4" t="s">
        <v>2</v>
      </c>
      <c r="C5118" s="4"/>
    </row>
    <row r="5119" spans="1:3" ht="24" customHeight="1">
      <c r="A5119" s="4" t="str">
        <f ca="1">IFERROR(__xludf.DUMMYFUNCTION("""COMPUTED_VALUE"""),"सुता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||")</f>
        <v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||</v>
      </c>
      <c r="B5119" s="4" t="s">
        <v>13</v>
      </c>
      <c r="C5119" s="4"/>
    </row>
    <row r="5120" spans="1:3" ht="24" customHeight="1">
      <c r="A5120" s="4" t="str">
        <f ca="1">IFERROR(__xludf.DUMMYFUNCTION("""COMPUTED_VALUE"""),"जहातु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||")</f>
        <v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||</v>
      </c>
      <c r="B5120" s="4" t="s">
        <v>1</v>
      </c>
      <c r="C5120" s="4"/>
    </row>
    <row r="5121" spans="1:3" ht="24" customHeight="1">
      <c r="A5121" s="4" t="str">
        <f ca="1">IFERROR(__xludf.DUMMYFUNCTION("""COMPUTED_VALUE"""),"पथश्च्युतायां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||")</f>
        <v>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||</v>
      </c>
      <c r="B5121" s="4" t="s">
        <v>13</v>
      </c>
      <c r="C5121" s="4"/>
    </row>
    <row r="5122" spans="1:3" ht="24" customHeight="1">
      <c r="A5122" s="4" t="str">
        <f ca="1">IFERROR(__xludf.DUMMYFUNCTION("""COMPUTED_VALUE"""),"विधाय विध्वंसनं आत्मनीनं शमैकवृत्तेर्भवतश्छलेन । प्रकाशितत्वन्मतिशीलसाराः कृतोपकारा इव विद्विषस्ते ||")</f>
        <v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||</v>
      </c>
      <c r="B5122" s="4" t="s">
        <v>2</v>
      </c>
      <c r="C5122" s="4"/>
    </row>
    <row r="5123" spans="1:3" ht="24" customHeight="1">
      <c r="A5123" s="4" t="str">
        <f ca="1">IFERROR(__xludf.DUMMYFUNCTION("""COMPUTED_VALUE"""),"लभ्या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||")</f>
        <v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||</v>
      </c>
      <c r="B5123" s="4" t="s">
        <v>0</v>
      </c>
      <c r="C5123" s="4"/>
    </row>
    <row r="5124" spans="1:3" ht="24" customHeight="1">
      <c r="A5124" s="4" t="str">
        <f ca="1">IFERROR(__xludf.DUMMYFUNCTION("""COMPUTED_VALUE"""),"त्रिःसप्तकृत्वो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||")</f>
        <v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||</v>
      </c>
      <c r="B5124" s="4" t="s">
        <v>1</v>
      </c>
      <c r="C5124" s="4"/>
    </row>
    <row r="5125" spans="1:3" ht="24" customHeight="1">
      <c r="A5125" s="4" t="str">
        <f ca="1">IFERROR(__xludf.DUMMYFUNCTION("""COMPUTED_VALUE"""),"यस्मिन्ननैश्वर्यकृतव्यलीकः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||")</f>
        <v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||</v>
      </c>
      <c r="B5125" s="4" t="s">
        <v>12</v>
      </c>
      <c r="C5125" s="4"/>
    </row>
    <row r="5126" spans="1:3" ht="24" customHeight="1">
      <c r="A5126" s="4" t="str">
        <f ca="1">IFERROR(__xludf.DUMMYFUNCTION("""COMPUTED_VALUE"""),"सृजन्तं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||")</f>
        <v>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||</v>
      </c>
      <c r="B5126" s="4" t="s">
        <v>1</v>
      </c>
      <c r="C5126" s="4"/>
    </row>
    <row r="5127" spans="1:3" ht="24" customHeight="1">
      <c r="A5127" s="4" t="str">
        <f ca="1">IFERROR(__xludf.DUMMYFUNCTION("""COMPUTED_VALUE"""),"निरीक्ष्य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||")</f>
        <v>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||</v>
      </c>
      <c r="B5127" s="4" t="s">
        <v>2</v>
      </c>
      <c r="C5127" s="4"/>
    </row>
    <row r="5128" spans="1:3" ht="24" customHeight="1">
      <c r="A5128" s="4" t="str">
        <f ca="1">IFERROR(__xludf.DUMMYFUNCTION("""COMPUTED_VALUE"""),"यया समासादितसाधनेन सुदुश्चरां आचरता तपस्यां । एते दुरापं समवाप्य वीर्यं उन्मीलितारः कपिकेतनेन ||")</f>
        <v>यया समासादितसाधनेन सुदुश्चरां आचरता तपस्यां । एते दुरापं समवाप्य वीर्यं उन्मीलितारः कपिकेतनेन ||</v>
      </c>
      <c r="B5128" s="4" t="s">
        <v>1</v>
      </c>
      <c r="C5128" s="4"/>
    </row>
    <row r="5129" spans="1:3" ht="24" customHeight="1">
      <c r="A5129" s="4" t="str">
        <f ca="1">IFERROR(__xludf.DUMMYFUNCTION("""COMPUTED_VALUE"""),"महत्त्वयोगाय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||")</f>
        <v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||</v>
      </c>
      <c r="B5129" s="4" t="s">
        <v>5</v>
      </c>
      <c r="C5129" s="4"/>
    </row>
    <row r="5130" spans="1:3" ht="24" customHeight="1">
      <c r="A5130" s="4" t="str">
        <f ca="1">IFERROR(__xludf.DUMMYFUNCTION("""COMPUTED_VALUE"""),"इत्युक्तवन्तं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||")</f>
        <v>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||</v>
      </c>
      <c r="B5130" s="4" t="s">
        <v>7</v>
      </c>
      <c r="C5130" s="4"/>
    </row>
    <row r="5131" spans="1:3" ht="24" customHeight="1">
      <c r="A5131" s="4" t="str">
        <f ca="1">IFERROR(__xludf.DUMMYFUNCTION("""COMPUTED_VALUE"""),"निर्याय विद्या+थ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||")</f>
        <v>निर्याय विद्या+थ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||</v>
      </c>
      <c r="B5131" s="4" t="s">
        <v>17</v>
      </c>
      <c r="C5131" s="4"/>
    </row>
    <row r="5132" spans="1:3" ht="24" customHeight="1">
      <c r="A5132" s="4" t="str">
        <f ca="1">IFERROR(__xludf.DUMMYFUNCTION("""COMPUTED_VALUE"""),"योगं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||")</f>
        <v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||</v>
      </c>
      <c r="B5132" s="4" t="s">
        <v>13</v>
      </c>
      <c r="C5132" s="4"/>
    </row>
    <row r="5133" spans="1:3" ht="24" customHeight="1">
      <c r="A5133" s="4" t="str">
        <f ca="1">IFERROR(__xludf.DUMMYFUNCTION("""COMPUTED_VALUE"""),"आकारं आशंसितभूरिलाभं दधानं अन्तःकरणानुरूपं । नियोजयिष्यन्विजयोदये तं तपःसमाधौ मुनिरित्युवाच ||")</f>
        <v>आकारं आशंसितभूरिलाभं दधानं अन्तःकरणानुरूपं । नियोजयिष्यन्विजयोदये तं तपःसमाधौ मुनिरित्युवाच ||</v>
      </c>
      <c r="B5133" s="4" t="s">
        <v>16</v>
      </c>
      <c r="C5133" s="4"/>
    </row>
    <row r="5134" spans="1:3" ht="24" customHeight="1">
      <c r="A5134" s="4" t="str">
        <f ca="1">IFERROR(__xludf.DUMMYFUNCTION("""COMPUTED_VALUE"""),"अनेन योगेन विवृद्धतेजा निजां परस्मै पदवीं अयच्छन् । समाचराचारं उपात्तशस्त्रो जपोपवासाभिषवैर्मुनीनां ||")</f>
        <v>अनेन योगेन विवृद्धतेजा निजां परस्मै पदवीं अयच्छन् । समाचराचारं उपात्तशस्त्रो जपोपवासाभिषवैर्मुनीनां ||</v>
      </c>
      <c r="B5134" s="4" t="s">
        <v>1</v>
      </c>
      <c r="C5134" s="4"/>
    </row>
    <row r="5135" spans="1:3" ht="24" customHeight="1">
      <c r="A5135" s="4" t="str">
        <f ca="1">IFERROR(__xludf.DUMMYFUNCTION("""COMPUTED_VALUE"""),"करिष्यसे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||")</f>
        <v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||</v>
      </c>
      <c r="B5135" s="4" t="s">
        <v>4</v>
      </c>
      <c r="C5135" s="4"/>
    </row>
    <row r="5136" spans="1:3" ht="24" customHeight="1">
      <c r="A5136" s="4" t="str">
        <f ca="1">IFERROR(__xludf.DUMMYFUNCTION("""COMPUTED_VALUE"""),"इति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||")</f>
        <v>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||</v>
      </c>
      <c r="B5136" s="4" t="s">
        <v>10</v>
      </c>
      <c r="C5136" s="4"/>
    </row>
    <row r="5137" spans="1:3" ht="24" customHeight="1">
      <c r="A5137" s="4" t="str">
        <f ca="1">IFERROR(__xludf.DUMMYFUNCTION("""COMPUTED_VALUE"""),"कृतानतिर्व्याहृतसान्त्ववादे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||")</f>
        <v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||</v>
      </c>
      <c r="B5137" s="4" t="s">
        <v>15</v>
      </c>
      <c r="C5137" s="4"/>
    </row>
    <row r="5138" spans="1:3" ht="24" customHeight="1">
      <c r="A5138" s="4" t="str">
        <f ca="1">IFERROR(__xludf.DUMMYFUNCTION("""COMPUTED_VALUE"""),"अथोष्णभासेव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||")</f>
        <v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||</v>
      </c>
      <c r="B5138" s="4" t="s">
        <v>17</v>
      </c>
      <c r="C5138" s="4"/>
    </row>
    <row r="5139" spans="1:3" ht="24" customHeight="1">
      <c r="A5139" s="4" t="str">
        <f ca="1">IFERROR(__xludf.DUMMYFUNCTION("""COMPUTED_VALUE"""),"असंशयालोचितकार्यनुन्नः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||")</f>
        <v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||</v>
      </c>
      <c r="B5139" s="4" t="s">
        <v>1</v>
      </c>
      <c r="C5139" s="4"/>
    </row>
    <row r="5140" spans="1:3" ht="24" customHeight="1">
      <c r="A5140" s="4" t="str">
        <f ca="1">IFERROR(__xludf.DUMMYFUNCTION("""COMPUTED_VALUE"""),"धैर्येण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||")</f>
        <v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||</v>
      </c>
      <c r="B5140" s="4" t="s">
        <v>19</v>
      </c>
      <c r="C5140" s="4"/>
    </row>
    <row r="5141" spans="1:3" ht="24" customHeight="1">
      <c r="A5141" s="4" t="str">
        <f ca="1">IFERROR(__xludf.DUMMYFUNCTION("""COMPUTED_VALUE"""),"तान्भूरिधाम्नश्चतुरोऽपि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||")</f>
        <v>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||</v>
      </c>
      <c r="B5141" s="4" t="s">
        <v>17</v>
      </c>
      <c r="C5141" s="4"/>
    </row>
    <row r="5142" spans="1:3" ht="24" customHeight="1">
      <c r="A5142" s="4" t="str">
        <f ca="1">IFERROR(__xludf.DUMMYFUNCTION("""COMPUTED_VALUE"""),"तुषारलेखाकुलितोत्पलाभे पर्यश्रुणी मङ्गलभङ्गभीरुः । अगूढभावापि विलोकने सा न लोचने मीलयितुं विषेहे ||")</f>
        <v>तुषारलेखाकुलितोत्पलाभे पर्यश्रुणी मङ्गलभङ्गभीरुः । अगूढभावापि विलोकने सा न लोचने मीलयितुं विषेहे ||</v>
      </c>
      <c r="B5142" s="4" t="s">
        <v>24</v>
      </c>
      <c r="C5142" s="4"/>
    </row>
    <row r="5143" spans="1:3" ht="24" customHeight="1">
      <c r="A5143" s="4" t="str">
        <f ca="1">IFERROR(__xludf.DUMMYFUNCTION("""COMPUTED_VALUE"""),"अकृत्रिमप्रेमरसाभिरामं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||")</f>
        <v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||</v>
      </c>
      <c r="B5143" s="4" t="s">
        <v>1</v>
      </c>
      <c r="C5143" s="4"/>
    </row>
    <row r="5144" spans="1:3" ht="24" customHeight="1">
      <c r="A5144" s="4" t="str">
        <f ca="1">IFERROR(__xludf.DUMMYFUNCTION("""COMPUTED_VALUE"""),"धैर्यावसादेन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||")</f>
        <v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||</v>
      </c>
      <c r="B5144" s="4" t="s">
        <v>0</v>
      </c>
      <c r="C5144" s="4"/>
    </row>
    <row r="5145" spans="1:3" ht="24" customHeight="1">
      <c r="A5145" s="4" t="str">
        <f ca="1">IFERROR(__xludf.DUMMYFUNCTION("""COMPUTED_VALUE"""),"मग्नां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||")</f>
        <v>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||</v>
      </c>
      <c r="B5145" s="4" t="s">
        <v>6</v>
      </c>
      <c r="C5145" s="4"/>
    </row>
    <row r="5146" spans="1:3" ht="24" customHeight="1">
      <c r="A5146" s="4" t="str">
        <f ca="1">IFERROR(__xludf.DUMMYFUNCTION("""COMPUTED_VALUE"""),"यशोऽधिगन्तुं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||")</f>
        <v>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||</v>
      </c>
      <c r="B5146" s="4" t="s">
        <v>20</v>
      </c>
      <c r="C5146" s="4"/>
    </row>
    <row r="5147" spans="1:3" ht="24" customHeight="1">
      <c r="A5147" s="4" t="str">
        <f ca="1">IFERROR(__xludf.DUMMYFUNCTION("""COMPUTED_VALUE"""),"लोकं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||")</f>
        <v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||</v>
      </c>
      <c r="B5147" s="4" t="s">
        <v>1</v>
      </c>
      <c r="C5147" s="4"/>
    </row>
    <row r="5148" spans="1:3" ht="24" customHeight="1">
      <c r="A5148" s="4" t="str">
        <f ca="1">IFERROR(__xludf.DUMMYFUNCTION("""COMPUTED_VALUE"""),"व्रीडानतैराप्तजनोपनीतः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||")</f>
        <v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||</v>
      </c>
      <c r="B5148" s="4" t="s">
        <v>7</v>
      </c>
      <c r="C5148" s="4"/>
    </row>
    <row r="5149" spans="1:3" ht="24" customHeight="1">
      <c r="A5149" s="4" t="str">
        <f ca="1">IFERROR(__xludf.DUMMYFUNCTION("""COMPUTED_VALUE"""),"वीर्यावदानेषु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||")</f>
        <v>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||</v>
      </c>
      <c r="B5149" s="4" t="s">
        <v>13</v>
      </c>
      <c r="C5149" s="4"/>
    </row>
    <row r="5150" spans="1:3" ht="24" customHeight="1">
      <c r="A5150" s="4" t="str">
        <f ca="1">IFERROR(__xludf.DUMMYFUNCTION("""COMPUTED_VALUE"""),"प्रसह्य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||")</f>
        <v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||</v>
      </c>
      <c r="B5150" s="4" t="s">
        <v>0</v>
      </c>
      <c r="C5150" s="4"/>
    </row>
    <row r="5151" spans="1:3" ht="24" customHeight="1">
      <c r="A5151" s="4" t="str">
        <f ca="1">IFERROR(__xludf.DUMMYFUNCTION("""COMPUTED_VALUE"""),"प्राप्तोऽभिमानव्यसनादसह्यं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||")</f>
        <v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||</v>
      </c>
      <c r="B5151" s="4" t="s">
        <v>1</v>
      </c>
      <c r="C5151" s="4"/>
    </row>
    <row r="5152" spans="1:3" ht="24" customHeight="1">
      <c r="A5152" s="4" t="str">
        <f ca="1">IFERROR(__xludf.DUMMYFUNCTION("""COMPUTED_VALUE"""),"सव्रीडमन्दैरिव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||")</f>
        <v>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||</v>
      </c>
      <c r="B5152" s="4" t="s">
        <v>1</v>
      </c>
      <c r="C5152" s="4"/>
    </row>
    <row r="5153" spans="1:3" ht="24" customHeight="1">
      <c r="A5153" s="4" t="str">
        <f ca="1">IFERROR(__xludf.DUMMYFUNCTION("""COMPUTED_VALUE"""),"दुःशासनामर्षरजोविकीर्णैरेभिर्विनार्थैरिव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||")</f>
        <v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||</v>
      </c>
      <c r="B5153" s="4" t="s">
        <v>4</v>
      </c>
      <c r="C5153" s="4"/>
    </row>
    <row r="5154" spans="1:3" ht="24" customHeight="1">
      <c r="A5154" s="4" t="str">
        <f ca="1">IFERROR(__xludf.DUMMYFUNCTION("""COMPUTED_VALUE"""),"स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||")</f>
        <v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||</v>
      </c>
      <c r="B5154" s="4" t="s">
        <v>2</v>
      </c>
      <c r="C5154" s="4"/>
    </row>
    <row r="5155" spans="1:3" ht="24" customHeight="1">
      <c r="A5155" s="4" t="str">
        <f ca="1">IFERROR(__xludf.DUMMYFUNCTION("""COMPUTED_VALUE"""),"वीतौजसः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||")</f>
        <v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||</v>
      </c>
      <c r="B5155" s="4" t="s">
        <v>2</v>
      </c>
      <c r="C5155" s="4"/>
    </row>
    <row r="5156" spans="1:3" ht="24" customHeight="1">
      <c r="A5156" s="4" t="str">
        <f ca="1">IFERROR(__xludf.DUMMYFUNCTION("""COMPUTED_VALUE"""),"आक्षिप्यमाणं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||")</f>
        <v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||</v>
      </c>
      <c r="B5156" s="4" t="s">
        <v>12</v>
      </c>
      <c r="C5156" s="4"/>
    </row>
    <row r="5157" spans="1:3" ht="24" customHeight="1">
      <c r="A5157" s="4" t="str">
        <f ca="1">IFERROR(__xludf.DUMMYFUNCTION("""COMPUTED_VALUE"""),"करोति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||")</f>
        <v>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||</v>
      </c>
      <c r="B5157" s="4" t="s">
        <v>5</v>
      </c>
      <c r="C5157" s="4"/>
    </row>
    <row r="5158" spans="1:3" ht="24" customHeight="1">
      <c r="A5158" s="4" t="str">
        <f ca="1">IFERROR(__xludf.DUMMYFUNCTION("""COMPUTED_VALUE"""),"प्रियेषु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||")</f>
        <v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||</v>
      </c>
      <c r="B5158" s="4" t="s">
        <v>2</v>
      </c>
      <c r="C5158" s="4"/>
    </row>
    <row r="5159" spans="1:3" ht="24" customHeight="1">
      <c r="A5159" s="4" t="str">
        <f ca="1">IFERROR(__xludf.DUMMYFUNCTION("""COMPUTED_VALUE"""),"मा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||")</f>
        <v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||</v>
      </c>
      <c r="B5159" s="4" t="s">
        <v>1</v>
      </c>
      <c r="C5159" s="4"/>
    </row>
    <row r="5160" spans="1:3" ht="24" customHeight="1">
      <c r="A5160" s="4" t="str">
        <f ca="1">IFERROR(__xludf.DUMMYFUNCTION("""COMPUTED_VALUE"""),"तदाशु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||")</f>
        <v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||</v>
      </c>
      <c r="B5160" s="4" t="s">
        <v>12</v>
      </c>
      <c r="C5160" s="4"/>
    </row>
    <row r="5161" spans="1:3" ht="24" customHeight="1">
      <c r="A5161" s="4" t="str">
        <f ca="1">IFERROR(__xludf.DUMMYFUNCTION("""COMPUTED_VALUE"""),"उदीरितां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||")</f>
        <v>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||</v>
      </c>
      <c r="B5161" s="4" t="s">
        <v>12</v>
      </c>
      <c r="C5161" s="4"/>
    </row>
    <row r="5162" spans="1:3" ht="24" customHeight="1">
      <c r="A5162" s="4" t="str">
        <f ca="1">IFERROR(__xludf.DUMMYFUNCTION("""COMPUTED_VALUE"""),"अथाभिपश्यन्निव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||")</f>
        <v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||</v>
      </c>
      <c r="B5162" s="4" t="s">
        <v>19</v>
      </c>
      <c r="C5162" s="4"/>
    </row>
    <row r="5163" spans="1:3" ht="24" customHeight="1">
      <c r="A5163" s="4" t="str">
        <f ca="1">IFERROR(__xludf.DUMMYFUNCTION("""COMPUTED_VALUE"""),"अविलङ्घ्यविकर्षणं परैः प्रथितज्यारवकर्म कार्मुकं । अगतावरिदृष्टिगोचरं शितनिस्त्रिंशयुजौ महेषुधी ||")</f>
        <v>अविलङ्घ्यविकर्षणं परैः प्रथितज्यारवकर्म कार्मुकं । अगतावरिदृष्टिगोचरं शितनिस्त्रिंशयुजौ महेषुधी ||</v>
      </c>
      <c r="B5163" s="4" t="s">
        <v>20</v>
      </c>
      <c r="C5163" s="4"/>
    </row>
    <row r="5164" spans="1:3" ht="24" customHeight="1">
      <c r="A5164" s="4" t="str">
        <f ca="1">IFERROR(__xludf.DUMMYFUNCTION("""COMPUTED_VALUE"""),"यशसेव तिरोदधन्मुहुर्महसा गोत्रभिदायुधक्षतीः । कवचं च सरत्नं उद्वहञ्ज्वलितज्योतिरिवान्तरं दिवः ||")</f>
        <v>यशसेव तिरोदधन्मुहुर्महसा गोत्रभिदायुधक्षतीः । कवचं च सरत्नं उद्वहञ्ज्वलितज्योतिरिवान्तरं दिवः ||</v>
      </c>
      <c r="B5164" s="4" t="s">
        <v>4</v>
      </c>
      <c r="C5164" s="4"/>
    </row>
    <row r="5165" spans="1:3" ht="24" customHeight="1">
      <c r="A5165" s="4" t="str">
        <f ca="1">IFERROR(__xludf.DUMMYFUNCTION("""COMPUTED_VALUE"""),"अकलाधिपभृत्यदर्शितं शिवं उर्वीधरवर्त्म सम्प्रयान् । हृदयानि समाविवेश स क्षणं उद्बाष्पदृशां तपोभृतां ||")</f>
        <v>अकलाधिपभृत्यदर्शितं शिवं उर्वीधरवर्त्म सम्प्रयान् । हृदयानि समाविवेश स क्षणं उद्बाष्पदृशां तपोभृतां ||</v>
      </c>
      <c r="B5165" s="4" t="s">
        <v>2</v>
      </c>
      <c r="C5165" s="4"/>
    </row>
    <row r="5166" spans="1:3" ht="24" customHeight="1">
      <c r="A5166" s="4" t="str">
        <f ca="1">IFERROR(__xludf.DUMMYFUNCTION("""COMPUTED_VALUE"""),"अनुजगुरथ दिव्यं दुन्दुभिध्वानं आशाः सुरकुसुमनिपातैर्व्य्ॐनि लक्ष्मीर्वितेने । प्रियं इव कथयिष्यन्नालिलिङ्ग स्फुरन्तीं भुवं अनिभृतवेलावीचिबाहुः पयोधिः ||")</f>
        <v>अनुजगुरथ दिव्यं दुन्दुभिध्वानं आशाः सुरकुसुमनिपातैर्व्य्ॐनि लक्ष्मीर्वितेने । प्रियं इव कथयिष्यन्नालिलिङ्ग स्फुरन्तीं भुवं अनिभृतवेलावीचिबाहुः पयोधिः ||</v>
      </c>
      <c r="B5166" s="4" t="s">
        <v>20</v>
      </c>
      <c r="C5166" s="4"/>
    </row>
    <row r="5167" spans="1:3" ht="24" customHeight="1">
      <c r="A5167" s="4" t="str">
        <f ca="1">IFERROR(__xludf.DUMMYFUNCTION("""COMPUTED_VALUE"""),"ततः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||")</f>
        <v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||</v>
      </c>
      <c r="B5167" s="4" t="s">
        <v>4</v>
      </c>
      <c r="C5167" s="4"/>
    </row>
    <row r="5168" spans="1:3" ht="24" customHeight="1">
      <c r="A5168" s="4" t="str">
        <f ca="1">IFERROR(__xludf.DUMMYFUNCTION("""COMPUTED_VALUE"""),"विनम्रशालिप्रसवौघशालिनीरपेतपङ्काः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||")</f>
        <v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||</v>
      </c>
      <c r="B5168" s="4" t="s">
        <v>5</v>
      </c>
      <c r="C5168" s="4"/>
    </row>
    <row r="5169" spans="1:3" ht="24" customHeight="1">
      <c r="A5169" s="4" t="str">
        <f ca="1">IFERROR(__xludf.DUMMYFUNCTION("""COMPUTED_VALUE"""),"निरीक्ष्यमाणा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||")</f>
        <v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||</v>
      </c>
      <c r="B5169" s="4" t="s">
        <v>5</v>
      </c>
      <c r="C5169" s="4"/>
    </row>
    <row r="5170" spans="1:3" ht="24" customHeight="1">
      <c r="A5170" s="4" t="str">
        <f ca="1">IFERROR(__xludf.DUMMYFUNCTION("""COMPUTED_VALUE"""),"तुतोष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||")</f>
        <v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||</v>
      </c>
      <c r="B5170" s="4" t="s">
        <v>12</v>
      </c>
      <c r="C5170" s="4"/>
    </row>
    <row r="5171" spans="1:3" ht="24" customHeight="1">
      <c r="A5171" s="4" t="str">
        <f ca="1">IFERROR(__xludf.DUMMYFUNCTION("""COMPUTED_VALUE"""),"नुनोद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||")</f>
        <v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||</v>
      </c>
      <c r="B5171" s="4" t="s">
        <v>5</v>
      </c>
      <c r="C5171" s="4"/>
    </row>
    <row r="5172" spans="1:3" ht="24" customHeight="1">
      <c r="A5172" s="4" t="str">
        <f ca="1">IFERROR(__xludf.DUMMYFUNCTION("""COMPUTED_VALUE"""),"कृतोर्मिरेखं शिथिलत्वं आयता शनैः शनैः शान्तरयेण वारिणा । निरीक्ष्य रेमे स समुद्रयोषितां तरङ्गितक्ष्ॐअविपाण्डु सैकतं ||")</f>
        <v>कृतोर्मिरेखं शिथिलत्वं आयता शनैः शनैः शान्तरयेण वारिणा । निरीक्ष्य रेमे स समुद्रयोषितां तरङ्गितक्ष्ॐअविपाण्डु सैकतं ||</v>
      </c>
      <c r="B5172" s="4" t="s">
        <v>2</v>
      </c>
      <c r="C5172" s="4"/>
    </row>
    <row r="5173" spans="1:3" ht="24" customHeight="1">
      <c r="A5173" s="4" t="str">
        <f ca="1">IFERROR(__xludf.DUMMYFUNCTION("""COMPUTED_VALUE"""),"मनोरमं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||")</f>
        <v>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||</v>
      </c>
      <c r="B5173" s="4" t="s">
        <v>19</v>
      </c>
      <c r="C5173" s="4"/>
    </row>
    <row r="5174" spans="1:3" ht="24" customHeight="1">
      <c r="A5174" s="4" t="str">
        <f ca="1">IFERROR(__xludf.DUMMYFUNCTION("""COMPUTED_VALUE"""),"नवातपालोहितं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||")</f>
        <v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||</v>
      </c>
      <c r="B5174" s="4" t="s">
        <v>2</v>
      </c>
      <c r="C5174" s="4"/>
    </row>
    <row r="5175" spans="1:3" ht="24" customHeight="1">
      <c r="A5175" s="4" t="str">
        <f ca="1">IFERROR(__xludf.DUMMYFUNCTION("""COMPUTED_VALUE"""),"कपोलसंश्लेषि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||")</f>
        <v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||</v>
      </c>
      <c r="B5175" s="4" t="s">
        <v>2</v>
      </c>
      <c r="C5175" s="4"/>
    </row>
    <row r="5176" spans="1:3" ht="24" customHeight="1">
      <c r="A5176" s="4" t="str">
        <f ca="1">IFERROR(__xludf.DUMMYFUNCTION("""COMPUTED_VALUE"""),"उपारताः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||")</f>
        <v>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||</v>
      </c>
      <c r="B5176" s="4" t="s">
        <v>18</v>
      </c>
      <c r="C5176" s="4"/>
    </row>
    <row r="5177" spans="1:3" ht="24" customHeight="1">
      <c r="A5177" s="4" t="str">
        <f ca="1">IFERROR(__xludf.DUMMYFUNCTION("""COMPUTED_VALUE"""),"परीतं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||")</f>
        <v>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||</v>
      </c>
      <c r="B5177" s="4" t="s">
        <v>4</v>
      </c>
      <c r="C5177" s="4"/>
    </row>
    <row r="5178" spans="1:3" ht="24" customHeight="1">
      <c r="A5178" s="4" t="str">
        <f ca="1">IFERROR(__xludf.DUMMYFUNCTION("""COMPUTED_VALUE"""),"विमुच्यमानैरपि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||")</f>
        <v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||</v>
      </c>
      <c r="B5178" s="4" t="s">
        <v>20</v>
      </c>
      <c r="C5178" s="4"/>
    </row>
    <row r="5179" spans="1:3" ht="24" customHeight="1">
      <c r="A5179" s="4" t="str">
        <f ca="1">IFERROR(__xludf.DUMMYFUNCTION("""COMPUTED_VALUE"""),"गतान्पशूनां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||")</f>
        <v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||</v>
      </c>
      <c r="B5179" s="4" t="s">
        <v>4</v>
      </c>
      <c r="C5179" s="4"/>
    </row>
    <row r="5180" spans="1:3" ht="24" customHeight="1">
      <c r="A5180" s="4" t="str">
        <f ca="1">IFERROR(__xludf.DUMMYFUNCTION("""COMPUTED_VALUE"""),"परिभ्रमन्मूर्धजषट्पदाकुलैः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||")</f>
        <v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||</v>
      </c>
      <c r="B5180" s="4" t="s">
        <v>6</v>
      </c>
      <c r="C5180" s="4"/>
    </row>
    <row r="5181" spans="1:3" ht="24" customHeight="1">
      <c r="A5181" s="4" t="str">
        <f ca="1">IFERROR(__xludf.DUMMYFUNCTION("""COMPUTED_VALUE"""),"निबद्धनिःश्वासविकम्पिताधरा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||")</f>
        <v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||</v>
      </c>
      <c r="B5181" s="4" t="s">
        <v>6</v>
      </c>
      <c r="C5181" s="4"/>
    </row>
    <row r="5182" spans="1:3" ht="24" customHeight="1">
      <c r="A5182" s="4" t="str">
        <f ca="1">IFERROR(__xludf.DUMMYFUNCTION("""COMPUTED_VALUE"""),"व्रजाजिरेष्वम्बुदनादशङ्किनीः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||")</f>
        <v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||</v>
      </c>
      <c r="B5182" s="4" t="s">
        <v>0</v>
      </c>
      <c r="C5182" s="4"/>
    </row>
    <row r="5183" spans="1:3" ht="24" customHeight="1">
      <c r="A5183" s="4" t="str">
        <f ca="1">IFERROR(__xludf.DUMMYFUNCTION("""COMPUTED_VALUE"""),"स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||")</f>
        <v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||</v>
      </c>
      <c r="B5183" s="4" t="s">
        <v>2</v>
      </c>
      <c r="C5183" s="4"/>
    </row>
    <row r="5184" spans="1:3" ht="24" customHeight="1">
      <c r="A5184" s="4" t="str">
        <f ca="1">IFERROR(__xludf.DUMMYFUNCTION("""COMPUTED_VALUE"""),"पपात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||")</f>
        <v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||</v>
      </c>
      <c r="B5184" s="4" t="s">
        <v>10</v>
      </c>
      <c r="C5184" s="4"/>
    </row>
    <row r="5185" spans="1:3" ht="24" customHeight="1">
      <c r="A5185" s="4" t="str">
        <f ca="1">IFERROR(__xludf.DUMMYFUNCTION("""COMPUTED_VALUE"""),"जनैरुपग्रामं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||")</f>
        <v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||</v>
      </c>
      <c r="B5185" s="4" t="s">
        <v>20</v>
      </c>
      <c r="C5185" s="4"/>
    </row>
    <row r="5186" spans="1:3" ht="24" customHeight="1">
      <c r="A5186" s="4" t="str">
        <f ca="1">IFERROR(__xludf.DUMMYFUNCTION("""COMPUTED_VALUE"""),"ततः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||")</f>
        <v>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||</v>
      </c>
      <c r="B5186" s="4" t="s">
        <v>2</v>
      </c>
      <c r="C5186" s="4"/>
    </row>
    <row r="5187" spans="1:3" ht="24" customHeight="1">
      <c r="A5187" s="4" t="str">
        <f ca="1">IFERROR(__xludf.DUMMYFUNCTION("""COMPUTED_VALUE"""),"इयं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||")</f>
        <v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||</v>
      </c>
      <c r="B5187" s="4" t="s">
        <v>17</v>
      </c>
      <c r="C5187" s="4"/>
    </row>
    <row r="5188" spans="1:3" ht="24" customHeight="1">
      <c r="A5188" s="4" t="str">
        <f ca="1">IFERROR(__xludf.DUMMYFUNCTION("""COMPUTED_VALUE"""),"उपैति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||")</f>
        <v>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||</v>
      </c>
      <c r="B5188" s="4" t="s">
        <v>5</v>
      </c>
      <c r="C5188" s="4"/>
    </row>
    <row r="5189" spans="1:3" ht="24" customHeight="1">
      <c r="A5189" s="4" t="str">
        <f ca="1">IFERROR(__xludf.DUMMYFUNCTION("""COMPUTED_VALUE"""),"पतन्ति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||")</f>
        <v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||</v>
      </c>
      <c r="B5189" s="4" t="s">
        <v>7</v>
      </c>
      <c r="C5189" s="4"/>
    </row>
    <row r="5190" spans="1:3" ht="24" customHeight="1">
      <c r="A5190" s="4" t="str">
        <f ca="1">IFERROR(__xludf.DUMMYFUNCTION("""COMPUTED_VALUE"""),"विपाण्डुभिर्ग्लानतया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||")</f>
        <v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||</v>
      </c>
      <c r="B5190" s="4" t="s">
        <v>2</v>
      </c>
      <c r="C5190" s="4"/>
    </row>
    <row r="5191" spans="1:3" ht="24" customHeight="1">
      <c r="A5191" s="4" t="str">
        <f ca="1">IFERROR(__xludf.DUMMYFUNCTION("""COMPUTED_VALUE"""),"विहाय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||")</f>
        <v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||</v>
      </c>
      <c r="B5191" s="4" t="s">
        <v>4</v>
      </c>
      <c r="C5191" s="4"/>
    </row>
    <row r="5192" spans="1:3" ht="24" customHeight="1">
      <c r="A5192" s="4" t="str">
        <f ca="1">IFERROR(__xludf.DUMMYFUNCTION("""COMPUTED_VALUE"""),"अमी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||")</f>
        <v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||</v>
      </c>
      <c r="B5192" s="4" t="s">
        <v>11</v>
      </c>
      <c r="C5192" s="4"/>
    </row>
    <row r="5193" spans="1:3" ht="24" customHeight="1">
      <c r="A5193" s="4" t="str">
        <f ca="1">IFERROR(__xludf.DUMMYFUNCTION("""COMPUTED_VALUE"""),"मृणालिनीनां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||")</f>
        <v>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||</v>
      </c>
      <c r="B5193" s="4" t="s">
        <v>13</v>
      </c>
      <c r="C5193" s="4"/>
    </row>
    <row r="5194" spans="1:3" ht="24" customHeight="1">
      <c r="A5194" s="4" t="str">
        <f ca="1">IFERROR(__xludf.DUMMYFUNCTION("""COMPUTED_VALUE"""),"विपाण्डु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||")</f>
        <v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||</v>
      </c>
      <c r="B5194" s="4" t="s">
        <v>2</v>
      </c>
      <c r="C5194" s="4"/>
    </row>
    <row r="5195" spans="1:3" ht="24" customHeight="1">
      <c r="A5195" s="4" t="str">
        <f ca="1">IFERROR(__xludf.DUMMYFUNCTION("""COMPUTED_VALUE"""),"अदीपितं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||")</f>
        <v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||</v>
      </c>
      <c r="B5195" s="4" t="s">
        <v>6</v>
      </c>
      <c r="C5195" s="4"/>
    </row>
    <row r="5196" spans="1:3" ht="24" customHeight="1">
      <c r="A5196" s="4" t="str">
        <f ca="1">IFERROR(__xludf.DUMMYFUNCTION("""COMPUTED_VALUE"""),"सितच्छदानां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||")</f>
        <v>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||</v>
      </c>
      <c r="B5196" s="4" t="s">
        <v>8</v>
      </c>
      <c r="C5196" s="4"/>
    </row>
    <row r="5197" spans="1:3" ht="24" customHeight="1">
      <c r="A5197" s="4" t="str">
        <f ca="1">IFERROR(__xludf.DUMMYFUNCTION("""COMPUTED_VALUE"""),"विहारभूमेरभिघोषं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||")</f>
        <v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||</v>
      </c>
      <c r="B5197" s="4" t="s">
        <v>4</v>
      </c>
      <c r="C5197" s="4"/>
    </row>
    <row r="5198" spans="1:3" ht="24" customHeight="1">
      <c r="A5198" s="4" t="str">
        <f ca="1">IFERROR(__xludf.DUMMYFUNCTION("""COMPUTED_VALUE"""),"जगत्प्रसूतिर्जगदेकपावनी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||")</f>
        <v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||</v>
      </c>
      <c r="B5198" s="4" t="s">
        <v>2</v>
      </c>
      <c r="C5198" s="4"/>
    </row>
    <row r="5199" spans="1:3" ht="24" customHeight="1">
      <c r="A5199" s="4" t="str">
        <f ca="1">IFERROR(__xludf.DUMMYFUNCTION("""COMPUTED_VALUE"""),"कृतावधानं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||")</f>
        <v>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||</v>
      </c>
      <c r="B5199" s="4" t="s">
        <v>19</v>
      </c>
      <c r="C5199" s="4"/>
    </row>
    <row r="5200" spans="1:3" ht="24" customHeight="1">
      <c r="A5200" s="4" t="str">
        <f ca="1">IFERROR(__xludf.DUMMYFUNCTION("""COMPUTED_VALUE"""),"असावनास्थापरयावधीरितः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||")</f>
        <v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||</v>
      </c>
      <c r="B5200" s="4" t="s">
        <v>2</v>
      </c>
      <c r="C5200" s="4"/>
    </row>
    <row r="5201" spans="1:3" ht="24" customHeight="1">
      <c r="A5201" s="4" t="str">
        <f ca="1">IFERROR(__xludf.DUMMYFUNCTION("""COMPUTED_VALUE"""),"अमी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||")</f>
        <v>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||</v>
      </c>
      <c r="B5201" s="4" t="s">
        <v>14</v>
      </c>
      <c r="C5201" s="4"/>
    </row>
    <row r="5202" spans="1:3" ht="24" customHeight="1">
      <c r="A5202" s="4" t="str">
        <f ca="1">IFERROR(__xludf.DUMMYFUNCTION("""COMPUTED_VALUE"""),"मुखैरसौ विद्रुमभङ्गलोहितैः शिखाः पिशङ्गीः कलमस्य बिभ्रती । शुकावलिर्व्यक्तशिरीषक्ॐअला धनुःश्रियं गोत्रभिदोऽनुगच्छति ||")</f>
        <v>मुखैरसौ विद्रुमभङ्गलोहितैः शिखाः पिशङ्गीः कलमस्य बिभ्रती । शुकावलिर्व्यक्तशिरीषक्ॐअला धनुःश्रियं गोत्रभिदोऽनुगच्छति ||</v>
      </c>
      <c r="B5202" s="4" t="s">
        <v>2</v>
      </c>
      <c r="C5202" s="4"/>
    </row>
    <row r="5203" spans="1:3" ht="24" customHeight="1">
      <c r="A5203" s="4" t="str">
        <f ca="1">IFERROR(__xludf.DUMMYFUNCTION("""COMPUTED_VALUE"""),"इति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||")</f>
        <v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||</v>
      </c>
      <c r="B5203" s="4" t="s">
        <v>3</v>
      </c>
      <c r="C5203" s="4"/>
    </row>
    <row r="5204" spans="1:3" ht="24" customHeight="1">
      <c r="A5204" s="4" t="str">
        <f ca="1">IFERROR(__xludf.DUMMYFUNCTION("""COMPUTED_VALUE"""),"तं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||")</f>
        <v>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||</v>
      </c>
      <c r="B5204" s="4" t="s">
        <v>7</v>
      </c>
      <c r="C5204" s="4"/>
    </row>
    <row r="5205" spans="1:3" ht="24" customHeight="1">
      <c r="A5205" s="4" t="str">
        <f ca="1">IFERROR(__xludf.DUMMYFUNCTION("""COMPUTED_VALUE"""),"अथ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||")</f>
        <v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||</v>
      </c>
      <c r="B5205" s="4" t="s">
        <v>6</v>
      </c>
      <c r="C5205" s="4"/>
    </row>
    <row r="5206" spans="1:3" ht="24" customHeight="1">
      <c r="A5206" s="4" t="str">
        <f ca="1">IFERROR(__xludf.DUMMYFUNCTION("""COMPUTED_VALUE"""),"तपनमण्डलदीतितं एकतः सततनैशतमोवृतं अन्यतः । हसितभिन्नतमिस्रचयं पुरः शिवं इवानुगतं गजचर्मणा ||")</f>
        <v>तपनमण्डलदीतितं एकतः सततनैशतमोवृतं अन्यतः । हसितभिन्नतमिस्रचयं पुरः शिवं इवानुगतं गजचर्मणा ||</v>
      </c>
      <c r="B5206" s="4" t="s">
        <v>7</v>
      </c>
      <c r="C5206" s="4"/>
    </row>
    <row r="5207" spans="1:3" ht="24" customHeight="1">
      <c r="A5207" s="4" t="str">
        <f ca="1">IFERROR(__xludf.DUMMYFUNCTION("""COMPUTED_VALUE"""),"क्षितिनभःसुरलोकनिवासिभिः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||")</f>
        <v>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||</v>
      </c>
      <c r="B5207" s="4" t="s">
        <v>1</v>
      </c>
      <c r="C5207" s="4"/>
    </row>
    <row r="5208" spans="1:3" ht="24" customHeight="1">
      <c r="A5208" s="4" t="str">
        <f ca="1">IFERROR(__xludf.DUMMYFUNCTION("""COMPUTED_VALUE"""),"भुजगराजसितेन नभःश्रिया कनकराजिविराजितसानुना । समुदितं निचयेन तडित्वतीं लघयता शरदम्बुदसंहतिं ||")</f>
        <v>भुजगराजसितेन नभःश्रिया कनकराजिविराजितसानुना । समुदितं निचयेन तडित्वतीं लघयता शरदम्बुदसंहतिं ||</v>
      </c>
      <c r="B5208" s="4" t="s">
        <v>2</v>
      </c>
      <c r="C5208" s="4"/>
    </row>
    <row r="5209" spans="1:3" ht="24" customHeight="1">
      <c r="A5209" s="4" t="str">
        <f ca="1">IFERROR(__xludf.DUMMYFUNCTION("""COMPUTED_VALUE"""),"मणिमयूखचयांशुकभासुराः सुरवधूपरिभुक्तलतागृहाः । दधतं उच्चशिलान्तरगोपुराः पुर इवोदितपुष्पवना भुवः ||")</f>
        <v>मणिमयूखचयांशुकभासुराः सुरवधूपरिभुक्तलतागृहाः । दधतं उच्चशिलान्तरगोपुराः पुर इवोदितपुष्पवना भुवः ||</v>
      </c>
      <c r="B5209" s="4" t="s">
        <v>4</v>
      </c>
      <c r="C5209" s="4"/>
    </row>
    <row r="5210" spans="1:3" ht="24" customHeight="1">
      <c r="A5210" s="4" t="str">
        <f ca="1">IFERROR(__xludf.DUMMYFUNCTION("""COMPUTED_VALUE"""),"अविरतोज्झितवारिविपाण्डुभिर्विरहितैरचिरद्युतितेजसा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||")</f>
        <v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||</v>
      </c>
      <c r="B5210" s="4" t="s">
        <v>17</v>
      </c>
      <c r="C5210" s="4"/>
    </row>
    <row r="5211" spans="1:3" ht="24" customHeight="1">
      <c r="A5211" s="4" t="str">
        <f ca="1">IFERROR(__xludf.DUMMYFUNCTION("""COMPUTED_VALUE"""),"दधतं आकरिभिः करिभिः क्षतैः समवतारसमैरसमैस्तटैः । विविधकामहिता महिताम्भसः स्फुटसरोजवना जवना नदीः ||")</f>
        <v>दधतं आकरिभिः करिभिः क्षतैः समवतारसमैरसमैस्तटैः । विविधकामहिता महिताम्भसः स्फुटसरोजवना जवना नदीः ||</v>
      </c>
      <c r="B5211" s="4" t="s">
        <v>17</v>
      </c>
      <c r="C5211" s="4"/>
    </row>
    <row r="5212" spans="1:3" ht="24" customHeight="1">
      <c r="A5212" s="4" t="str">
        <f ca="1">IFERROR(__xludf.DUMMYFUNCTION("""COMPUTED_VALUE"""),"नवविनिद्रजपाकुसुमत्विषां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||")</f>
        <v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||</v>
      </c>
      <c r="B5212" s="4" t="s">
        <v>13</v>
      </c>
      <c r="C5212" s="4"/>
    </row>
    <row r="5213" spans="1:3" ht="24" customHeight="1">
      <c r="A5213" s="4" t="str">
        <f ca="1">IFERROR(__xludf.DUMMYFUNCTION("""COMPUTED_VALUE"""),"पृथुकदम्बकदम्बकराजितं ग्रहितमालतमालवनाकुलं । लघुतुषारतुषारजलश्च्युतं धृतसदानसदाननदन्तिनं ||")</f>
        <v>पृथुकदम्बकदम्बकराजितं ग्रहितमालतमालवनाकुलं । लघुतुषारतुषारजलश्च्युतं धृतसदानसदाननदन्तिनं ||</v>
      </c>
      <c r="B5213" s="4" t="s">
        <v>1</v>
      </c>
      <c r="C5213" s="4"/>
    </row>
    <row r="5214" spans="1:3" ht="24" customHeight="1">
      <c r="A5214" s="4" t="str">
        <f ca="1">IFERROR(__xludf.DUMMYFUNCTION("""COMPUTED_VALUE"""),"रहितरत्नचयान्न शिलोच्चयानफलताभवना न दरीभुवः । विपुलिनाम्बुरुहा न सरिद्वधूरकुसुमान्दधतं न महीरुहः ||")</f>
        <v>रहितरत्नचयान्न शिलोच्चयानफलताभवना न दरीभुवः । विपुलिनाम्बुरुहा न सरिद्वधूरकुसुमान्दधतं न महीरुहः ||</v>
      </c>
      <c r="B5214" s="4" t="s">
        <v>24</v>
      </c>
      <c r="C5214" s="4"/>
    </row>
    <row r="5215" spans="1:3" ht="24" customHeight="1">
      <c r="A5215" s="4" t="str">
        <f ca="1">IFERROR(__xludf.DUMMYFUNCTION("""COMPUTED_VALUE"""),"व्यथितसिन्धुं अनीरशनैः शनैरमरलोकवधूजघनैर्घनैः । फणभृतां अभितो विततं ततं दयितरम्यलताबकुलैः कुलैः ||")</f>
        <v>व्यथितसिन्धुं अनीरशनैः शनैरमरलोकवधूजघनैर्घनैः । फणभृतां अभितो विततं ततं दयितरम्यलताबकुलैः कुलैः ||</v>
      </c>
      <c r="B5215" s="4" t="s">
        <v>11</v>
      </c>
      <c r="C5215" s="4"/>
    </row>
    <row r="5216" spans="1:3" ht="24" customHeight="1">
      <c r="A5216" s="4" t="str">
        <f ca="1">IFERROR(__xludf.DUMMYFUNCTION("""COMPUTED_VALUE"""),"ससुरचापं अनेकमणिप्रभैरपपयोविशदं हिमपाण्डुभिः । अविचलं शिखरैरुपबिभ्रतं ध्वनितसूचितं अम्बुमुचां चयं ||")</f>
        <v>ससुरचापं अनेकमणिप्रभैरपपयोविशदं हिमपाण्डुभिः । अविचलं शिखरैरुपबिभ्रतं ध्वनितसूचितं अम्बुमुचां चयं ||</v>
      </c>
      <c r="B5216" s="4" t="s">
        <v>5</v>
      </c>
      <c r="C5216" s="4"/>
    </row>
    <row r="5217" spans="1:3" ht="24" customHeight="1">
      <c r="A5217" s="4" t="str">
        <f ca="1">IFERROR(__xludf.DUMMYFUNCTION("""COMPUTED_VALUE"""),"विकचवारिरुहं दधतं सरः सकलहंसगणं शुचि मानसं । शिवं अगात्मजया च कृतेर्ष्यया सकलहं सगणं शुचिमानसं ||")</f>
        <v>विकचवारिरुहं दधतं सरः सकलहंसगणं शुचि मानसं । शिवं अगात्मजया च कृतेर्ष्यया सकलहं सगणं शुचिमानसं ||</v>
      </c>
      <c r="B5217" s="4" t="s">
        <v>18</v>
      </c>
      <c r="C5217" s="4"/>
    </row>
    <row r="5218" spans="1:3" ht="24" customHeight="1">
      <c r="A5218" s="4" t="str">
        <f ca="1">IFERROR(__xludf.DUMMYFUNCTION("""COMPUTED_VALUE"""),"ग्रहविमानगणानभितो दिवं ज्वलयतौषधिजेन कृशानुना । मुहुरनुस्मरयन्तं अनुक्षपं त्रिपुरदाहं उपापतिसेविनः ||")</f>
        <v>ग्रहविमानगणानभितो दिवं ज्वलयतौषधिजेन कृशानुना । मुहुरनुस्मरयन्तं अनुक्षपं त्रिपुरदाहं उपापतिसेविनः ||</v>
      </c>
      <c r="B5218" s="4" t="s">
        <v>1</v>
      </c>
      <c r="C5218" s="4"/>
    </row>
    <row r="5219" spans="1:3" ht="24" customHeight="1">
      <c r="A5219" s="4" t="str">
        <f ca="1">IFERROR(__xludf.DUMMYFUNCTION("""COMPUTED_VALUE"""),"विततशीकरराशिभिरुच्छ्रितैरुपलरोधविवर्तिभिरम्बुभिः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||")</f>
        <v>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||</v>
      </c>
      <c r="B5219" s="4" t="s">
        <v>4</v>
      </c>
      <c r="C5219" s="4"/>
    </row>
    <row r="5220" spans="1:3" ht="24" customHeight="1">
      <c r="A5220" s="4" t="str">
        <f ca="1">IFERROR(__xludf.DUMMYFUNCTION("""COMPUTED_VALUE"""),"अनुचरेण धनाधिपतेरथो नगविलोकनविस्मितमानसः । स जगदे वचनं प्रियं आदरान्मुखरतावसरे हि विराजते ||")</f>
        <v>अनुचरेण धनाधिपतेरथो नगविलोकनविस्मितमानसः । स जगदे वचनं प्रियं आदरान्मुखरतावसरे हि विराजते ||</v>
      </c>
      <c r="B5220" s="4" t="s">
        <v>2</v>
      </c>
      <c r="C5220" s="4"/>
    </row>
    <row r="5221" spans="1:3" ht="24" customHeight="1">
      <c r="A5221" s="4" t="str">
        <f ca="1">IFERROR(__xludf.DUMMYFUNCTION("""COMPUTED_VALUE"""),"अलं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||")</f>
        <v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||</v>
      </c>
      <c r="B5221" s="4" t="s">
        <v>6</v>
      </c>
      <c r="C5221" s="4"/>
    </row>
    <row r="5222" spans="1:3" ht="24" customHeight="1">
      <c r="A5222" s="4" t="str">
        <f ca="1">IFERROR(__xludf.DUMMYFUNCTION("""COMPUTED_VALUE"""),"इह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||")</f>
        <v>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||</v>
      </c>
      <c r="B5222" s="4" t="s">
        <v>0</v>
      </c>
      <c r="C5222" s="4"/>
    </row>
    <row r="5223" spans="1:3" ht="24" customHeight="1">
      <c r="A5223" s="4" t="str">
        <f ca="1">IFERROR(__xludf.DUMMYFUNCTION("""COMPUTED_VALUE"""),"रुचिरपल्लवपुष्पलतागृहैरुपलसज्जलजैर्जलराशिभिः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||")</f>
        <v>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||</v>
      </c>
      <c r="B5223" s="4" t="s">
        <v>5</v>
      </c>
      <c r="C5223" s="4"/>
    </row>
    <row r="5224" spans="1:3" ht="24" customHeight="1">
      <c r="A5224" s="4" t="str">
        <f ca="1">IFERROR(__xludf.DUMMYFUNCTION("""COMPUTED_VALUE"""),"सुलभैः सदा नयवतायवता निधिगुह्यकाधिपरमैः परमैः । अमुना धनैः क्षितिभृतातिभृता समतीत्य भाति जगती जगती ||")</f>
        <v>सुलभैः सदा नयवतायवता निधिगुह्यकाधिपरमैः परमैः । अमुना धनैः क्षितिभृतातिभृता समतीत्य भाति जगती जगती ||</v>
      </c>
      <c r="B5224" s="4" t="s">
        <v>2</v>
      </c>
      <c r="C5224" s="4"/>
    </row>
    <row r="5225" spans="1:3" ht="24" customHeight="1">
      <c r="A5225" s="4" t="str">
        <f ca="1">IFERROR(__xludf.DUMMYFUNCTION("""COMPUTED_VALUE"""),"अखिलं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||")</f>
        <v>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||</v>
      </c>
      <c r="B5225" s="4" t="s">
        <v>2</v>
      </c>
      <c r="C5225" s="4"/>
    </row>
    <row r="5226" spans="1:3" ht="24" customHeight="1">
      <c r="A5226" s="4" t="str">
        <f ca="1">IFERROR(__xludf.DUMMYFUNCTION("""COMPUTED_VALUE"""),"वीतजन्मजरसं परं शुचि ब्रह्मणः पदं उपैतुं इच्छतां । आगमादिव तमोपहादितः सम्भवन्ति मतयो भवच्छिदः ||")</f>
        <v>वीतजन्मजरसं परं शुचि ब्रह्मणः पदं उपैतुं इच्छतां । आगमादिव तमोपहादितः सम्भवन्ति मतयो भवच्छिदः ||</v>
      </c>
      <c r="B5226" s="4" t="s">
        <v>17</v>
      </c>
      <c r="C5226" s="4"/>
    </row>
    <row r="5227" spans="1:3" ht="24" customHeight="1">
      <c r="A5227" s="4" t="str">
        <f ca="1">IFERROR(__xludf.DUMMYFUNCTION("""COMPUTED_VALUE"""),"दिव्यस्त्रीणां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||")</f>
        <v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||</v>
      </c>
      <c r="B5227" s="4" t="s">
        <v>5</v>
      </c>
      <c r="C5227" s="4"/>
    </row>
    <row r="5228" spans="1:3" ht="24" customHeight="1">
      <c r="A5228" s="4" t="str">
        <f ca="1">IFERROR(__xludf.DUMMYFUNCTION("""COMPUTED_VALUE"""),"गुणसम्पदा समधिगम्य परं महिमानं अत्र महिते जगतां । नयशालिनि श्रिय इवाधिपतौ विरमन्ति न ज्वलितुं औषधयः ||")</f>
        <v>गुणसम्पदा समधिगम्य परं महिमानं अत्र महिते जगतां । नयशालिनि श्रिय इवाधिपतौ विरमन्ति न ज्वलितुं औषधयः ||</v>
      </c>
      <c r="B5228" s="4" t="s">
        <v>5</v>
      </c>
      <c r="C5228" s="4"/>
    </row>
    <row r="5229" spans="1:3" ht="24" customHeight="1">
      <c r="A5229" s="4" t="str">
        <f ca="1">IFERROR(__xludf.DUMMYFUNCTION("""COMPUTED_VALUE"""),"कुररीगणः कृतरवस्तरवः कुसुमानताः सकमलं कमलं । इह सिन्धवश्च वरणावरणाः करिणां मुदे सनलदानलदाः ||")</f>
        <v>कुररीगणः कृतरवस्तरवः कुसुमानताः सकमलं कमलं । इह सिन्धवश्च वरणावरणाः करिणां मुदे सनलदानलदाः ||</v>
      </c>
      <c r="B5229" s="4" t="s">
        <v>17</v>
      </c>
      <c r="C5229" s="4"/>
    </row>
    <row r="5230" spans="1:3" ht="24" customHeight="1">
      <c r="A5230" s="4" t="str">
        <f ca="1">IFERROR(__xludf.DUMMYFUNCTION("""COMPUTED_VALUE"""),"सादृश्यं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||")</f>
        <v>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||</v>
      </c>
      <c r="B5230" s="4" t="s">
        <v>13</v>
      </c>
      <c r="C5230" s="4"/>
    </row>
    <row r="5231" spans="1:3" ht="24" customHeight="1">
      <c r="A5231" s="4" t="str">
        <f ca="1">IFERROR(__xludf.DUMMYFUNCTION("""COMPUTED_VALUE"""),"सनाकवनितं नितम्बरुचिरं चिरं सुनिनदैर्नदैर्वृतं अमुं । मता फलवतोऽवतो रसपरा परास्तवसुधा सुधाधिवसति ||")</f>
        <v>सनाकवनितं नितम्बरुचिरं चिरं सुनिनदैर्नदैर्वृतं अमुं । मता फलवतोऽवतो रसपरा परास्तवसुधा सुधाधिवसति ||</v>
      </c>
      <c r="B5231" s="4" t="s">
        <v>5</v>
      </c>
      <c r="C5231" s="4"/>
    </row>
    <row r="5232" spans="1:3" ht="24" customHeight="1">
      <c r="A5232" s="4" t="str">
        <f ca="1">IFERROR(__xludf.DUMMYFUNCTION("""COMPUTED_VALUE"""),"श्रीमल्लताभवनं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||")</f>
        <v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||</v>
      </c>
      <c r="B5232" s="4" t="s">
        <v>5</v>
      </c>
      <c r="C5232" s="4"/>
    </row>
    <row r="5233" spans="1:3" ht="24" customHeight="1">
      <c r="A5233" s="4" t="str">
        <f ca="1">IFERROR(__xludf.DUMMYFUNCTION("""COMPUTED_VALUE"""),"ईशार्थं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||")</f>
        <v>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||</v>
      </c>
      <c r="B5233" s="4" t="s">
        <v>7</v>
      </c>
      <c r="C5233" s="4"/>
    </row>
    <row r="5234" spans="1:3" ht="24" customHeight="1">
      <c r="A5234" s="4" t="str">
        <f ca="1">IFERROR(__xludf.DUMMYFUNCTION("""COMPUTED_VALUE"""),"येनापविद्धसलिलः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||")</f>
        <v>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||</v>
      </c>
      <c r="B5234" s="4" t="s">
        <v>0</v>
      </c>
      <c r="C5234" s="4"/>
    </row>
    <row r="5235" spans="1:3" ht="24" customHeight="1">
      <c r="A5235" s="4" t="str">
        <f ca="1">IFERROR(__xludf.DUMMYFUNCTION("""COMPUTED_VALUE"""),"नीतोच्छ्रायं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||")</f>
        <v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||</v>
      </c>
      <c r="B5235" s="4" t="s">
        <v>5</v>
      </c>
      <c r="C5235" s="4"/>
    </row>
    <row r="5236" spans="1:3" ht="24" customHeight="1">
      <c r="A5236" s="4" t="str">
        <f ca="1">IFERROR(__xludf.DUMMYFUNCTION("""COMPUTED_VALUE"""),"दधत इव विलासशालि नृत्यं मृदु पतता पवनेन कम्पितानि । इह ललितविलासिनीजनभ्रू- गतिकुटिलेषु पयःसु पङ्कजानि ||")</f>
        <v>दधत इव विलासशालि नृत्यं मृदु पतता पवनेन कम्पितानि । इह ललितविलासिनीजनभ्रू- गतिकुटिलेषु पयःसु पङ्कजानि ||</v>
      </c>
      <c r="B5236" s="4" t="s">
        <v>1</v>
      </c>
      <c r="C5236" s="4"/>
    </row>
    <row r="5237" spans="1:3" ht="24" customHeight="1">
      <c r="A5237" s="4" t="str">
        <f ca="1">IFERROR(__xludf.DUMMYFUNCTION("""COMPUTED_VALUE"""),"अस्मिन्नगृह्यत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||")</f>
        <v>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||</v>
      </c>
      <c r="B5237" s="4" t="s">
        <v>7</v>
      </c>
      <c r="C5237" s="4"/>
    </row>
    <row r="5238" spans="1:3" ht="24" customHeight="1">
      <c r="A5238" s="4" t="str">
        <f ca="1">IFERROR(__xludf.DUMMYFUNCTION("""COMPUTED_VALUE"""),"क्रामद्भिर्घनपदवीं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||")</f>
        <v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||</v>
      </c>
      <c r="B5238" s="4" t="s">
        <v>5</v>
      </c>
      <c r="C5238" s="4"/>
    </row>
    <row r="5239" spans="1:3" ht="24" customHeight="1">
      <c r="A5239" s="4" t="str">
        <f ca="1">IFERROR(__xludf.DUMMYFUNCTION("""COMPUTED_VALUE"""),"व्यधत्त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||")</f>
        <v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||</v>
      </c>
      <c r="B5239" s="4" t="s">
        <v>2</v>
      </c>
      <c r="C5239" s="4"/>
    </row>
    <row r="5240" spans="1:3" ht="24" customHeight="1">
      <c r="A5240" s="4" t="str">
        <f ca="1">IFERROR(__xludf.DUMMYFUNCTION("""COMPUTED_VALUE"""),"नानारत्नज्योतिषां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||")</f>
        <v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||</v>
      </c>
      <c r="B5240" s="4" t="s">
        <v>2</v>
      </c>
      <c r="C5240" s="4"/>
    </row>
    <row r="5241" spans="1:3" ht="24" customHeight="1">
      <c r="A5241" s="4" t="str">
        <f ca="1">IFERROR(__xludf.DUMMYFUNCTION("""COMPUTED_VALUE"""),"रम्या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||")</f>
        <v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||</v>
      </c>
      <c r="B5241" s="4" t="s">
        <v>1</v>
      </c>
      <c r="C5241" s="4"/>
    </row>
    <row r="5242" spans="1:3" ht="24" customHeight="1">
      <c r="A5242" s="4" t="str">
        <f ca="1">IFERROR(__xludf.DUMMYFUNCTION("""COMPUTED_VALUE"""),"परिसरविषयेषु लीढमुक्ता हरिततृणोद्गमशङ्कया मृगीभिः । इह नवशुकक्ॐअला मणीनां रविकरसंवलिताः फलन्ति भासः ||")</f>
        <v>परिसरविषयेषु लीढमुक्ता हरिततृणोद्गमशङ्कया मृगीभिः । इह नवशुकक्ॐअला मणीनां रविकरसंवलिताः फलन्ति भासः ||</v>
      </c>
      <c r="B5242" s="4" t="s">
        <v>18</v>
      </c>
      <c r="C5242" s="4"/>
    </row>
    <row r="5243" spans="1:3" ht="24" customHeight="1">
      <c r="A5243" s="4" t="str">
        <f ca="1">IFERROR(__xludf.DUMMYFUNCTION("""COMPUTED_VALUE"""),"उत्फुल्लस्थलनलिनीवनादमुष्मादुद्धूतः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||")</f>
        <v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||</v>
      </c>
      <c r="B5243" s="4" t="s">
        <v>12</v>
      </c>
      <c r="C5243" s="4"/>
    </row>
    <row r="5244" spans="1:3" ht="24" customHeight="1">
      <c r="A5244" s="4" t="str">
        <f ca="1">IFERROR(__xludf.DUMMYFUNCTION("""COMPUTED_VALUE"""),"इह सनियमयोः सुरापगायां उषसि सयावकसव्यपादरेखा । कथयति शिवयोः शरीरयोगं विषमपदा पदवी विवर्तनेषु ||")</f>
        <v>इह सनियमयोः सुरापगायां उषसि सयावकसव्यपादरेखा । कथयति शिवयोः शरीरयोगं विषमपदा पदवी विवर्तनेषु ||</v>
      </c>
      <c r="B5244" s="4" t="s">
        <v>13</v>
      </c>
      <c r="C5244" s="4"/>
    </row>
    <row r="5245" spans="1:3" ht="24" customHeight="1">
      <c r="A5245" s="4" t="str">
        <f ca="1">IFERROR(__xludf.DUMMYFUNCTION("""COMPUTED_VALUE"""),"संमूर्छतां रजतभित्तिमयूखजालैरालोकपादपलतान्तरनिर्गतानां । घर्मद्युतेरिह मुहुः पटलानि धाम्नां आदर्शमण्डलनिभानि समुल्लसन्ति ||")</f>
        <v>संमूर्छतां रजतभित्तिमयूखजालैरालोकपादपलतान्तरनिर्गतानां । घर्मद्युतेरिह मुहुः पटलानि धाम्नां आदर्शमण्डलनिभानि समुल्लसन्ति ||</v>
      </c>
      <c r="B5245" s="4" t="s">
        <v>2</v>
      </c>
      <c r="C5245" s="4"/>
    </row>
    <row r="5246" spans="1:3" ht="24" customHeight="1">
      <c r="A5246" s="4" t="str">
        <f ca="1">IFERROR(__xludf.DUMMYFUNCTION("""COMPUTED_VALUE"""),"शुक्लैर्मयूखनिचयैः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||")</f>
        <v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||</v>
      </c>
      <c r="B5246" s="4" t="s">
        <v>19</v>
      </c>
      <c r="C5246" s="4"/>
    </row>
    <row r="5247" spans="1:3" ht="24" customHeight="1">
      <c r="A5247" s="4" t="str">
        <f ca="1">IFERROR(__xludf.DUMMYFUNCTION("""COMPUTED_VALUE"""),"सम्प्रति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||")</f>
        <v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||</v>
      </c>
      <c r="B5247" s="4" t="s">
        <v>16</v>
      </c>
      <c r="C5247" s="4"/>
    </row>
    <row r="5248" spans="1:3" ht="24" customHeight="1">
      <c r="A5248" s="4" t="str">
        <f ca="1">IFERROR(__xludf.DUMMYFUNCTION("""COMPUTED_VALUE"""),"स्नपितनवलतातरुप्रवालैरमृतलवस्रुतिशालिभिर्मयूखैः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||")</f>
        <v>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||</v>
      </c>
      <c r="B5248" s="4" t="s">
        <v>14</v>
      </c>
      <c r="C5248" s="4"/>
    </row>
    <row r="5249" spans="1:3" ht="24" customHeight="1">
      <c r="A5249" s="4" t="str">
        <f ca="1">IFERROR(__xludf.DUMMYFUNCTION("""COMPUTED_VALUE"""),"क्षिपति योऽनुवनं विततां बृहद्बृहतिकां इव रौचनिकीं रुचं । अयं अनेकहिरण्मयकंदरस्तव पितुर्दयितो जगतीधरः ||")</f>
        <v>क्षिपति योऽनुवनं विततां बृहद्बृहतिकां इव रौचनिकीं रुचं । अयं अनेकहिरण्मयकंदरस्तव पितुर्दयितो जगतीधरः ||</v>
      </c>
      <c r="B5249" s="4" t="s">
        <v>0</v>
      </c>
      <c r="C5249" s="4"/>
    </row>
    <row r="5250" spans="1:3" ht="24" customHeight="1">
      <c r="A5250" s="4" t="str">
        <f ca="1">IFERROR(__xludf.DUMMYFUNCTION("""COMPUTED_VALUE"""),"सक्तिं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||")</f>
        <v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||</v>
      </c>
      <c r="B5250" s="4" t="s">
        <v>2</v>
      </c>
      <c r="C5250" s="4"/>
    </row>
    <row r="5251" spans="1:3" ht="24" customHeight="1">
      <c r="A5251" s="4" t="str">
        <f ca="1">IFERROR(__xludf.DUMMYFUNCTION("""COMPUTED_VALUE"""),"कषणकम्पनिरस्तमहाहिभिः क्षणविमत्तमतङ्गजवर्जितैः । इह मदस्नपितैरनुमीयते सुरगजस्य गतं हरिचन्दनैः ||")</f>
        <v>कषणकम्पनिरस्तमहाहिभिः क्षणविमत्तमतङ्गजवर्जितैः । इह मदस्नपितैरनुमीयते सुरगजस्य गतं हरिचन्दनैः ||</v>
      </c>
      <c r="B5251" s="4" t="s">
        <v>1</v>
      </c>
      <c r="C5251" s="4"/>
    </row>
    <row r="5252" spans="1:3" ht="24" customHeight="1">
      <c r="A5252" s="4" t="str">
        <f ca="1">IFERROR(__xludf.DUMMYFUNCTION("""COMPUTED_VALUE"""),"जलदजालघनैरसिताश्मनां उपहतप्रचयेह मरीचिभिः । भवति दीप्तिरदीपितकंदरा तिमिरसंवलितेव विवस्वतः ||")</f>
        <v>जलदजालघनैरसिताश्मनां उपहतप्रचयेह मरीचिभिः । भवति दीप्तिरदीपितकंदरा तिमिरसंवलितेव विवस्वतः ||</v>
      </c>
      <c r="B5252" s="4" t="s">
        <v>2</v>
      </c>
      <c r="C5252" s="4"/>
    </row>
    <row r="5253" spans="1:3" ht="24" customHeight="1">
      <c r="A5253" s="4" t="str">
        <f ca="1">IFERROR(__xludf.DUMMYFUNCTION("""COMPUTED_VALUE"""),"भव्यो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||")</f>
        <v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||</v>
      </c>
      <c r="B5253" s="4" t="s">
        <v>5</v>
      </c>
      <c r="C5253" s="4"/>
    </row>
    <row r="5254" spans="1:3" ht="24" customHeight="1">
      <c r="A5254" s="4" t="str">
        <f ca="1">IFERROR(__xludf.DUMMYFUNCTION("""COMPUTED_VALUE"""),"मा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||")</f>
        <v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||</v>
      </c>
      <c r="B5254" s="4" t="s">
        <v>5</v>
      </c>
      <c r="C5254" s="4"/>
    </row>
    <row r="5255" spans="1:3" ht="24" customHeight="1">
      <c r="A5255" s="4" t="str">
        <f ca="1">IFERROR(__xludf.DUMMYFUNCTION("""COMPUTED_VALUE"""),"इत्युक्त्वा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||")</f>
        <v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||</v>
      </c>
      <c r="B5255" s="4" t="s">
        <v>15</v>
      </c>
      <c r="C5255" s="4"/>
    </row>
    <row r="5256" spans="1:3" ht="24" customHeight="1">
      <c r="A5256" s="4" t="str">
        <f ca="1">IFERROR(__xludf.DUMMYFUNCTION("""COMPUTED_VALUE"""),"तं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||")</f>
        <v>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||</v>
      </c>
      <c r="B5256" s="4" t="s">
        <v>17</v>
      </c>
      <c r="C5256" s="4"/>
    </row>
    <row r="5257" spans="1:3" ht="24" customHeight="1">
      <c r="A5257" s="4" t="str">
        <f ca="1">IFERROR(__xludf.DUMMYFUNCTION("""COMPUTED_VALUE"""),"रुचिराकृतिः कनकसानुं अथो परमः पुमानिव पतिं पततां । धृतसत्पथस्त्रिपथगां अभितः स तं आरुरोह पुरुहूतसुतः ||")</f>
        <v>रुचिराकृतिः कनकसानुं अथो परमः पुमानिव पतिं पततां । धृतसत्पथस्त्रिपथगां अभितः स तं आरुरोह पुरुहूतसुतः ||</v>
      </c>
      <c r="B5257" s="4" t="s">
        <v>2</v>
      </c>
      <c r="C5257" s="4"/>
    </row>
    <row r="5258" spans="1:3" ht="24" customHeight="1">
      <c r="A5258" s="4" t="str">
        <f ca="1">IFERROR(__xludf.DUMMYFUNCTION("""COMPUTED_VALUE"""),"तं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||")</f>
        <v>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||</v>
      </c>
      <c r="B5258" s="4" t="s">
        <v>12</v>
      </c>
      <c r="C5258" s="4"/>
    </row>
    <row r="5259" spans="1:3" ht="24" customHeight="1">
      <c r="A5259" s="4" t="str">
        <f ca="1">IFERROR(__xludf.DUMMYFUNCTION("""COMPUTED_VALUE"""),"अवधूतपङ्कजपरागकणास्तनुजाह्नवीसलिलवीचिभिदः । परिरेभिरेऽभिमुखं एत्य सुखाः सुहृदः सखायं इव तं मरुतः ||")</f>
        <v>अवधूतपङ्कजपरागकणास्तनुजाह्नवीसलिलवीचिभिदः । परिरेभिरेऽभिमुखं एत्य सुखाः सुहृदः सखायं इव तं मरुतः ||</v>
      </c>
      <c r="B5259" s="4" t="s">
        <v>2</v>
      </c>
      <c r="C5259" s="4"/>
    </row>
    <row r="5260" spans="1:3" ht="24" customHeight="1">
      <c r="A5260" s="4" t="str">
        <f ca="1">IFERROR(__xludf.DUMMYFUNCTION("""COMPUTED_VALUE"""),"उदितोपलस्खलनसंवलिताः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||")</f>
        <v>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||</v>
      </c>
      <c r="B5260" s="4" t="s">
        <v>9</v>
      </c>
      <c r="C5260" s="4"/>
    </row>
    <row r="5261" spans="1:3" ht="24" customHeight="1">
      <c r="A5261" s="4" t="str">
        <f ca="1">IFERROR(__xludf.DUMMYFUNCTION("""COMPUTED_VALUE"""),"अवरुग्णतुङ्गसुरदारुतरौ निचये पुरः सुरसरित्पयसां । स ददर्श वेतसवनाचरितां प्रणतिं बलीयसि समृद्धिकरीं ||")</f>
        <v>अवरुग्णतुङ्गसुरदारुतरौ निचये पुरः सुरसरित्पयसां । स ददर्श वेतसवनाचरितां प्रणतिं बलीयसि समृद्धिकरीं ||</v>
      </c>
      <c r="B5261" s="4" t="s">
        <v>0</v>
      </c>
      <c r="C5261" s="4"/>
    </row>
    <row r="5262" spans="1:3" ht="24" customHeight="1">
      <c r="A5262" s="4" t="str">
        <f ca="1">IFERROR(__xludf.DUMMYFUNCTION("""COMPUTED_VALUE"""),"प्रबभूव नालं अवलोकयितुं परितः सरोजरजसारुणितं । सरिदुत्तरीयं इव संहतिमत्स तरङ्गरङ्गि कलहंसकुलं ||")</f>
        <v>प्रबभूव नालं अवलोकयितुं परितः सरोजरजसारुणितं । सरिदुत्तरीयं इव संहतिमत्स तरङ्गरङ्गि कलहंसकुलं ||</v>
      </c>
      <c r="B5262" s="4" t="s">
        <v>11</v>
      </c>
      <c r="C5262" s="4"/>
    </row>
    <row r="5263" spans="1:3" ht="24" customHeight="1">
      <c r="A5263" s="4" t="str">
        <f ca="1">IFERROR(__xludf.DUMMYFUNCTION("""COMPUTED_VALUE"""),"दधति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||")</f>
        <v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||</v>
      </c>
      <c r="B5263" s="4" t="s">
        <v>24</v>
      </c>
      <c r="C5263" s="4"/>
    </row>
    <row r="5264" spans="1:3" ht="24" customHeight="1">
      <c r="A5264" s="4" t="str">
        <f ca="1">IFERROR(__xludf.DUMMYFUNCTION("""COMPUTED_VALUE"""),"अनुहेमवप्रं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||")</f>
        <v>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||</v>
      </c>
      <c r="B5264" s="4" t="s">
        <v>2</v>
      </c>
      <c r="C5264" s="4"/>
    </row>
    <row r="5265" spans="1:3" ht="24" customHeight="1">
      <c r="A5265" s="4" t="str">
        <f ca="1">IFERROR(__xludf.DUMMYFUNCTION("""COMPUTED_VALUE"""),"सितवाजिने निजगदू रुचयश्चलवीचिरागरचनापटवः । मणिजालं अम्भसि निमग्नं अपि स्फुरितं मनोगतं इवाकृतयः ||")</f>
        <v>सितवाजिने निजगदू रुचयश्चलवीचिरागरचनापटवः । मणिजालं अम्भसि निमग्नं अपि स्फुरितं मनोगतं इवाकृतयः ||</v>
      </c>
      <c r="B5265" s="4" t="s">
        <v>5</v>
      </c>
      <c r="C5265" s="4"/>
    </row>
    <row r="5266" spans="1:3" ht="24" customHeight="1">
      <c r="A5266" s="4" t="str">
        <f ca="1">IFERROR(__xludf.DUMMYFUNCTION("""COMPUTED_VALUE"""),"उपलाहतोद्धततरङ्गधृतं जविना विधूतविततं मरुता । स ददर्श केतकशिखाविशदं सरितः प्रहासं इव फेनं अपां ||")</f>
        <v>उपलाहतोद्धततरङ्गधृतं जविना विधूतविततं मरुता । स ददर्श केतकशिखाविशदं सरितः प्रहासं इव फेनं अपां ||</v>
      </c>
      <c r="B5266" s="4" t="s">
        <v>9</v>
      </c>
      <c r="C5266" s="4"/>
    </row>
    <row r="5267" spans="1:3" ht="24" customHeight="1">
      <c r="A5267" s="4" t="str">
        <f ca="1">IFERROR(__xludf.DUMMYFUNCTION("""COMPUTED_VALUE"""),"बहु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||")</f>
        <v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||</v>
      </c>
      <c r="B5267" s="4" t="s">
        <v>2</v>
      </c>
      <c r="C5267" s="4"/>
    </row>
    <row r="5268" spans="1:3" ht="24" customHeight="1">
      <c r="A5268" s="4" t="str">
        <f ca="1">IFERROR(__xludf.DUMMYFUNCTION("""COMPUTED_VALUE"""),"प्रतिबोधजृम्भणविभीनमुखी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||")</f>
        <v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||</v>
      </c>
      <c r="B5268" s="4" t="s">
        <v>20</v>
      </c>
      <c r="C5268" s="4"/>
    </row>
    <row r="5269" spans="1:3" ht="24" customHeight="1">
      <c r="A5269" s="4" t="str">
        <f ca="1">IFERROR(__xludf.DUMMYFUNCTION("""COMPUTED_VALUE"""),"शुचिरप्सु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||")</f>
        <v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||</v>
      </c>
      <c r="B5269" s="4" t="s">
        <v>2</v>
      </c>
      <c r="C5269" s="4"/>
    </row>
    <row r="5270" spans="1:3" ht="24" customHeight="1">
      <c r="A5270" s="4" t="str">
        <f ca="1">IFERROR(__xludf.DUMMYFUNCTION("""COMPUTED_VALUE"""),"उपलभ्य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||")</f>
        <v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||</v>
      </c>
      <c r="B5270" s="4" t="s">
        <v>7</v>
      </c>
      <c r="C5270" s="4"/>
    </row>
    <row r="5271" spans="1:3" ht="24" customHeight="1">
      <c r="A5271" s="4" t="str">
        <f ca="1">IFERROR(__xludf.DUMMYFUNCTION("""COMPUTED_VALUE"""),"स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||")</f>
        <v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||</v>
      </c>
      <c r="B5271" s="4" t="s">
        <v>11</v>
      </c>
      <c r="C5271" s="4"/>
    </row>
    <row r="5272" spans="1:3" ht="24" customHeight="1">
      <c r="A5272" s="4" t="str">
        <f ca="1">IFERROR(__xludf.DUMMYFUNCTION("""COMPUTED_VALUE"""),"स ततार सैकतवतीरभितः शफरीपरिस्फुरितचारुदृशः । ललिताः सखीरिव बृहज्जघनाः सुरनिम्नगां उपयतीः सरितः ||")</f>
        <v>स ततार सैकतवतीरभितः शफरीपरिस्फुरितचारुदृशः । ललिताः सखीरिव बृहज्जघनाः सुरनिम्नगां उपयतीः सरितः ||</v>
      </c>
      <c r="B5272" s="4" t="s">
        <v>2</v>
      </c>
      <c r="C5272" s="4"/>
    </row>
    <row r="5273" spans="1:3" ht="24" customHeight="1">
      <c r="A5273" s="4" t="str">
        <f ca="1">IFERROR(__xludf.DUMMYFUNCTION("""COMPUTED_VALUE"""),"अधिरुह्य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||")</f>
        <v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||</v>
      </c>
      <c r="B5273" s="4" t="s">
        <v>4</v>
      </c>
      <c r="C5273" s="4"/>
    </row>
    <row r="5274" spans="1:3" ht="24" customHeight="1">
      <c r="A5274" s="4" t="str">
        <f ca="1">IFERROR(__xludf.DUMMYFUNCTION("""COMPUTED_VALUE"""),"अनुसानु पुष्पितलताविततिः फलितोरुभूरुहविविक्तवनः । धृतिं आततान तनयस्य हरेस्तपसेऽधिवस्तुं अचलां अचलः ||")</f>
        <v>अनुसानु पुष्पितलताविततिः फलितोरुभूरुहविविक्तवनः । धृतिं आततान तनयस्य हरेस्तपसेऽधिवस्तुं अचलां अचलः ||</v>
      </c>
      <c r="B5274" s="4" t="s">
        <v>11</v>
      </c>
      <c r="C5274" s="4"/>
    </row>
    <row r="5275" spans="1:3" ht="24" customHeight="1">
      <c r="A5275" s="4" t="str">
        <f ca="1">IFERROR(__xludf.DUMMYFUNCTION("""COMPUTED_VALUE"""),"प्रणिधाय तत्र विधिनाथ धियं दधतः पुरातनमुनेर्मुनितां । श्रमं आदधावसुकरं न तपः किं इवावसादकरं आत्मवतां ||")</f>
        <v>प्रणिधाय तत्र विधिनाथ धियं दधतः पुरातनमुनेर्मुनितां । श्रमं आदधावसुकरं न तपः किं इवावसादकरं आत्मवतां ||</v>
      </c>
      <c r="B5275" s="4" t="s">
        <v>2</v>
      </c>
      <c r="C5275" s="4"/>
    </row>
    <row r="5276" spans="1:3" ht="24" customHeight="1">
      <c r="A5276" s="4" t="str">
        <f ca="1">IFERROR(__xludf.DUMMYFUNCTION("""COMPUTED_VALUE"""),"शमयन्धृतेन्द्रियशमैकसुखः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||")</f>
        <v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||</v>
      </c>
      <c r="B5276" s="4" t="s">
        <v>16</v>
      </c>
      <c r="C5276" s="4"/>
    </row>
    <row r="5277" spans="1:3" ht="24" customHeight="1">
      <c r="A5277" s="4" t="str">
        <f ca="1">IFERROR(__xludf.DUMMYFUNCTION("""COMPUTED_VALUE"""),"अधरीचकार च विवेकगुणादगुणेषु तस्य धियं अस्तवतः । प्रतिघातिनीं विषयसङ्गरतिं निरुपप्लवः शमसुखानुभवः ||")</f>
        <v>अधरीचकार च विवेकगुणादगुणेषु तस्य धियं अस्तवतः । प्रतिघातिनीं विषयसङ्गरतिं निरुपप्लवः शमसुखानुभवः ||</v>
      </c>
      <c r="B5277" s="4" t="s">
        <v>4</v>
      </c>
      <c r="C5277" s="4"/>
    </row>
    <row r="5278" spans="1:3" ht="24" customHeight="1">
      <c r="A5278" s="4" t="str">
        <f ca="1">IFERROR(__xludf.DUMMYFUNCTION("""COMPUTED_VALUE"""),"मनसा जपैः प्रणतिभिः प्रयतः समुपेयिवानधिपतिं स दिवः । सहजेतरे जयशमौ दधती बिभरांबभूव युगपन्महसी ||")</f>
        <v>मनसा जपैः प्रणतिभिः प्रयतः समुपेयिवानधिपतिं स दिवः । सहजेतरे जयशमौ दधती बिभरांबभूव युगपन्महसी ||</v>
      </c>
      <c r="B5278" s="4" t="s">
        <v>18</v>
      </c>
      <c r="C5278" s="4"/>
    </row>
    <row r="5279" spans="1:3" ht="24" customHeight="1">
      <c r="A5279" s="4" t="str">
        <f ca="1">IFERROR(__xludf.DUMMYFUNCTION("""COMPUTED_VALUE"""),"शिरसा हरिन्मणिनिभः स वहन्कृतजन्मनोऽभिषवणेन जटाः । उपमां ययावरुणदीधितिभिः परिमृष्टमूर्धनि तमालतरौ ||")</f>
        <v>शिरसा हरिन्मणिनिभः स वहन्कृतजन्मनोऽभिषवणेन जटाः । उपमां ययावरुणदीधितिभिः परिमृष्टमूर्धनि तमालतरौ ||</v>
      </c>
      <c r="B5279" s="4" t="s">
        <v>0</v>
      </c>
      <c r="C5279" s="4"/>
    </row>
    <row r="5280" spans="1:3" ht="24" customHeight="1">
      <c r="A5280" s="4" t="str">
        <f ca="1">IFERROR(__xludf.DUMMYFUNCTION("""COMPUTED_VALUE"""),"धृतहेतिरप्यधृतजिह्ममतिश्चरितैर्मुनीनधरयञ्शुचिभिः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||")</f>
        <v>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||</v>
      </c>
      <c r="B5280" s="4" t="s">
        <v>7</v>
      </c>
      <c r="C5280" s="4"/>
    </row>
    <row r="5281" spans="1:3" ht="24" customHeight="1">
      <c r="A5281" s="4" t="str">
        <f ca="1">IFERROR(__xludf.DUMMYFUNCTION("""COMPUTED_VALUE"""),"अनुकूलपातिनं अचण्डगतिं किरता सुगन्धिं अभितः पवनं । अवधीरितार्तवगुणं सुखतां नयता रुचां निचयं अंशुमतः ||")</f>
        <v>अनुकूलपातिनं अचण्डगतिं किरता सुगन्धिं अभितः पवनं । अवधीरितार्तवगुणं सुखतां नयता रुचां निचयं अंशुमतः ||</v>
      </c>
      <c r="B5281" s="4" t="s">
        <v>2</v>
      </c>
      <c r="C5281" s="4"/>
    </row>
    <row r="5282" spans="1:3" ht="24" customHeight="1">
      <c r="A5282" s="4" t="str">
        <f ca="1">IFERROR(__xludf.DUMMYFUNCTION("""COMPUTED_VALUE"""),"नवपल्लवाञ्जलिभृतः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||")</f>
        <v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||</v>
      </c>
      <c r="B5282" s="4" t="s">
        <v>20</v>
      </c>
      <c r="C5282" s="4"/>
    </row>
    <row r="5283" spans="1:3" ht="24" customHeight="1">
      <c r="A5283" s="4" t="str">
        <f ca="1">IFERROR(__xludf.DUMMYFUNCTION("""COMPUTED_VALUE"""),"पतितैरपेतजलदान्नभसः पृषतैरपां शमयता च रजः । स दयालुनेव परिगाढकृशः परिचर्ययानुजगृहे तपसा ||")</f>
        <v>पतितैरपेतजलदान्नभसः पृषतैरपां शमयता च रजः । स दयालुनेव परिगाढकृशः परिचर्ययानुजगृहे तपसा ||</v>
      </c>
      <c r="B5283" s="4" t="s">
        <v>18</v>
      </c>
      <c r="C5283" s="4"/>
    </row>
    <row r="5284" spans="1:3" ht="24" customHeight="1">
      <c r="A5284" s="4" t="str">
        <f ca="1">IFERROR(__xludf.DUMMYFUNCTION("""COMPUTED_VALUE"""),"महते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||")</f>
        <v>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||</v>
      </c>
      <c r="B5284" s="4" t="s">
        <v>7</v>
      </c>
      <c r="C5284" s="4"/>
    </row>
    <row r="5285" spans="1:3" ht="24" customHeight="1">
      <c r="A5285" s="4" t="str">
        <f ca="1">IFERROR(__xludf.DUMMYFUNCTION("""COMPUTED_VALUE"""),"तदभूरिवासरकृतं सुकृतैरुपलभ्य वैभवं अनन्यभवं । उपतस्थुरास्थितविषादधियः शतयज्वनो वनचरा वसतिं ||")</f>
        <v>तदभूरिवासरकृतं सुकृतैरुपलभ्य वैभवं अनन्यभवं । उपतस्थुरास्थितविषादधियः शतयज्वनो वनचरा वसतिं ||</v>
      </c>
      <c r="B5285" s="4" t="s">
        <v>2</v>
      </c>
      <c r="C5285" s="4"/>
    </row>
    <row r="5286" spans="1:3" ht="24" customHeight="1">
      <c r="A5286" s="4" t="str">
        <f ca="1">IFERROR(__xludf.DUMMYFUNCTION("""COMPUTED_VALUE"""),"विदिताः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||")</f>
        <v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||</v>
      </c>
      <c r="B5286" s="4" t="s">
        <v>17</v>
      </c>
      <c r="C5286" s="4"/>
    </row>
    <row r="5287" spans="1:3" ht="24" customHeight="1">
      <c r="A5287" s="4" t="str">
        <f ca="1">IFERROR(__xludf.DUMMYFUNCTION("""COMPUTED_VALUE"""),"शुचिवल्कवीततनुरन्यतमस्तिमिरच्छिदां इव गिरौ भवतः । महते जयाय मघवन्ननघः पुरुषस्तपस्यति तपज्जगतीं ||")</f>
        <v>शुचिवल्कवीततनुरन्यतमस्तिमिरच्छिदां इव गिरौ भवतः । महते जयाय मघवन्ननघः पुरुषस्तपस्यति तपज्जगतीं ||</v>
      </c>
      <c r="B5287" s="4" t="s">
        <v>2</v>
      </c>
      <c r="C5287" s="4"/>
    </row>
    <row r="5288" spans="1:3" ht="24" customHeight="1">
      <c r="A5288" s="4" t="str">
        <f ca="1">IFERROR(__xludf.DUMMYFUNCTION("""COMPUTED_VALUE"""),"स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||")</f>
        <v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||</v>
      </c>
      <c r="B5288" s="4" t="s">
        <v>5</v>
      </c>
      <c r="C5288" s="4"/>
    </row>
    <row r="5289" spans="1:3" ht="24" customHeight="1">
      <c r="A5289" s="4" t="str">
        <f ca="1">IFERROR(__xludf.DUMMYFUNCTION("""COMPUTED_VALUE"""),"मरुतः शिवा नवतृणा जगती विमलं नभो रजसि वृष्टिरपां । गुणसम्पदानुगुणतां गमितः कुरुतेऽस्य भक्तिं इव भूतगणः ||")</f>
        <v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||</v>
      </c>
      <c r="B5289" s="4" t="s">
        <v>7</v>
      </c>
      <c r="C5289" s="4"/>
    </row>
    <row r="5290" spans="1:3" ht="24" customHeight="1">
      <c r="A5290" s="4" t="str">
        <f ca="1">IFERROR(__xludf.DUMMYFUNCTION("""COMPUTED_VALUE"""),"इतरेतरानभिभवेन मृगास्तं उपासते गुरुं इवान्तसदः । विनमन्ति चास्य तरवः प्रचये परवान्स तेन भवतेव नगः ||")</f>
        <v>इतरेतरानभिभवेन मृगास्तं उपासते गुरुं इवान्तसदः । विनमन्ति चास्य तरवः प्रचये परवान्स तेन भवतेव नगः ||</v>
      </c>
      <c r="B5290" s="4" t="s">
        <v>15</v>
      </c>
      <c r="C5290" s="4"/>
    </row>
    <row r="5291" spans="1:3" ht="24" customHeight="1">
      <c r="A5291" s="4" t="str">
        <f ca="1">IFERROR(__xludf.DUMMYFUNCTION("""COMPUTED_VALUE"""),"उरु सत्त्वं आह विपरिश्रमता परमं वपुः प्रथयतीव जयं । शमिनोऽपि तस्य नवसंगमने विभुतानुषङ्गि भयं एति जनः ||")</f>
        <v>उरु सत्त्वं आह विपरिश्रमता परमं वपुः प्रथयतीव जयं । शमिनोऽपि तस्य नवसंगमने विभुतानुषङ्गि भयं एति जनः ||</v>
      </c>
      <c r="B5291" s="4" t="s">
        <v>1</v>
      </c>
      <c r="C5291" s="4"/>
    </row>
    <row r="5292" spans="1:3" ht="24" customHeight="1">
      <c r="A5292" s="4" t="str">
        <f ca="1">IFERROR(__xludf.DUMMYFUNCTION("""COMPUTED_VALUE"""),"ऋषिवंशजः स यदि दैत्यकुले यदि वान्वये महति भूमिभृतां । चरतस्तपस्तव वनेषु सदा न वयं निरूपयितुं अस्य गतिं ||")</f>
        <v>ऋषिवंशजः स यदि दैत्यकुले यदि वान्वये महति भूमिभृतां । चरतस्तपस्तव वनेषु सदा न वयं निरूपयितुं अस्य गतिं ||</v>
      </c>
      <c r="B5292" s="4" t="s">
        <v>2</v>
      </c>
      <c r="C5292" s="4"/>
    </row>
    <row r="5293" spans="1:3" ht="24" customHeight="1">
      <c r="A5293" s="4" t="str">
        <f ca="1">IFERROR(__xludf.DUMMYFUNCTION("""COMPUTED_VALUE"""),"विगणय्य कारणं अनेकगुणं निजयाथवा कथितं अल्पतया । असदप्यदः सहितुं अर्हति नः क्व वनेचराः क्व निपुणा मतयः ||")</f>
        <v>विगणय्य कारणं अनेकगुणं निजयाथवा कथितं अल्पतया । असदप्यदः सहितुं अर्हति नः क्व वनेचराः क्व निपुणा मतयः ||</v>
      </c>
      <c r="B5293" s="4" t="s">
        <v>5</v>
      </c>
      <c r="C5293" s="4"/>
    </row>
    <row r="5294" spans="1:3" ht="24" customHeight="1">
      <c r="A5294" s="4" t="str">
        <f ca="1">IFERROR(__xludf.DUMMYFUNCTION("""COMPUTED_VALUE"""),"अधिगम्य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||")</f>
        <v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||</v>
      </c>
      <c r="B5294" s="4" t="s">
        <v>5</v>
      </c>
      <c r="C5294" s="4"/>
    </row>
    <row r="5295" spans="1:3" ht="24" customHeight="1">
      <c r="A5295" s="4" t="str">
        <f ca="1">IFERROR(__xludf.DUMMYFUNCTION("""COMPUTED_VALUE"""),"प्रणिधाय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||")</f>
        <v>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||</v>
      </c>
      <c r="B5295" s="4" t="s">
        <v>20</v>
      </c>
      <c r="C5295" s="4"/>
    </row>
    <row r="5296" spans="1:3" ht="24" customHeight="1">
      <c r="A5296" s="4" t="str">
        <f ca="1">IFERROR(__xludf.DUMMYFUNCTION("""COMPUTED_VALUE"""),"सुकुमारं एकं अणु मर्मभिदां अतिदूरगं युतं अमोघतया । अविपक्षं अस्त्रं अपरं कतमद्विजयाय यूयं इव चित्तभुवः ||")</f>
        <v>सुकुमारं एकं अणु मर्मभिदां अतिदूरगं युतं अमोघतया । अविपक्षं अस्त्रं अपरं कतमद्विजयाय यूयं इव चित्तभुवः ||</v>
      </c>
      <c r="B5296" s="4" t="s">
        <v>4</v>
      </c>
      <c r="C5296" s="4"/>
    </row>
    <row r="5297" spans="1:3" ht="24" customHeight="1">
      <c r="A5297" s="4" t="str">
        <f ca="1">IFERROR(__xludf.DUMMYFUNCTION("""COMPUTED_VALUE"""),"भववीतये हतबृहत्तमसां अवबोधवारि रजसः शमनं । परिपीयमाणं इव वोऽसकलैरवसादं एति नयनाञ्जलिभिः ||")</f>
        <v>भववीतये हतबृहत्तमसां अवबोधवारि रजसः शमनं । परिपीयमाणं इव वोऽसकलैरवसादं एति नयनाञ्जलिभिः ||</v>
      </c>
      <c r="B5297" s="4" t="s">
        <v>6</v>
      </c>
      <c r="C5297" s="4"/>
    </row>
    <row r="5298" spans="1:3" ht="24" customHeight="1">
      <c r="A5298" s="4" t="str">
        <f ca="1">IFERROR(__xludf.DUMMYFUNCTION("""COMPUTED_VALUE"""),"बहुधा गतां जगति भूतसृजा कमनीयतां समभिहृत्य पुरा । उपपादिता विदधता भवतीः सुरसद्मयानसुमुखी जनता ||")</f>
        <v>बहुधा गतां जगति भूतसृजा कमनीयतां समभिहृत्य पुरा । उपपादिता विदधता भवतीः सुरसद्मयानसुमुखी जनता ||</v>
      </c>
      <c r="B5298" s="4" t="s">
        <v>2</v>
      </c>
      <c r="C5298" s="4"/>
    </row>
    <row r="5299" spans="1:3" ht="24" customHeight="1">
      <c r="A5299" s="4" t="str">
        <f ca="1">IFERROR(__xludf.DUMMYFUNCTION("""COMPUTED_VALUE"""),"तदुपेत्य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||")</f>
        <v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||</v>
      </c>
      <c r="B5299" s="4" t="s">
        <v>2</v>
      </c>
      <c r="C5299" s="4"/>
    </row>
    <row r="5300" spans="1:3" ht="24" customHeight="1">
      <c r="A5300" s="4" t="str">
        <f ca="1">IFERROR(__xludf.DUMMYFUNCTION("""COMPUTED_VALUE"""),"अविमृष्यं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||")</f>
        <v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||</v>
      </c>
      <c r="B5300" s="4" t="s">
        <v>10</v>
      </c>
      <c r="C5300" s="4"/>
    </row>
    <row r="5301" spans="1:3" ht="24" customHeight="1">
      <c r="A5301" s="4" t="str">
        <f ca="1">IFERROR(__xludf.DUMMYFUNCTION("""COMPUTED_VALUE"""),"पृथुदाम्नि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||")</f>
        <v>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||</v>
      </c>
      <c r="B5301" s="4" t="s">
        <v>5</v>
      </c>
      <c r="C5301" s="4"/>
    </row>
    <row r="5302" spans="1:3" ht="24" customHeight="1">
      <c r="A5302" s="4" t="str">
        <f ca="1">IFERROR(__xludf.DUMMYFUNCTION("""COMPUTED_VALUE"""),"आशंसितापचितिचारु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||")</f>
        <v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||</v>
      </c>
      <c r="B5302" s="4" t="s">
        <v>3</v>
      </c>
      <c r="C5302" s="4"/>
    </row>
    <row r="5303" spans="1:3" ht="24" customHeight="1">
      <c r="A5303" s="4" t="str">
        <f ca="1">IFERROR(__xludf.DUMMYFUNCTION("""COMPUTED_VALUE"""),"प्रणतिं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||")</f>
        <v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||</v>
      </c>
      <c r="B5303" s="4" t="s">
        <v>0</v>
      </c>
      <c r="C5303" s="4"/>
    </row>
    <row r="5304" spans="1:3" ht="24" customHeight="1">
      <c r="A5304" s="4" t="str">
        <f ca="1">IFERROR(__xludf.DUMMYFUNCTION("""COMPUTED_VALUE"""),"श्रीमद्भिः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||")</f>
        <v>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||</v>
      </c>
      <c r="B5304" s="4" t="s">
        <v>17</v>
      </c>
      <c r="C5304" s="4"/>
    </row>
    <row r="5305" spans="1:3" ht="24" customHeight="1">
      <c r="A5305" s="4" t="str">
        <f ca="1">IFERROR(__xludf.DUMMYFUNCTION("""COMPUTED_VALUE"""),"सोत्कण्ठैरमरगणैरनुप्रकीर्णान्निर्याय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||")</f>
        <v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||</v>
      </c>
      <c r="B5305" s="4" t="s">
        <v>0</v>
      </c>
      <c r="C5305" s="4"/>
    </row>
    <row r="5306" spans="1:3" ht="24" customHeight="1">
      <c r="A5306" s="4" t="str">
        <f ca="1">IFERROR(__xludf.DUMMYFUNCTION("""COMPUTED_VALUE"""),"धूतानां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||")</f>
        <v>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||</v>
      </c>
      <c r="B5306" s="4" t="s">
        <v>15</v>
      </c>
      <c r="C5306" s="4"/>
    </row>
    <row r="5307" spans="1:3" ht="24" customHeight="1">
      <c r="A5307" s="4" t="str">
        <f ca="1">IFERROR(__xludf.DUMMYFUNCTION("""COMPUTED_VALUE"""),"तिष्ठद्भिः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||")</f>
        <v>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||</v>
      </c>
      <c r="B5307" s="4" t="s">
        <v>2</v>
      </c>
      <c r="C5307" s="4"/>
    </row>
    <row r="5308" spans="1:3" ht="24" customHeight="1">
      <c r="A5308" s="4" t="str">
        <f ca="1">IFERROR(__xludf.DUMMYFUNCTION("""COMPUTED_VALUE"""),"कान्तानां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||")</f>
        <v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||</v>
      </c>
      <c r="B5308" s="4" t="s">
        <v>2</v>
      </c>
      <c r="C5308" s="4"/>
    </row>
    <row r="5309" spans="1:3" ht="24" customHeight="1">
      <c r="A5309" s="4" t="str">
        <f ca="1">IFERROR(__xludf.DUMMYFUNCTION("""COMPUTED_VALUE"""),"राजद्भिः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||")</f>
        <v>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||</v>
      </c>
      <c r="B5309" s="4" t="s">
        <v>19</v>
      </c>
      <c r="C5309" s="4"/>
    </row>
    <row r="5310" spans="1:3" ht="24" customHeight="1">
      <c r="A5310" s="4" t="str">
        <f ca="1">IFERROR(__xludf.DUMMYFUNCTION("""COMPUTED_VALUE"""),"रामाणां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||")</f>
        <v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||</v>
      </c>
      <c r="B5310" s="4" t="s">
        <v>2</v>
      </c>
      <c r="C5310" s="4"/>
    </row>
    <row r="5311" spans="1:3" ht="24" customHeight="1">
      <c r="A5311" s="4" t="str">
        <f ca="1">IFERROR(__xludf.DUMMYFUNCTION("""COMPUTED_VALUE"""),"सिन्दूरैः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||")</f>
        <v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||</v>
      </c>
      <c r="B5311" s="4" t="s">
        <v>17</v>
      </c>
      <c r="C5311" s="4"/>
    </row>
    <row r="5312" spans="1:3" ht="24" customHeight="1">
      <c r="A5312" s="4" t="str">
        <f ca="1">IFERROR(__xludf.DUMMYFUNCTION("""COMPUTED_VALUE"""),"अत्यर्थं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||")</f>
        <v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||</v>
      </c>
      <c r="B5312" s="4" t="s">
        <v>1</v>
      </c>
      <c r="C5312" s="4"/>
    </row>
    <row r="5313" spans="1:3" ht="24" customHeight="1">
      <c r="A5313" s="4" t="str">
        <f ca="1">IFERROR(__xludf.DUMMYFUNCTION("""COMPUTED_VALUE"""),"आमत्तभ्रमरकुलाकुलानि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||")</f>
        <v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||</v>
      </c>
      <c r="B5313" s="4" t="s">
        <v>4</v>
      </c>
      <c r="C5313" s="4"/>
    </row>
    <row r="5314" spans="1:3" ht="24" customHeight="1">
      <c r="A5314" s="4" t="str">
        <f ca="1">IFERROR(__xludf.DUMMYFUNCTION("""COMPUTED_VALUE"""),"सम्भिन्नैरिभतुरगावगाहनेन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||")</f>
        <v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||</v>
      </c>
      <c r="B5314" s="4" t="s">
        <v>6</v>
      </c>
      <c r="C5314" s="4"/>
    </row>
    <row r="5315" spans="1:3" ht="24" customHeight="1">
      <c r="A5315" s="4" t="str">
        <f ca="1">IFERROR(__xludf.DUMMYFUNCTION("""COMPUTED_VALUE"""),"क्रान्तानां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||")</f>
        <v>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||</v>
      </c>
      <c r="B5315" s="4" t="s">
        <v>13</v>
      </c>
      <c r="C5315" s="4"/>
    </row>
    <row r="5316" spans="1:3" ht="24" customHeight="1">
      <c r="A5316" s="4" t="str">
        <f ca="1">IFERROR(__xludf.DUMMYFUNCTION("""COMPUTED_VALUE"""),"तप्तानां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||")</f>
        <v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||</v>
      </c>
      <c r="B5316" s="4" t="s">
        <v>2</v>
      </c>
      <c r="C5316" s="4"/>
    </row>
    <row r="5317" spans="1:3" ht="24" customHeight="1">
      <c r="A5317" s="4" t="str">
        <f ca="1">IFERROR(__xludf.DUMMYFUNCTION("""COMPUTED_VALUE"""),"संवाता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||")</f>
        <v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||</v>
      </c>
      <c r="B5317" s="4" t="s">
        <v>4</v>
      </c>
      <c r="C5317" s="4"/>
    </row>
    <row r="5318" spans="1:3" ht="24" customHeight="1">
      <c r="A5318" s="4" t="str">
        <f ca="1">IFERROR(__xludf.DUMMYFUNCTION("""COMPUTED_VALUE"""),"प्रत्यार्द्रीकृततिलकास्तुषारपातैः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||")</f>
        <v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||</v>
      </c>
      <c r="B5318" s="4" t="s">
        <v>13</v>
      </c>
      <c r="C5318" s="4"/>
    </row>
    <row r="5319" spans="1:3" ht="24" customHeight="1">
      <c r="A5319" s="4" t="str">
        <f ca="1">IFERROR(__xludf.DUMMYFUNCTION("""COMPUTED_VALUE"""),"यातस्य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||")</f>
        <v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||</v>
      </c>
      <c r="B5319" s="4" t="s">
        <v>1</v>
      </c>
      <c r="C5319" s="4"/>
    </row>
    <row r="5320" spans="1:3" ht="24" customHeight="1">
      <c r="A5320" s="4" t="str">
        <f ca="1">IFERROR(__xludf.DUMMYFUNCTION("""COMPUTED_VALUE"""),"संसिद्धाविति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||")</f>
        <v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||</v>
      </c>
      <c r="B5320" s="4" t="s">
        <v>11</v>
      </c>
      <c r="C5320" s="4"/>
    </row>
    <row r="5321" spans="1:3" ht="24" customHeight="1">
      <c r="A5321" s="4" t="str">
        <f ca="1">IFERROR(__xludf.DUMMYFUNCTION("""COMPUTED_VALUE"""),"आकीर्णा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||")</f>
        <v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||</v>
      </c>
      <c r="B5321" s="4" t="s">
        <v>3</v>
      </c>
      <c r="C5321" s="4"/>
    </row>
    <row r="5322" spans="1:3" ht="24" customHeight="1">
      <c r="A5322" s="4" t="str">
        <f ca="1">IFERROR(__xludf.DUMMYFUNCTION("""COMPUTED_VALUE"""),"सेतुत्वं दधति पय्ॐउचां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||")</f>
        <v>सेतुत्वं दधति पय्ॐउचां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||</v>
      </c>
      <c r="B5322" s="4" t="s">
        <v>15</v>
      </c>
      <c r="C5322" s="4"/>
    </row>
    <row r="5323" spans="1:3" ht="24" customHeight="1">
      <c r="A5323" s="4" t="str">
        <f ca="1">IFERROR(__xludf.DUMMYFUNCTION("""COMPUTED_VALUE"""),"माहेन्द्रं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||")</f>
        <v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||</v>
      </c>
      <c r="B5323" s="4" t="s">
        <v>0</v>
      </c>
      <c r="C5323" s="4"/>
    </row>
    <row r="5324" spans="1:3" ht="24" customHeight="1">
      <c r="A5324" s="4" t="str">
        <f ca="1">IFERROR(__xludf.DUMMYFUNCTION("""COMPUTED_VALUE"""),"उत्सङ्गे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तुरङ्गमाणां ||")</f>
        <v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तुरङ्गमाणां ||</v>
      </c>
      <c r="B5324" s="4" t="s">
        <v>7</v>
      </c>
      <c r="C5324" s="4"/>
    </row>
    <row r="5325" spans="1:3" ht="24" customHeight="1">
      <c r="A5325" s="4" t="str">
        <f ca="1">IFERROR(__xludf.DUMMYFUNCTION("""COMPUTED_VALUE"""),"सध्वानं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||")</f>
        <v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||</v>
      </c>
      <c r="B5325" s="4" t="s">
        <v>1</v>
      </c>
      <c r="C5325" s="4"/>
    </row>
    <row r="5326" spans="1:3" ht="24" customHeight="1">
      <c r="A5326" s="4" t="str">
        <f ca="1">IFERROR(__xludf.DUMMYFUNCTION("""COMPUTED_VALUE"""),"सम्भिन्नां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||")</f>
        <v>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||</v>
      </c>
      <c r="B5326" s="4" t="s">
        <v>4</v>
      </c>
      <c r="C5326" s="4"/>
    </row>
    <row r="5327" spans="1:3" ht="24" customHeight="1">
      <c r="A5327" s="4" t="str">
        <f ca="1">IFERROR(__xludf.DUMMYFUNCTION("""COMPUTED_VALUE"""),"आसन्नद्विपपदवीमदानिलाय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||")</f>
        <v>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||</v>
      </c>
      <c r="B5327" s="4" t="s">
        <v>13</v>
      </c>
      <c r="C5327" s="4"/>
    </row>
    <row r="5328" spans="1:3" ht="24" customHeight="1">
      <c r="A5328" s="4" t="str">
        <f ca="1">IFERROR(__xludf.DUMMYFUNCTION("""COMPUTED_VALUE"""),"नीरन्ध्रं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||")</f>
        <v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||</v>
      </c>
      <c r="B5328" s="4" t="s">
        <v>5</v>
      </c>
      <c r="C5328" s="4"/>
    </row>
    <row r="5329" spans="1:3" ht="24" customHeight="1">
      <c r="A5329" s="4" t="str">
        <f ca="1">IFERROR(__xludf.DUMMYFUNCTION("""COMPUTED_VALUE"""),"सम्भोगक्षमगहनां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||")</f>
        <v>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||</v>
      </c>
      <c r="B5329" s="4" t="s">
        <v>0</v>
      </c>
      <c r="C5329" s="4"/>
    </row>
    <row r="5330" spans="1:3" ht="24" customHeight="1">
      <c r="A5330" s="4" t="str">
        <f ca="1">IFERROR(__xludf.DUMMYFUNCTION("""COMPUTED_VALUE"""),"भूभर्तुः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||")</f>
        <v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||</v>
      </c>
      <c r="B5330" s="4" t="s">
        <v>15</v>
      </c>
      <c r="C5330" s="4"/>
    </row>
    <row r="5331" spans="1:3" ht="24" customHeight="1">
      <c r="A5331" s="4" t="str">
        <f ca="1">IFERROR(__xludf.DUMMYFUNCTION("""COMPUTED_VALUE"""),"सामोदाः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||")</f>
        <v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||</v>
      </c>
      <c r="B5331" s="4" t="s">
        <v>13</v>
      </c>
      <c r="C5331" s="4"/>
    </row>
    <row r="5332" spans="1:3" ht="24" customHeight="1">
      <c r="A5332" s="4" t="str">
        <f ca="1">IFERROR(__xludf.DUMMYFUNCTION("""COMPUTED_VALUE"""),"क्लान्तोऽपि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||")</f>
        <v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||</v>
      </c>
      <c r="B5332" s="4" t="s">
        <v>1</v>
      </c>
      <c r="C5332" s="4"/>
    </row>
    <row r="5333" spans="1:3" ht="24" customHeight="1">
      <c r="A5333" s="4" t="str">
        <f ca="1">IFERROR(__xludf.DUMMYFUNCTION("""COMPUTED_VALUE"""),"उत्सृष्टध्वजकुथकङ्कटा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||")</f>
        <v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||</v>
      </c>
      <c r="B5333" s="4" t="s">
        <v>3</v>
      </c>
      <c r="C5333" s="4"/>
    </row>
    <row r="5334" spans="1:3" ht="24" customHeight="1">
      <c r="A5334" s="4" t="str">
        <f ca="1">IFERROR(__xludf.DUMMYFUNCTION("""COMPUTED_VALUE"""),"प्रस्थानश्रमजनितां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||")</f>
        <v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||</v>
      </c>
      <c r="B5334" s="4" t="s">
        <v>8</v>
      </c>
      <c r="C5334" s="4"/>
    </row>
    <row r="5335" spans="1:3" ht="24" customHeight="1">
      <c r="A5335" s="4" t="str">
        <f ca="1">IFERROR(__xludf.DUMMYFUNCTION("""COMPUTED_VALUE"""),"आयस्तः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||")</f>
        <v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||</v>
      </c>
      <c r="B5335" s="4" t="s">
        <v>15</v>
      </c>
      <c r="C5335" s="4"/>
    </row>
    <row r="5336" spans="1:3" ht="24" customHeight="1">
      <c r="A5336" s="4" t="str">
        <f ca="1">IFERROR(__xludf.DUMMYFUNCTION("""COMPUTED_VALUE"""),"आरोढुः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||")</f>
        <v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||</v>
      </c>
      <c r="B5336" s="4" t="s">
        <v>7</v>
      </c>
      <c r="C5336" s="4"/>
    </row>
    <row r="5337" spans="1:3" ht="24" customHeight="1">
      <c r="A5337" s="4" t="str">
        <f ca="1">IFERROR(__xludf.DUMMYFUNCTION("""COMPUTED_VALUE"""),"आघ्राय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||")</f>
        <v>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||</v>
      </c>
      <c r="B5337" s="4" t="s">
        <v>1</v>
      </c>
      <c r="C5337" s="4"/>
    </row>
    <row r="5338" spans="1:3" ht="24" customHeight="1">
      <c r="A5338" s="4" t="str">
        <f ca="1">IFERROR(__xludf.DUMMYFUNCTION("""COMPUTED_VALUE"""),"प्रश्च्योतन्मदसुरभीणि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||")</f>
        <v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||</v>
      </c>
      <c r="B5338" s="4" t="s">
        <v>11</v>
      </c>
      <c r="C5338" s="4"/>
    </row>
    <row r="5339" spans="1:3" ht="24" customHeight="1">
      <c r="A5339" s="4" t="str">
        <f ca="1">IFERROR(__xludf.DUMMYFUNCTION("""COMPUTED_VALUE"""),"आकीर्णं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||")</f>
        <v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||</v>
      </c>
      <c r="B5339" s="4" t="s">
        <v>18</v>
      </c>
      <c r="C5339" s="4"/>
    </row>
    <row r="5340" spans="1:3" ht="24" customHeight="1">
      <c r="A5340" s="4" t="str">
        <f ca="1">IFERROR(__xludf.DUMMYFUNCTION("""COMPUTED_VALUE"""),"श्रीमद्भिर्नियमितकन्धरापरान्तैः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||")</f>
        <v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||</v>
      </c>
      <c r="B5340" s="4" t="s">
        <v>6</v>
      </c>
      <c r="C5340" s="4"/>
    </row>
    <row r="5341" spans="1:3" ht="24" customHeight="1">
      <c r="A5341" s="4" t="str">
        <f ca="1">IFERROR(__xludf.DUMMYFUNCTION("""COMPUTED_VALUE"""),"निःशेषं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||")</f>
        <v>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||</v>
      </c>
      <c r="B5341" s="4" t="s">
        <v>24</v>
      </c>
      <c r="C5341" s="4"/>
    </row>
    <row r="5342" spans="1:3" ht="24" customHeight="1">
      <c r="A5342" s="4" t="str">
        <f ca="1">IFERROR(__xludf.DUMMYFUNCTION("""COMPUTED_VALUE"""),"सादृश्यं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||")</f>
        <v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||</v>
      </c>
      <c r="B5342" s="4" t="s">
        <v>1</v>
      </c>
      <c r="C5342" s="4"/>
    </row>
    <row r="5343" spans="1:3" ht="24" customHeight="1">
      <c r="A5343" s="4" t="str">
        <f ca="1">IFERROR(__xludf.DUMMYFUNCTION("""COMPUTED_VALUE"""),"सास्रावसक्तकमनियपरिच्छदानां अध्वश्रमातुरवधूजनसेवितानां । जज्ञे निवेशनविभागपरिष्कृतानां लक्ष्मीः पुरोपवनजा वनपादपानां ||")</f>
        <v>सास्रावसक्तकमनियपरिच्छदानां अध्वश्रमातुरवधूजनसेवितानां । जज्ञे निवेशनविभागपरिष्कृतानां लक्ष्मीः पुरोपवनजा वनपादपानां ||</v>
      </c>
      <c r="B5343" s="4" t="s">
        <v>1</v>
      </c>
      <c r="C5343" s="4"/>
    </row>
    <row r="5344" spans="1:3" ht="24" customHeight="1">
      <c r="A5344" s="4" t="str">
        <f ca="1">IFERROR(__xludf.DUMMYFUNCTION("""COMPUTED_VALUE"""),"अथ स्वमायाकृतमन्दिरोज्ज्वलं ज्वलन्मणि व्य्ॐअसदां सनातनं । सुराङ्गना गोपतिचापगोपुरं पुरं वनानां विजिहीर्षया जहुः ||")</f>
        <v>अथ स्वमायाकृतमन्दिरोज्ज्वलं ज्वलन्मणि व्य्ॐअसदां सनातनं । सुराङ्गना गोपतिचापगोपुरं पुरं वनानां विजिहीर्षया जहुः ||</v>
      </c>
      <c r="B5344" s="4" t="s">
        <v>24</v>
      </c>
      <c r="C5344" s="4"/>
    </row>
    <row r="5345" spans="1:3" ht="24" customHeight="1">
      <c r="A5345" s="4" t="str">
        <f ca="1">IFERROR(__xludf.DUMMYFUNCTION("""COMPUTED_VALUE"""),"यथायथं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||")</f>
        <v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||</v>
      </c>
      <c r="B5345" s="4" t="s">
        <v>2</v>
      </c>
      <c r="C5345" s="4"/>
    </row>
    <row r="5346" spans="1:3" ht="24" customHeight="1">
      <c r="A5346" s="4" t="str">
        <f ca="1">IFERROR(__xludf.DUMMYFUNCTION("""COMPUTED_VALUE"""),"निवृत्तवृत्तोरुपयोधरक्लमः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||")</f>
        <v>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||</v>
      </c>
      <c r="B5346" s="4" t="s">
        <v>12</v>
      </c>
      <c r="C5346" s="4"/>
    </row>
    <row r="5347" spans="1:3" ht="24" customHeight="1">
      <c r="A5347" s="4" t="str">
        <f ca="1">IFERROR(__xludf.DUMMYFUNCTION("""COMPUTED_VALUE"""),"घनानि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||")</f>
        <v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||</v>
      </c>
      <c r="B5347" s="4" t="s">
        <v>1</v>
      </c>
      <c r="C5347" s="4"/>
    </row>
    <row r="5348" spans="1:3" ht="24" customHeight="1">
      <c r="A5348" s="4" t="str">
        <f ca="1">IFERROR(__xludf.DUMMYFUNCTION("""COMPUTED_VALUE"""),"तनूरलक्तारुणपाणिपल्लवाः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||")</f>
        <v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||</v>
      </c>
      <c r="B5348" s="4" t="s">
        <v>0</v>
      </c>
      <c r="C5348" s="4"/>
    </row>
    <row r="5349" spans="1:3" ht="24" customHeight="1">
      <c r="A5349" s="4" t="str">
        <f ca="1">IFERROR(__xludf.DUMMYFUNCTION("""COMPUTED_VALUE"""),"निपीयमानस्तबका शिलीमुखैरशोकयष्टिश्चलबालपल्लवा । विडम्बयन्ती ददृशे वधूजनैरमन्ददष्टौष्ठकरावधूननं ||")</f>
        <v>निपीयमानस्तबका शिलीमुखैरशोकयष्टिश्चलबालपल्लवा । विडम्बयन्ती ददृशे वधूजनैरमन्ददष्टौष्ठकरावधूननं ||</v>
      </c>
      <c r="B5349" s="4" t="s">
        <v>1</v>
      </c>
      <c r="C5349" s="4"/>
    </row>
    <row r="5350" spans="1:3" ht="24" customHeight="1">
      <c r="A5350" s="4" t="str">
        <f ca="1">IFERROR(__xludf.DUMMYFUNCTION("""COMPUTED_VALUE"""),"करौ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||")</f>
        <v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||</v>
      </c>
      <c r="B5350" s="4" t="s">
        <v>11</v>
      </c>
      <c r="C5350" s="4"/>
    </row>
    <row r="5351" spans="1:3" ht="24" customHeight="1">
      <c r="A5351" s="4" t="str">
        <f ca="1">IFERROR(__xludf.DUMMYFUNCTION("""COMPUTED_VALUE"""),"जहीहि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||")</f>
        <v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||</v>
      </c>
      <c r="B5351" s="4" t="s">
        <v>1</v>
      </c>
      <c r="C5351" s="4"/>
    </row>
    <row r="5352" spans="1:3" ht="24" customHeight="1">
      <c r="A5352" s="4" t="str">
        <f ca="1">IFERROR(__xludf.DUMMYFUNCTION("""COMPUTED_VALUE"""),"समुन्नतैः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||")</f>
        <v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||</v>
      </c>
      <c r="B5352" s="4" t="s">
        <v>2</v>
      </c>
      <c r="C5352" s="4"/>
    </row>
    <row r="5353" spans="1:3" ht="24" customHeight="1">
      <c r="A5353" s="4" t="str">
        <f ca="1">IFERROR(__xludf.DUMMYFUNCTION("""COMPUTED_VALUE"""),"विदूरपातेन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||")</f>
        <v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||</v>
      </c>
      <c r="B5353" s="4" t="s">
        <v>4</v>
      </c>
      <c r="C5353" s="4"/>
    </row>
    <row r="5354" spans="1:3" ht="24" customHeight="1">
      <c r="A5354" s="4" t="str">
        <f ca="1">IFERROR(__xludf.DUMMYFUNCTION("""COMPUTED_VALUE"""),"सखीजनं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||")</f>
        <v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||</v>
      </c>
      <c r="B5354" s="4" t="s">
        <v>2</v>
      </c>
      <c r="C5354" s="4"/>
    </row>
    <row r="5355" spans="1:3" ht="24" customHeight="1">
      <c r="A5355" s="4" t="str">
        <f ca="1">IFERROR(__xludf.DUMMYFUNCTION("""COMPUTED_VALUE"""),"उपेयुषीणां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||")</f>
        <v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||</v>
      </c>
      <c r="B5355" s="4" t="s">
        <v>1</v>
      </c>
      <c r="C5355" s="4"/>
    </row>
    <row r="5356" spans="1:3" ht="24" customHeight="1">
      <c r="A5356" s="4" t="str">
        <f ca="1">IFERROR(__xludf.DUMMYFUNCTION("""COMPUTED_VALUE"""),"स्वगोचरे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||")</f>
        <v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||</v>
      </c>
      <c r="B5356" s="4" t="s">
        <v>2</v>
      </c>
      <c r="C5356" s="4"/>
    </row>
    <row r="5357" spans="1:3" ht="24" customHeight="1">
      <c r="A5357" s="4" t="str">
        <f ca="1">IFERROR(__xludf.DUMMYFUNCTION("""COMPUTED_VALUE"""),"प्रयच्छतोच्चैः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||")</f>
        <v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||</v>
      </c>
      <c r="B5357" s="4" t="s">
        <v>4</v>
      </c>
      <c r="C5357" s="4"/>
    </row>
    <row r="5358" spans="1:3" ht="24" customHeight="1">
      <c r="A5358" s="4" t="str">
        <f ca="1">IFERROR(__xludf.DUMMYFUNCTION("""COMPUTED_VALUE"""),"प्रियेऽपरा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||")</f>
        <v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||</v>
      </c>
      <c r="B5358" s="4" t="s">
        <v>4</v>
      </c>
      <c r="C5358" s="4"/>
    </row>
    <row r="5359" spans="1:3" ht="24" customHeight="1">
      <c r="A5359" s="4" t="str">
        <f ca="1">IFERROR(__xludf.DUMMYFUNCTION("""COMPUTED_VALUE"""),"सलीलं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||")</f>
        <v>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||</v>
      </c>
      <c r="B5359" s="4" t="s">
        <v>5</v>
      </c>
      <c r="C5359" s="4"/>
    </row>
    <row r="5360" spans="1:3" ht="24" customHeight="1">
      <c r="A5360" s="4" t="str">
        <f ca="1">IFERROR(__xludf.DUMMYFUNCTION("""COMPUTED_VALUE"""),"कलत्रभारेण विलोलनीविना गलद्दुकूलस्तनशालिनोरसा । बलिव्यपायस्फुटर्ॐअराजिना निरायतत्वादुदरेण ताम्यता ||")</f>
        <v>कलत्रभारेण विलोलनीविना गलद्दुकूलस्तनशालिनोरसा । बलिव्यपायस्फुटर्ॐअराजिना निरायतत्वादुदरेण ताम्यता ||</v>
      </c>
      <c r="B5360" s="4" t="s">
        <v>2</v>
      </c>
      <c r="C5360" s="4"/>
    </row>
    <row r="5361" spans="1:3" ht="24" customHeight="1">
      <c r="A5361" s="4" t="str">
        <f ca="1">IFERROR(__xludf.DUMMYFUNCTION("""COMPUTED_VALUE"""),"विलम्बमानाकुलकेशपाशया कयाचिदाविष्कृतबाहुमूलया । तरुप्रसूनान्यपदिश्य सादरं मनोधिनाथस्य मनः समाददे ||")</f>
        <v>विलम्बमानाकुलकेशपाशया कयाचिदाविष्कृतबाहुमूलया । तरुप्रसूनान्यपदिश्य सादरं मनोधिनाथस्य मनः समाददे ||</v>
      </c>
      <c r="B5361" s="4" t="s">
        <v>17</v>
      </c>
      <c r="C5361" s="4"/>
    </row>
    <row r="5362" spans="1:3" ht="24" customHeight="1">
      <c r="A5362" s="4" t="str">
        <f ca="1">IFERROR(__xludf.DUMMYFUNCTION("""COMPUTED_VALUE"""),"व्यपोहितुं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||")</f>
        <v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||</v>
      </c>
      <c r="B5362" s="4" t="s">
        <v>1</v>
      </c>
      <c r="C5362" s="4"/>
    </row>
    <row r="5363" spans="1:3" ht="24" customHeight="1">
      <c r="A5363" s="4" t="str">
        <f ca="1">IFERROR(__xludf.DUMMYFUNCTION("""COMPUTED_VALUE"""),"इमान्यमूनीत्यपवर्जिते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||")</f>
        <v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||</v>
      </c>
      <c r="B5363" s="4" t="s">
        <v>20</v>
      </c>
      <c r="C5363" s="4"/>
    </row>
    <row r="5364" spans="1:3" ht="24" customHeight="1">
      <c r="A5364" s="4" t="str">
        <f ca="1">IFERROR(__xludf.DUMMYFUNCTION("""COMPUTED_VALUE"""),"प्रवालभङ्गारुणपाणिपल्लवः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||")</f>
        <v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||</v>
      </c>
      <c r="B5364" s="4" t="s">
        <v>1</v>
      </c>
      <c r="C5364" s="4"/>
    </row>
    <row r="5365" spans="1:3" ht="24" customHeight="1">
      <c r="A5365" s="4" t="str">
        <f ca="1">IFERROR(__xludf.DUMMYFUNCTION("""COMPUTED_VALUE"""),"वरोरुभिर्वारणहस्तपीवरैश्चिराय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||")</f>
        <v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||</v>
      </c>
      <c r="B5365" s="4" t="s">
        <v>17</v>
      </c>
      <c r="C5365" s="4"/>
    </row>
    <row r="5366" spans="1:3" ht="24" customHeight="1">
      <c r="A5366" s="4" t="str">
        <f ca="1">IFERROR(__xludf.DUMMYFUNCTION("""COMPUTED_VALUE"""),"विसारिकाञ्चीमणिरश्मिलब्धया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||")</f>
        <v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||</v>
      </c>
      <c r="B5366" s="4" t="s">
        <v>4</v>
      </c>
      <c r="C5366" s="4"/>
    </row>
    <row r="5367" spans="1:3" ht="24" customHeight="1">
      <c r="A5367" s="4" t="str">
        <f ca="1">IFERROR(__xludf.DUMMYFUNCTION("""COMPUTED_VALUE"""),"समुच्छ्वसत्पङ्कजकोशक्ॐअलैरुपाहितश्रीण्युपनीवि नाभिभिः । दधन्ति मध्येषु वलीविभङ्गिषु स्तनातिभारादुदराणि नम्रतां ||")</f>
        <v>समुच्छ्वसत्पङ्कजकोशक्ॐअलैरुपाहितश्रीण्युपनीवि नाभिभिः । दधन्ति मध्येषु वलीविभङ्गिषु स्तनातिभारादुदराणि नम्रतां ||</v>
      </c>
      <c r="B5367" s="4" t="s">
        <v>2</v>
      </c>
      <c r="C5367" s="4"/>
    </row>
    <row r="5368" spans="1:3" ht="24" customHeight="1">
      <c r="A5368" s="4" t="str">
        <f ca="1">IFERROR(__xludf.DUMMYFUNCTION("""COMPUTED_VALUE"""),"समानकान्तीनि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||")</f>
        <v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||</v>
      </c>
      <c r="B5368" s="4" t="s">
        <v>16</v>
      </c>
      <c r="C5368" s="4"/>
    </row>
    <row r="5369" spans="1:3" ht="24" customHeight="1">
      <c r="A5369" s="4" t="str">
        <f ca="1">IFERROR(__xludf.DUMMYFUNCTION("""COMPUTED_VALUE"""),"विनिर्यतीनां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||")</f>
        <v>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||</v>
      </c>
      <c r="B5369" s="4" t="s">
        <v>0</v>
      </c>
      <c r="C5369" s="4"/>
    </row>
    <row r="5370" spans="1:3" ht="24" customHeight="1">
      <c r="A5370" s="4" t="str">
        <f ca="1">IFERROR(__xludf.DUMMYFUNCTION("""COMPUTED_VALUE"""),"अथ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||")</f>
        <v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||</v>
      </c>
      <c r="B5370" s="4" t="s">
        <v>15</v>
      </c>
      <c r="C5370" s="4"/>
    </row>
    <row r="5371" spans="1:3" ht="24" customHeight="1">
      <c r="A5371" s="4" t="str">
        <f ca="1">IFERROR(__xludf.DUMMYFUNCTION("""COMPUTED_VALUE"""),"प्रशान्तघर्माभिभवः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||")</f>
        <v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||</v>
      </c>
      <c r="B5371" s="4" t="s">
        <v>11</v>
      </c>
      <c r="C5371" s="4"/>
    </row>
    <row r="5372" spans="1:3" ht="24" customHeight="1">
      <c r="A5372" s="4" t="str">
        <f ca="1">IFERROR(__xludf.DUMMYFUNCTION("""COMPUTED_VALUE"""),"गतैः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||")</f>
        <v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||</v>
      </c>
      <c r="B5372" s="4" t="s">
        <v>0</v>
      </c>
      <c r="C5372" s="4"/>
    </row>
    <row r="5373" spans="1:3" ht="24" customHeight="1">
      <c r="A5373" s="4" t="str">
        <f ca="1">IFERROR(__xludf.DUMMYFUNCTION("""COMPUTED_VALUE"""),"विभिन्नपर्यन्तगमीनपङ्क्तयः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||")</f>
        <v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||</v>
      </c>
      <c r="B5373" s="4" t="s">
        <v>0</v>
      </c>
      <c r="C5373" s="4"/>
    </row>
    <row r="5374" spans="1:3" ht="24" customHeight="1">
      <c r="A5374" s="4" t="str">
        <f ca="1">IFERROR(__xludf.DUMMYFUNCTION("""COMPUTED_VALUE"""),"विगाढमात्रे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||")</f>
        <v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||</v>
      </c>
      <c r="B5374" s="4" t="s">
        <v>2</v>
      </c>
      <c r="C5374" s="4"/>
    </row>
    <row r="5375" spans="1:3" ht="24" customHeight="1">
      <c r="A5375" s="4" t="str">
        <f ca="1">IFERROR(__xludf.DUMMYFUNCTION("""COMPUTED_VALUE"""),"शिलाघनैर्नाकसदां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||")</f>
        <v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||</v>
      </c>
      <c r="B5375" s="4" t="s">
        <v>18</v>
      </c>
      <c r="C5375" s="4"/>
    </row>
    <row r="5376" spans="1:3" ht="24" customHeight="1">
      <c r="A5376" s="4" t="str">
        <f ca="1">IFERROR(__xludf.DUMMYFUNCTION("""COMPUTED_VALUE"""),"विधूतकेशाः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||")</f>
        <v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||</v>
      </c>
      <c r="B5376" s="4" t="s">
        <v>5</v>
      </c>
      <c r="C5376" s="4"/>
    </row>
    <row r="5377" spans="1:3" ht="24" customHeight="1">
      <c r="A5377" s="4" t="str">
        <f ca="1">IFERROR(__xludf.DUMMYFUNCTION("""COMPUTED_VALUE"""),"विपक्षचित्तोन्मथना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||")</f>
        <v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||</v>
      </c>
      <c r="B5377" s="4" t="s">
        <v>5</v>
      </c>
      <c r="C5377" s="4"/>
    </row>
    <row r="5378" spans="1:3" ht="24" customHeight="1">
      <c r="A5378" s="4" t="str">
        <f ca="1">IFERROR(__xludf.DUMMYFUNCTION("""COMPUTED_VALUE"""),"सरोजपत्त्रे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||")</f>
        <v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||</v>
      </c>
      <c r="B5378" s="4" t="s">
        <v>11</v>
      </c>
      <c r="C5378" s="4"/>
    </row>
    <row r="5379" spans="1:3" ht="24" customHeight="1">
      <c r="A5379" s="4" t="str">
        <f ca="1">IFERROR(__xludf.DUMMYFUNCTION("""COMPUTED_VALUE"""),"अगूढहासस्फुटदन्तकेसरं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||")</f>
        <v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||</v>
      </c>
      <c r="B5379" s="4" t="s">
        <v>2</v>
      </c>
      <c r="C5379" s="4"/>
    </row>
    <row r="5380" spans="1:3" ht="24" customHeight="1">
      <c r="A5380" s="4" t="str">
        <f ca="1">IFERROR(__xludf.DUMMYFUNCTION("""COMPUTED_VALUE"""),"प्रियेण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||")</f>
        <v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||</v>
      </c>
      <c r="B5380" s="4" t="s">
        <v>1</v>
      </c>
      <c r="C5380" s="4"/>
    </row>
    <row r="5381" spans="1:3" ht="24" customHeight="1">
      <c r="A5381" s="4" t="str">
        <f ca="1">IFERROR(__xludf.DUMMYFUNCTION("""COMPUTED_VALUE"""),"असंशयं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||")</f>
        <v>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||</v>
      </c>
      <c r="B5381" s="4" t="s">
        <v>5</v>
      </c>
      <c r="C5381" s="4"/>
    </row>
    <row r="5382" spans="1:3" ht="24" customHeight="1">
      <c r="A5382" s="4" t="str">
        <f ca="1">IFERROR(__xludf.DUMMYFUNCTION("""COMPUTED_VALUE"""),"द्युतिं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||")</f>
        <v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||</v>
      </c>
      <c r="B5382" s="4" t="s">
        <v>5</v>
      </c>
      <c r="C5382" s="4"/>
    </row>
    <row r="5383" spans="1:3" ht="24" customHeight="1">
      <c r="A5383" s="4" t="str">
        <f ca="1">IFERROR(__xludf.DUMMYFUNCTION("""COMPUTED_VALUE"""),"विपत्त्रलेखा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||")</f>
        <v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||</v>
      </c>
      <c r="B5383" s="4" t="s">
        <v>1</v>
      </c>
      <c r="C5383" s="4"/>
    </row>
    <row r="5384" spans="1:3" ht="24" customHeight="1">
      <c r="A5384" s="4" t="str">
        <f ca="1">IFERROR(__xludf.DUMMYFUNCTION("""COMPUTED_VALUE"""),"तथा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||")</f>
        <v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||</v>
      </c>
      <c r="B5384" s="4" t="s">
        <v>2</v>
      </c>
      <c r="C5384" s="4"/>
    </row>
    <row r="5385" spans="1:3" ht="24" customHeight="1">
      <c r="A5385" s="4" t="str">
        <f ca="1">IFERROR(__xludf.DUMMYFUNCTION("""COMPUTED_VALUE"""),"शुभाननाः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||")</f>
        <v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||</v>
      </c>
      <c r="B5385" s="4" t="s">
        <v>13</v>
      </c>
      <c r="C5385" s="4"/>
    </row>
    <row r="5386" spans="1:3" ht="24" customHeight="1">
      <c r="A5386" s="4" t="str">
        <f ca="1">IFERROR(__xludf.DUMMYFUNCTION("""COMPUTED_VALUE"""),"ह्रदाम्भसि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||")</f>
        <v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||</v>
      </c>
      <c r="B5386" s="4" t="s">
        <v>2</v>
      </c>
      <c r="C5386" s="4"/>
    </row>
    <row r="5387" spans="1:3" ht="24" customHeight="1">
      <c r="A5387" s="4" t="str">
        <f ca="1">IFERROR(__xludf.DUMMYFUNCTION("""COMPUTED_VALUE"""),"श्रिया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||")</f>
        <v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||</v>
      </c>
      <c r="B5387" s="4" t="s">
        <v>1</v>
      </c>
      <c r="C5387" s="4"/>
    </row>
    <row r="5388" spans="1:3" ht="24" customHeight="1">
      <c r="A5388" s="4" t="str">
        <f ca="1">IFERROR(__xludf.DUMMYFUNCTION("""COMPUTED_VALUE"""),"परिस्फुरन्मीनविघट्टितोरवः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||")</f>
        <v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||</v>
      </c>
      <c r="B5388" s="4" t="s">
        <v>2</v>
      </c>
      <c r="C5388" s="4"/>
    </row>
    <row r="5389" spans="1:3" ht="24" customHeight="1">
      <c r="A5389" s="4" t="str">
        <f ca="1">IFERROR(__xludf.DUMMYFUNCTION("""COMPUTED_VALUE"""),"भयादिवाश्लिष्य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||")</f>
        <v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||</v>
      </c>
      <c r="B5389" s="4" t="s">
        <v>2</v>
      </c>
      <c r="C5389" s="4"/>
    </row>
    <row r="5390" spans="1:3" ht="24" customHeight="1">
      <c r="A5390" s="4" t="str">
        <f ca="1">IFERROR(__xludf.DUMMYFUNCTION("""COMPUTED_VALUE"""),"तिरोहितान्तानि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||")</f>
        <v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||</v>
      </c>
      <c r="B5390" s="4" t="s">
        <v>24</v>
      </c>
      <c r="C5390" s="4"/>
    </row>
    <row r="5391" spans="1:3" ht="24" customHeight="1">
      <c r="A5391" s="4" t="str">
        <f ca="1">IFERROR(__xludf.DUMMYFUNCTION("""COMPUTED_VALUE"""),"करौ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||")</f>
        <v>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||</v>
      </c>
      <c r="B5391" s="4" t="s">
        <v>1</v>
      </c>
      <c r="C5391" s="4"/>
    </row>
    <row r="5392" spans="1:3" ht="24" customHeight="1">
      <c r="A5392" s="4" t="str">
        <f ca="1">IFERROR(__xludf.DUMMYFUNCTION("""COMPUTED_VALUE"""),"प्रियैः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||")</f>
        <v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||</v>
      </c>
      <c r="B5392" s="4" t="s">
        <v>1</v>
      </c>
      <c r="C5392" s="4"/>
    </row>
    <row r="5393" spans="1:3" ht="24" customHeight="1">
      <c r="A5393" s="4" t="str">
        <f ca="1">IFERROR(__xludf.DUMMYFUNCTION("""COMPUTED_VALUE"""),"उदस्य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||")</f>
        <v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||</v>
      </c>
      <c r="B5393" s="4" t="s">
        <v>17</v>
      </c>
      <c r="C5393" s="4"/>
    </row>
    <row r="5394" spans="1:3" ht="24" customHeight="1">
      <c r="A5394" s="4" t="str">
        <f ca="1">IFERROR(__xludf.DUMMYFUNCTION("""COMPUTED_VALUE"""),"विहस्य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||")</f>
        <v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||</v>
      </c>
      <c r="B5394" s="4" t="s">
        <v>19</v>
      </c>
      <c r="C5394" s="4"/>
    </row>
    <row r="5395" spans="1:3" ht="24" customHeight="1">
      <c r="A5395" s="4" t="str">
        <f ca="1">IFERROR(__xludf.DUMMYFUNCTION("""COMPUTED_VALUE"""),"निरञ्जने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||")</f>
        <v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||</v>
      </c>
      <c r="B5395" s="4" t="s">
        <v>17</v>
      </c>
      <c r="C5395" s="4"/>
    </row>
    <row r="5396" spans="1:3" ht="24" customHeight="1">
      <c r="A5396" s="4" t="str">
        <f ca="1">IFERROR(__xludf.DUMMYFUNCTION("""COMPUTED_VALUE"""),"निमीलदाकेकरलोचचक्षुषां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||")</f>
        <v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||</v>
      </c>
      <c r="B5396" s="4" t="s">
        <v>10</v>
      </c>
      <c r="C5396" s="4"/>
    </row>
    <row r="5397" spans="1:3" ht="24" customHeight="1">
      <c r="A5397" s="4" t="str">
        <f ca="1">IFERROR(__xludf.DUMMYFUNCTION("""COMPUTED_VALUE"""),"प्रियेण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||")</f>
        <v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||</v>
      </c>
      <c r="B5397" s="4" t="s">
        <v>2</v>
      </c>
      <c r="C5397" s="4"/>
    </row>
    <row r="5398" spans="1:3" ht="24" customHeight="1">
      <c r="A5398" s="4" t="str">
        <f ca="1">IFERROR(__xludf.DUMMYFUNCTION("""COMPUTED_VALUE"""),"इत्थं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||")</f>
        <v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||</v>
      </c>
      <c r="B5398" s="4" t="s">
        <v>10</v>
      </c>
      <c r="C5398" s="4"/>
    </row>
    <row r="5399" spans="1:3" ht="24" customHeight="1">
      <c r="A5399" s="4" t="str">
        <f ca="1">IFERROR(__xludf.DUMMYFUNCTION("""COMPUTED_VALUE"""),"तीरान्तराणि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||")</f>
        <v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||</v>
      </c>
      <c r="B5399" s="4" t="s">
        <v>5</v>
      </c>
      <c r="C5399" s="4"/>
    </row>
    <row r="5400" spans="1:3" ht="24" customHeight="1">
      <c r="A5400" s="4" t="str">
        <f ca="1">IFERROR(__xludf.DUMMYFUNCTION("""COMPUTED_VALUE"""),"संक्रान्तचन्दनरसाहितवर्णभेदं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||")</f>
        <v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||</v>
      </c>
      <c r="B5400" s="4" t="s">
        <v>12</v>
      </c>
      <c r="C5400" s="4"/>
    </row>
    <row r="5401" spans="1:3" ht="24" customHeight="1">
      <c r="A5401" s="4" t="str">
        <f ca="1">IFERROR(__xludf.DUMMYFUNCTION("""COMPUTED_VALUE"""),"वीक्ष्य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||")</f>
        <v>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||</v>
      </c>
      <c r="B5401" s="4" t="s">
        <v>26</v>
      </c>
      <c r="C5401" s="4"/>
    </row>
    <row r="5402" spans="1:3" ht="24" customHeight="1">
      <c r="A5402" s="4" t="str">
        <f ca="1">IFERROR(__xludf.DUMMYFUNCTION("""COMPUTED_VALUE"""),"मध्यमोपलनिभे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||")</f>
        <v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||</v>
      </c>
      <c r="B5402" s="4" t="s">
        <v>12</v>
      </c>
      <c r="C5402" s="4"/>
    </row>
    <row r="5403" spans="1:3" ht="24" customHeight="1">
      <c r="A5403" s="4" t="str">
        <f ca="1">IFERROR(__xludf.DUMMYFUNCTION("""COMPUTED_VALUE"""),"अंशुपाणिभिरतीव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||")</f>
        <v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||</v>
      </c>
      <c r="B5403" s="4" t="s">
        <v>15</v>
      </c>
      <c r="C5403" s="4"/>
    </row>
    <row r="5404" spans="1:3" ht="24" customHeight="1">
      <c r="A5404" s="4" t="str">
        <f ca="1">IFERROR(__xludf.DUMMYFUNCTION("""COMPUTED_VALUE"""),"गम्यतां उपगते नयनानां लोहितायाति सहस्रमरीचौ । आससाद विरहय्य धरित्रीं चक्रवाकहृदयान्यभितापः ||")</f>
        <v>गम्यतां उपगते नयनानां लोहितायाति सहस्रमरीचौ । आससाद विरहय्य धरित्रीं चक्रवाकहृदयान्यभितापः ||</v>
      </c>
      <c r="B5404" s="4" t="s">
        <v>9</v>
      </c>
      <c r="C5404" s="4"/>
    </row>
    <row r="5405" spans="1:3" ht="24" customHeight="1">
      <c r="A5405" s="4" t="str">
        <f ca="1">IFERROR(__xludf.DUMMYFUNCTION("""COMPUTED_VALUE"""),"मुक्तमूललघुरुज्झितपूर्वः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||")</f>
        <v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||</v>
      </c>
      <c r="B5405" s="4" t="s">
        <v>24</v>
      </c>
      <c r="C5405" s="4"/>
    </row>
    <row r="5406" spans="1:3" ht="24" customHeight="1">
      <c r="A5406" s="4" t="str">
        <f ca="1">IFERROR(__xludf.DUMMYFUNCTION("""COMPUTED_VALUE"""),"कान्तदूत्य इव कुङ्कुमताम्राः सायमण्डलं अभि त्वरयन्त्यः । सादरं ददृशिरे वनिताभिः सौधजालपतिता रविभासः ||")</f>
        <v>कान्तदूत्य इव कुङ्कुमताम्राः सायमण्डलं अभि त्वरयन्त्यः । सादरं ददृशिरे वनिताभिः सौधजालपतिता रविभासः ||</v>
      </c>
      <c r="B5406" s="4" t="s">
        <v>18</v>
      </c>
      <c r="C5406" s="4"/>
    </row>
    <row r="5407" spans="1:3" ht="24" customHeight="1">
      <c r="A5407" s="4" t="str">
        <f ca="1">IFERROR(__xludf.DUMMYFUNCTION("""COMPUTED_VALUE"""),"अग्रसानुषु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||")</f>
        <v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||</v>
      </c>
      <c r="B5407" s="4" t="s">
        <v>1</v>
      </c>
      <c r="C5407" s="4"/>
    </row>
    <row r="5408" spans="1:3" ht="24" customHeight="1">
      <c r="A5408" s="4" t="str">
        <f ca="1">IFERROR(__xludf.DUMMYFUNCTION("""COMPUTED_VALUE"""),"आकुलश्चलपतत्रिकुलानां आरवैरनुदितौषसरागः । आययावहरिदश्वविपाण्डुस्तुल्यतां दिनमुखेन दिनान्तः ||")</f>
        <v>आकुलश्चलपतत्रिकुलानां आरवैरनुदितौषसरागः । आययावहरिदश्वविपाण्डुस्तुल्यतां दिनमुखेन दिनान्तः ||</v>
      </c>
      <c r="B5408" s="4" t="s">
        <v>2</v>
      </c>
      <c r="C5408" s="4"/>
    </row>
    <row r="5409" spans="1:3" ht="24" customHeight="1">
      <c r="A5409" s="4" t="str">
        <f ca="1">IFERROR(__xludf.DUMMYFUNCTION("""COMPUTED_VALUE"""),"आस्थितः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||")</f>
        <v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||</v>
      </c>
      <c r="B5409" s="4" t="s">
        <v>24</v>
      </c>
      <c r="C5409" s="4"/>
    </row>
    <row r="5410" spans="1:3" ht="24" customHeight="1">
      <c r="A5410" s="4" t="str">
        <f ca="1">IFERROR(__xludf.DUMMYFUNCTION("""COMPUTED_VALUE"""),"प्राञ्जलावपि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||")</f>
        <v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||</v>
      </c>
      <c r="B5410" s="4" t="s">
        <v>0</v>
      </c>
      <c r="C5410" s="4"/>
    </row>
    <row r="5411" spans="1:3" ht="24" customHeight="1">
      <c r="A5411" s="4" t="str">
        <f ca="1">IFERROR(__xludf.DUMMYFUNCTION("""COMPUTED_VALUE"""),"औषसातपभयादपलीनं वासरच्छविविरामपटीयः । संनिपत्य शनकैरिव निम्नादन्धकारं उदवाप समानि ||")</f>
        <v>औषसातपभयादपलीनं वासरच्छविविरामपटीयः । संनिपत्य शनकैरिव निम्नादन्धकारं उदवाप समानि ||</v>
      </c>
      <c r="B5411" s="4" t="s">
        <v>1</v>
      </c>
      <c r="C5411" s="4"/>
    </row>
    <row r="5412" spans="1:3" ht="24" customHeight="1">
      <c r="A5412" s="4" t="str">
        <f ca="1">IFERROR(__xludf.DUMMYFUNCTION("""COMPUTED_VALUE"""),"एकतां इव गतस्य विवेकः कस्यचिन्न महतोऽप्युपलेभे । भास्वता निदधिरे भुवनानां आत्मनीव पतितेन विशेषाः ||")</f>
        <v>एकतां इव गतस्य विवेकः कस्यचिन्न महतोऽप्युपलेभे । भास्वता निदधिरे भुवनानां आत्मनीव पतितेन विशेषाः ||</v>
      </c>
      <c r="B5412" s="4" t="s">
        <v>13</v>
      </c>
      <c r="C5412" s="4"/>
    </row>
    <row r="5413" spans="1:3" ht="24" customHeight="1">
      <c r="A5413" s="4" t="str">
        <f ca="1">IFERROR(__xludf.DUMMYFUNCTION("""COMPUTED_VALUE"""),"इच्छतां सह वधूभिरभेदं यामिनीविरहिणां विहगानां । आपुरेव मिथुनानि वियोगं लङ्घ्यते न खलु कालनियोगः ||")</f>
        <v>इच्छतां सह वधूभिरभेदं यामिनीविरहिणां विहगानां । आपुरेव मिथुनानि वियोगं लङ्घ्यते न खलु कालनियोगः ||</v>
      </c>
      <c r="B5413" s="4" t="s">
        <v>15</v>
      </c>
      <c r="C5413" s="4"/>
    </row>
    <row r="5414" spans="1:3" ht="24" customHeight="1">
      <c r="A5414" s="4" t="str">
        <f ca="1">IFERROR(__xludf.DUMMYFUNCTION("""COMPUTED_VALUE"""),"यच्छति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||")</f>
        <v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||</v>
      </c>
      <c r="B5414" s="4" t="s">
        <v>5</v>
      </c>
      <c r="C5414" s="4"/>
    </row>
    <row r="5415" spans="1:3" ht="24" customHeight="1">
      <c r="A5415" s="4" t="str">
        <f ca="1">IFERROR(__xludf.DUMMYFUNCTION("""COMPUTED_VALUE"""),"रञ्जिता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||")</f>
        <v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||</v>
      </c>
      <c r="B5415" s="4" t="s">
        <v>7</v>
      </c>
      <c r="C5415" s="4"/>
    </row>
    <row r="5416" spans="1:3" ht="24" customHeight="1">
      <c r="A5416" s="4" t="str">
        <f ca="1">IFERROR(__xludf.DUMMYFUNCTION("""COMPUTED_VALUE"""),"रात्रिरागमलिनानि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||")</f>
        <v>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||</v>
      </c>
      <c r="B5416" s="4" t="s">
        <v>4</v>
      </c>
      <c r="C5416" s="4"/>
    </row>
    <row r="5417" spans="1:3" ht="24" customHeight="1">
      <c r="A5417" s="4" t="str">
        <f ca="1">IFERROR(__xludf.DUMMYFUNCTION("""COMPUTED_VALUE"""),"व्यानशे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||")</f>
        <v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||</v>
      </c>
      <c r="B5417" s="4" t="s">
        <v>24</v>
      </c>
      <c r="C5417" s="4"/>
    </row>
    <row r="5418" spans="1:3" ht="24" customHeight="1">
      <c r="A5418" s="4" t="str">
        <f ca="1">IFERROR(__xludf.DUMMYFUNCTION("""COMPUTED_VALUE"""),"उज्झती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||")</f>
        <v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||</v>
      </c>
      <c r="B5418" s="4" t="s">
        <v>0</v>
      </c>
      <c r="C5418" s="4"/>
    </row>
    <row r="5419" spans="1:3" ht="24" customHeight="1">
      <c r="A5419" s="4" t="str">
        <f ca="1">IFERROR(__xludf.DUMMYFUNCTION("""COMPUTED_VALUE"""),"नीलनीरजनिभे हिमगौरं शैलरुद्धवपुषः सितरश्मेः । खे रराज निपतत्करजालं वारिधेः पयसि गाङ्गं इवाम्भः ||")</f>
        <v>नीलनीरजनिभे हिमगौरं शैलरुद्धवपुषः सितरश्मेः । खे रराज निपतत्करजालं वारिधेः पयसि गाङ्गं इवाम्भः ||</v>
      </c>
      <c r="B5419" s="4" t="s">
        <v>6</v>
      </c>
      <c r="C5419" s="4"/>
    </row>
    <row r="5420" spans="1:3" ht="24" customHeight="1">
      <c r="A5420" s="4" t="str">
        <f ca="1">IFERROR(__xludf.DUMMYFUNCTION("""COMPUTED_VALUE"""),"द्यां निरुन्धदतिनीलघनाभं ध्वान्तं उद्यतकरेण पुरस्ताथ् । क्षिप्यमाणं असितेतरभासा शम्भुनेव करिचर्म चकासे ||")</f>
        <v>द्यां निरुन्धदतिनीलघनाभं ध्वान्तं उद्यतकरेण पुरस्ताथ् । क्षिप्यमाणं असितेतरभासा शम्भुनेव करिचर्म चकासे ||</v>
      </c>
      <c r="B5420" s="4" t="s">
        <v>18</v>
      </c>
      <c r="C5420" s="4"/>
    </row>
    <row r="5421" spans="1:3" ht="24" customHeight="1">
      <c r="A5421" s="4" t="str">
        <f ca="1">IFERROR(__xludf.DUMMYFUNCTION("""COMPUTED_VALUE"""),"अन्तिकान्तिकगतेन्दुविसृष्टे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||")</f>
        <v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||</v>
      </c>
      <c r="B5421" s="4" t="s">
        <v>2</v>
      </c>
      <c r="C5421" s="4"/>
    </row>
    <row r="5422" spans="1:3" ht="24" customHeight="1">
      <c r="A5422" s="4" t="str">
        <f ca="1">IFERROR(__xludf.DUMMYFUNCTION("""COMPUTED_VALUE"""),"लेखया विमलविद्रुमभासा संततं तिमिरं इन्दुरुदासे । दंष्ट्रया कनकटङ्कपिशङ्ग्या मण्डलं भुव इवादिवराहः ||")</f>
        <v>लेखया विमलविद्रुमभासा संततं तिमिरं इन्दुरुदासे । दंष्ट्रया कनकटङ्कपिशङ्ग्या मण्डलं भुव इवादिवराहः ||</v>
      </c>
      <c r="B5422" s="4" t="s">
        <v>24</v>
      </c>
      <c r="C5422" s="4"/>
    </row>
    <row r="5423" spans="1:3" ht="24" customHeight="1">
      <c r="A5423" s="4" t="str">
        <f ca="1">IFERROR(__xludf.DUMMYFUNCTION("""COMPUTED_VALUE"""),"दीपयन्नथ नभः किरणौघैः कुङ्कुमारुणपयोधरगौरः । हेमकुम्भ इव पूर्वपयोधेरुन्ममज्ज शनकैस्तुहिनांशुः ||")</f>
        <v>दीपयन्नथ नभः किरणौघैः कुङ्कुमारुणपयोधरगौरः । हेमकुम्भ इव पूर्वपयोधेरुन्ममज्ज शनकैस्तुहिनांशुः ||</v>
      </c>
      <c r="B5423" s="4" t="s">
        <v>8</v>
      </c>
      <c r="C5423" s="4"/>
    </row>
    <row r="5424" spans="1:3" ht="24" customHeight="1">
      <c r="A5424" s="4" t="str">
        <f ca="1">IFERROR(__xludf.DUMMYFUNCTION("""COMPUTED_VALUE"""),"उद्गतेन्दुं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||")</f>
        <v>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||</v>
      </c>
      <c r="B5424" s="4" t="s">
        <v>19</v>
      </c>
      <c r="C5424" s="4"/>
    </row>
    <row r="5425" spans="1:3" ht="24" customHeight="1">
      <c r="A5425" s="4" t="str">
        <f ca="1">IFERROR(__xludf.DUMMYFUNCTION("""COMPUTED_VALUE"""),"न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||")</f>
        <v>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||</v>
      </c>
      <c r="B5425" s="4" t="s">
        <v>18</v>
      </c>
      <c r="C5425" s="4"/>
    </row>
    <row r="5426" spans="1:3" ht="24" customHeight="1">
      <c r="A5426" s="4" t="str">
        <f ca="1">IFERROR(__xludf.DUMMYFUNCTION("""COMPUTED_VALUE"""),"मानिनीजनविलोचनपातानुष्णबाष्पकलुषान्प्रतिगृह्णन् । मन्दमन्दं उदितः प्रययौ खं भीतभीत इव शीतमयूखः ||")</f>
        <v>मानिनीजनविलोचनपातानुष्णबाष्पकलुषान्प्रतिगृह्णन् । मन्दमन्दं उदितः प्रययौ खं भीतभीत इव शीतमयूखः ||</v>
      </c>
      <c r="B5426" s="4" t="s">
        <v>14</v>
      </c>
      <c r="C5426" s="4"/>
    </row>
    <row r="5427" spans="1:3" ht="24" customHeight="1">
      <c r="A5427" s="4" t="str">
        <f ca="1">IFERROR(__xludf.DUMMYFUNCTION("""COMPUTED_VALUE"""),"श्लिष्यतः प्रियवधूरुपकण्ठं तारकास्ततकरस्य हिमांशोः । उद्वमन्नभिरराज समन्तादङ्गराग इव लोहितरागः ||")</f>
        <v>श्लिष्यतः प्रियवधूरुपकण्ठं तारकास्ततकरस्य हिमांशोः । उद्वमन्नभिरराज समन्तादङ्गराग इव लोहितरागः ||</v>
      </c>
      <c r="B5427" s="4" t="s">
        <v>15</v>
      </c>
      <c r="C5427" s="4"/>
    </row>
    <row r="5428" spans="1:3" ht="24" customHeight="1">
      <c r="A5428" s="4" t="str">
        <f ca="1">IFERROR(__xludf.DUMMYFUNCTION("""COMPUTED_VALUE"""),"प्रेरितः शशधरेण करौघः संहतान्यपि नुनोद तमांसि । क्षीरसिन्धुरिव मन्दरभिन्नः काननान्यविरलोच्चतरूणि ||")</f>
        <v>प्रेरितः शशधरेण करौघः संहतान्यपि नुनोद तमांसि । क्षीरसिन्धुरिव मन्दरभिन्नः काननान्यविरलोच्चतरूणि ||</v>
      </c>
      <c r="B5428" s="4" t="s">
        <v>7</v>
      </c>
      <c r="C5428" s="4"/>
    </row>
    <row r="5429" spans="1:3" ht="24" customHeight="1">
      <c r="A5429" s="4" t="str">
        <f ca="1">IFERROR(__xludf.DUMMYFUNCTION("""COMPUTED_VALUE"""),"शारतां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||")</f>
        <v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||</v>
      </c>
      <c r="B5429" s="4" t="s">
        <v>6</v>
      </c>
      <c r="C5429" s="4"/>
    </row>
    <row r="5430" spans="1:3" ht="24" customHeight="1">
      <c r="A5430" s="4" t="str">
        <f ca="1">IFERROR(__xludf.DUMMYFUNCTION("""COMPUTED_VALUE"""),"आतपे धृतिमता सह वध्वा यामिनीविरहिणा विहगेन । सेहिरे न किरणा हिमरश्मेर्दुःखिते मनसि सर्वं असह्यं ||")</f>
        <v>आतपे धृतिमता सह वध्वा यामिनीविरहिणा विहगेन । सेहिरे न किरणा हिमरश्मेर्दुःखिते मनसि सर्वं असह्यं ||</v>
      </c>
      <c r="B5430" s="4" t="s">
        <v>5</v>
      </c>
      <c r="C5430" s="4"/>
    </row>
    <row r="5431" spans="1:3" ht="24" customHeight="1">
      <c r="A5431" s="4" t="str">
        <f ca="1">IFERROR(__xludf.DUMMYFUNCTION("""COMPUTED_VALUE"""),"गन्धं उद्धतरजःकणवाही विक्षिपन्विकसतां कुमुदानां । आदुधाव परिलीनविहङ्गा यामिनीमरुदपां वनराजीः ||")</f>
        <v>गन्धं उद्धतरजःकणवाही विक्षिपन्विकसतां कुमुदानां । आदुधाव परिलीनविहङ्गा यामिनीमरुदपां वनराजीः ||</v>
      </c>
      <c r="B5431" s="4" t="s">
        <v>3</v>
      </c>
      <c r="C5431" s="4"/>
    </row>
    <row r="5432" spans="1:3" ht="24" customHeight="1">
      <c r="A5432" s="4" t="str">
        <f ca="1">IFERROR(__xludf.DUMMYFUNCTION("""COMPUTED_VALUE"""),"संविधातुं अभिषेकं उदासे मन्मथस्य लसदंशुजलौघः । यामिनीवनितया ततचिह्नः सोत्पलो रजतकुम्भ इवेन्दुः ||")</f>
        <v>संविधातुं अभिषेकं उदासे मन्मथस्य लसदंशुजलौघः । यामिनीवनितया ततचिह्नः सोत्पलो रजतकुम्भ इवेन्दुः ||</v>
      </c>
      <c r="B5432" s="4" t="s">
        <v>17</v>
      </c>
      <c r="C5432" s="4"/>
    </row>
    <row r="5433" spans="1:3" ht="24" customHeight="1">
      <c r="A5433" s="4" t="str">
        <f ca="1">IFERROR(__xludf.DUMMYFUNCTION("""COMPUTED_VALUE"""),"ओजसापि खलु नूनं अनूनं नासहायं उपयाति जयश्रीः । यद्विभुः शशिमयूखसखः सन्नाददे विजयि चापं अनङ्गः ||")</f>
        <v>ओजसापि खलु नूनं अनूनं नासहायं उपयाति जयश्रीः । यद्विभुः शशिमयूखसखः सन्नाददे विजयि चापं अनङ्गः ||</v>
      </c>
      <c r="B5433" s="4" t="s">
        <v>15</v>
      </c>
      <c r="C5433" s="4"/>
    </row>
    <row r="5434" spans="1:3" ht="24" customHeight="1">
      <c r="A5434" s="4" t="str">
        <f ca="1">IFERROR(__xludf.DUMMYFUNCTION("""COMPUTED_VALUE"""),"सद्मनां विरचनाहितशोभैरागतप्रियकथैरपि दूत्यं । संनिकृष्टरतिभिः सुरदारैर्भूषितैरपि विभूषणं ईषे ||")</f>
        <v>सद्मनां विरचनाहितशोभैरागतप्रियकथैरपि दूत्यं । संनिकृष्टरतिभिः सुरदारैर्भूषितैरपि विभूषणं ईषे ||</v>
      </c>
      <c r="B5434" s="4" t="s">
        <v>13</v>
      </c>
      <c r="C5434" s="4"/>
    </row>
    <row r="5435" spans="1:3" ht="24" customHeight="1">
      <c r="A5435" s="4" t="str">
        <f ca="1">IFERROR(__xludf.DUMMYFUNCTION("""COMPUTED_VALUE"""),"न स्रजो रुरुचिरे रमणीभ्यश्चन्दनानि विरहे मदिरा वा । साधनेषु हि रतेरुपधत्ते रम्यतां प्रियसमागम एव ||")</f>
        <v>न स्रजो रुरुचिरे रमणीभ्यश्चन्दनानि विरहे मदिरा वा । साधनेषु हि रतेरुपधत्ते रम्यतां प्रियसमागम एव ||</v>
      </c>
      <c r="B5435" s="4" t="s">
        <v>4</v>
      </c>
      <c r="C5435" s="4"/>
    </row>
    <row r="5436" spans="1:3" ht="24" customHeight="1">
      <c r="A5436" s="4" t="str">
        <f ca="1">IFERROR(__xludf.DUMMYFUNCTION("""COMPUTED_VALUE"""),"प्रस्थिताभिरधिनाथनिवासं ध्वंसितप्रियसखीवचनाभिः । मानिनीभिरपहस्तितधैर्यः सादयन्निव मदोऽवललम्बे ||")</f>
        <v>प्रस्थिताभिरधिनाथनिवासं ध्वंसितप्रियसखीवचनाभिः । मानिनीभिरपहस्तितधैर्यः सादयन्निव मदोऽवललम्बे ||</v>
      </c>
      <c r="B5436" s="4" t="s">
        <v>26</v>
      </c>
      <c r="C5436" s="4"/>
    </row>
    <row r="5437" spans="1:3" ht="24" customHeight="1">
      <c r="A5437" s="4" t="str">
        <f ca="1">IFERROR(__xludf.DUMMYFUNCTION("""COMPUTED_VALUE"""),"कान्तवेश्म बहु संदिशतीभिर्यातं एव रतये रमणीभिः । मन्मथेन परिलुप्तमतीनां प्रायशः स्खलितं अप्युपकारि ||")</f>
        <v>कान्तवेश्म बहु संदिशतीभिर्यातं एव रतये रमणीभिः । मन्मथेन परिलुप्तमतीनां प्रायशः स्खलितं अप्युपकारि ||</v>
      </c>
      <c r="B5437" s="4" t="s">
        <v>0</v>
      </c>
      <c r="C5437" s="4"/>
    </row>
    <row r="5438" spans="1:3" ht="24" customHeight="1">
      <c r="A5438" s="4" t="str">
        <f ca="1">IFERROR(__xludf.DUMMYFUNCTION("""COMPUTED_VALUE"""),"आशु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||")</f>
        <v>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||</v>
      </c>
      <c r="B5438" s="4" t="s">
        <v>5</v>
      </c>
      <c r="C5438" s="4"/>
    </row>
    <row r="5439" spans="1:3" ht="24" customHeight="1">
      <c r="A5439" s="4" t="str">
        <f ca="1">IFERROR(__xludf.DUMMYFUNCTION("""COMPUTED_VALUE"""),"उच्यतां स वचनीयं अशेषं नेश्वरे परुषता सखि साध्वी । आनयैनं अनुनीय कथं वा विप्रियाणि जनयन्ननुनेयः ||")</f>
        <v>उच्यतां स वचनीयं अशेषं नेश्वरे परुषता सखि साध्वी । आनयैनं अनुनीय कथं वा विप्रियाणि जनयन्ननुनेयः ||</v>
      </c>
      <c r="B5439" s="4" t="s">
        <v>5</v>
      </c>
      <c r="C5439" s="4"/>
    </row>
    <row r="5440" spans="1:3" ht="24" customHeight="1">
      <c r="A5440" s="4" t="str">
        <f ca="1">IFERROR(__xludf.DUMMYFUNCTION("""COMPUTED_VALUE"""),"किं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||")</f>
        <v>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||</v>
      </c>
      <c r="B5440" s="4" t="s">
        <v>24</v>
      </c>
      <c r="C5440" s="4"/>
    </row>
    <row r="5441" spans="1:3" ht="24" customHeight="1">
      <c r="A5441" s="4" t="str">
        <f ca="1">IFERROR(__xludf.DUMMYFUNCTION("""COMPUTED_VALUE"""),"योषितः पुलकरोधि दधत्या घर्मवारि नवसंगमजन्म । कान्तवक्षसि बभूव पतन्त्या मण्डनं लुलितमण्डनतैव ||")</f>
        <v>योषितः पुलकरोधि दधत्या घर्मवारि नवसंगमजन्म । कान्तवक्षसि बभूव पतन्त्या मण्डनं लुलितमण्डनतैव ||</v>
      </c>
      <c r="B5441" s="4" t="s">
        <v>4</v>
      </c>
      <c r="C5441" s="4"/>
    </row>
    <row r="5442" spans="1:3" ht="24" customHeight="1">
      <c r="A5442" s="4" t="str">
        <f ca="1">IFERROR(__xludf.DUMMYFUNCTION("""COMPUTED_VALUE"""),"शीधुपानविधुरासु निगृह्णन्मानं आशु शिथिलीकृतलज्जः । संगतासु दयितैरुपलेभे कामिनीषु मदनो नु मदो नु ||")</f>
        <v>शीधुपानविधुरासु निगृह्णन्मानं आशु शिथिलीकृतलज्जः । संगतासु दयितैरुपलेभे कामिनीषु मदनो नु मदो नु ||</v>
      </c>
      <c r="B5442" s="4" t="s">
        <v>1</v>
      </c>
      <c r="C5442" s="4"/>
    </row>
    <row r="5443" spans="1:3" ht="24" customHeight="1">
      <c r="A5443" s="4" t="str">
        <f ca="1">IFERROR(__xludf.DUMMYFUNCTION("""COMPUTED_VALUE"""),"द्वारि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||")</f>
        <v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||</v>
      </c>
      <c r="B5443" s="4" t="s">
        <v>5</v>
      </c>
      <c r="C5443" s="4"/>
    </row>
    <row r="5444" spans="1:3" ht="24" customHeight="1">
      <c r="A5444" s="4" t="str">
        <f ca="1">IFERROR(__xludf.DUMMYFUNCTION("""COMPUTED_VALUE"""),"साचि लोचनयुगं नमयन्ती रुन्धती दयितवक्षसि पातं । सुभ्रुवो जनयति स्म विभूषां संगतावुपरराम च लज्जा ||")</f>
        <v>साचि लोचनयुगं नमयन्ती रुन्धती दयितवक्षसि पातं । सुभ्रुवो जनयति स्म विभूषां संगतावुपरराम च लज्जा ||</v>
      </c>
      <c r="B5444" s="4" t="s">
        <v>3</v>
      </c>
      <c r="C5444" s="4"/>
    </row>
    <row r="5445" spans="1:3" ht="24" customHeight="1">
      <c r="A5445" s="4" t="str">
        <f ca="1">IFERROR(__xludf.DUMMYFUNCTION("""COMPUTED_VALUE"""),"सव्यलीकं अवधीरितखिन्नं प्रस्थितं सपदि कोपपदेन । योषितः सुहृदिव स्म रुणद्धि प्राणनाथं अभिबाष्पनिपातः ||")</f>
        <v>सव्यलीकं अवधीरितखिन्नं प्रस्थितं सपदि कोपपदेन । योषितः सुहृदिव स्म रुणद्धि प्राणनाथं अभिबाष्पनिपातः ||</v>
      </c>
      <c r="B5445" s="4" t="s">
        <v>2</v>
      </c>
      <c r="C5445" s="4"/>
    </row>
    <row r="5446" spans="1:3" ht="24" customHeight="1">
      <c r="A5446" s="4" t="str">
        <f ca="1">IFERROR(__xludf.DUMMYFUNCTION("""COMPUTED_VALUE"""),"शङ्किताय कृतबाष्पनिपातां ईर्ष्यया विमुखितां दयिताय । मानिनिं अभिमुखाहितचित्तां शंसति स्म घनर्ॐअविभेदः ||")</f>
        <v>शङ्किताय कृतबाष्पनिपातां ईर्ष्यया विमुखितां दयिताय । मानिनिं अभिमुखाहितचित्तां शंसति स्म घनर्ॐअविभेदः ||</v>
      </c>
      <c r="B5446" s="4" t="s">
        <v>17</v>
      </c>
      <c r="C5446" s="4"/>
    </row>
    <row r="5447" spans="1:3" ht="24" customHeight="1">
      <c r="A5447" s="4" t="str">
        <f ca="1">IFERROR(__xludf.DUMMYFUNCTION("""COMPUTED_VALUE"""),"लोलदृष्टि वदनं दयितायाश्चुम्बति प्रियतमे रभसेन । व्रीडया सह विनीवि नितम्बादंशुकं शिथिलतां उपपदे ||")</f>
        <v>लोलदृष्टि वदनं दयितायाश्चुम्बति प्रियतमे रभसेन । व्रीडया सह विनीवि नितम्बादंशुकं शिथिलतां उपपदे ||</v>
      </c>
      <c r="B5447" s="4" t="s">
        <v>17</v>
      </c>
      <c r="C5447" s="4"/>
    </row>
    <row r="5448" spans="1:3" ht="24" customHeight="1">
      <c r="A5448" s="4" t="str">
        <f ca="1">IFERROR(__xludf.DUMMYFUNCTION("""COMPUTED_VALUE"""),"ह्रीतय अगलितनीवि निरस्यन्नन्तरीयं अवलम्बितकाञ्चि । मण्डलीकृतपृथुस्तनभारं सस्वजे दयितया हृदयेशः ||")</f>
        <v>ह्रीतय अगलितनीवि निरस्यन्नन्तरीयं अवलम्बितकाञ्चि । मण्डलीकृतपृथुस्तनभारं सस्वजे दयितया हृदयेशः ||</v>
      </c>
      <c r="B5448" s="4" t="s">
        <v>8</v>
      </c>
      <c r="C5448" s="4"/>
    </row>
    <row r="5449" spans="1:3" ht="24" customHeight="1">
      <c r="A5449" s="4" t="str">
        <f ca="1">IFERROR(__xludf.DUMMYFUNCTION("""COMPUTED_VALUE"""),"आदृता नखपदैः परिरम्भाश्चुम्बितानि घनदन्तनिपातैः । सौकुमार्यगुणसम्भृतकीर्तिर्वाम एव सुरतेष्वपि कामः ||")</f>
        <v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||</v>
      </c>
      <c r="B5449" s="4" t="s">
        <v>12</v>
      </c>
      <c r="C5449" s="4"/>
    </row>
    <row r="5450" spans="1:3" ht="24" customHeight="1">
      <c r="A5450" s="4" t="str">
        <f ca="1">IFERROR(__xludf.DUMMYFUNCTION("""COMPUTED_VALUE"""),"पाणिपल्लवविधूननं अन्तः सीत्कृतानि नयनार्धनिमेषाः । योषितां रहसि गद्गदवाचां अस्त्रतां उपययुर्मदनस्य ||")</f>
        <v>पाणिपल्लवविधूननं अन्तः सीत्कृतानि नयनार्धनिमेषाः । योषितां रहसि गद्गदवाचां अस्त्रतां उपययुर्मदनस्य ||</v>
      </c>
      <c r="B5450" s="4" t="s">
        <v>5</v>
      </c>
      <c r="C5450" s="4"/>
    </row>
    <row r="5451" spans="1:3" ht="24" customHeight="1">
      <c r="A5451" s="4" t="str">
        <f ca="1">IFERROR(__xludf.DUMMYFUNCTION("""COMPUTED_VALUE"""),"पातुं आहितरतीन्यभिलेषुस्तर्षयन्त्यपुनरुक्तरसानि । सस्मितानि वदनानि वधूनां सोत्पलानि च मधूनि युवानः ||")</f>
        <v>पातुं आहितरतीन्यभिलेषुस्तर्षयन्त्यपुनरुक्तरसानि । सस्मितानि वदनानि वधूनां सोत्पलानि च मधूनि युवानः ||</v>
      </c>
      <c r="B5451" s="4" t="s">
        <v>1</v>
      </c>
      <c r="C5451" s="4"/>
    </row>
    <row r="5452" spans="1:3" ht="24" customHeight="1">
      <c r="A5452" s="4" t="str">
        <f ca="1">IFERROR(__xludf.DUMMYFUNCTION("""COMPUTED_VALUE"""),"कान्तसंगमपराजितमन्यौ वारुणीरसनशान्तविवादे । मानिनीजन उपाहितसंधौ संदधे धनुषि नेषुं अनङ्गः ||")</f>
        <v>कान्तसंगमपराजितमन्यौ वारुणीरसनशान्तविवादे । मानिनीजन उपाहितसंधौ संदधे धनुषि नेषुं अनङ्गः ||</v>
      </c>
      <c r="B5452" s="4" t="s">
        <v>15</v>
      </c>
      <c r="C5452" s="4"/>
    </row>
    <row r="5453" spans="1:3" ht="24" customHeight="1">
      <c r="A5453" s="4" t="str">
        <f ca="1">IFERROR(__xludf.DUMMYFUNCTION("""COMPUTED_VALUE"""),"कुप्यताशु भवतानतचित्ताः कोपितांश्च वरिवस्यत यूनः । इत्यनेक उपदेश इव स्म स्वाद्यते युवतिभिर्मधुवारः ||")</f>
        <v>कुप्यताशु भवतानतचित्ताः कोपितांश्च वरिवस्यत यूनः । इत्यनेक उपदेश इव स्म स्वाद्यते युवतिभिर्मधुवारः ||</v>
      </c>
      <c r="B5453" s="4" t="s">
        <v>0</v>
      </c>
      <c r="C5453" s="4"/>
    </row>
    <row r="5454" spans="1:3" ht="24" customHeight="1">
      <c r="A5454" s="4" t="str">
        <f ca="1">IFERROR(__xludf.DUMMYFUNCTION("""COMPUTED_VALUE"""),"भर्तृभिः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||")</f>
        <v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||</v>
      </c>
      <c r="B5454" s="4" t="s">
        <v>6</v>
      </c>
      <c r="C5454" s="4"/>
    </row>
    <row r="5455" spans="1:3" ht="24" customHeight="1">
      <c r="A5455" s="4" t="str">
        <f ca="1">IFERROR(__xludf.DUMMYFUNCTION("""COMPUTED_VALUE"""),"स्वादितः स्वयं अथैधितमानं लम्भितः प्रियतमैः सह पीतः । आसवः प्रतिपदं प्रमदानां नैकरूपरसतां इव भेजे ||")</f>
        <v>स्वादितः स्वयं अथैधितमानं लम्भितः प्रियतमैः सह पीतः । आसवः प्रतिपदं प्रमदानां नैकरूपरसतां इव भेजे ||</v>
      </c>
      <c r="B5455" s="4" t="s">
        <v>3</v>
      </c>
      <c r="C5455" s="4"/>
    </row>
    <row r="5456" spans="1:3" ht="24" customHeight="1">
      <c r="A5456" s="4" t="str">
        <f ca="1">IFERROR(__xludf.DUMMYFUNCTION("""COMPUTED_VALUE"""),"भ्रूविलाससुभगाननुकर्तुं विभ्रमानिव वधूनयनानां । आददे मृदुविलोकपलाशैरुत्पलैश्चषकवीचिषु कम्पः ||")</f>
        <v>भ्रूविलाससुभगाननुकर्तुं विभ्रमानिव वधूनयनानां । आददे मृदुविलोकपलाशैरुत्पलैश्चषकवीचिषु कम्पः ||</v>
      </c>
      <c r="B5456" s="4" t="s">
        <v>9</v>
      </c>
      <c r="C5456" s="4"/>
    </row>
    <row r="5457" spans="1:3" ht="24" customHeight="1">
      <c r="A5457" s="4" t="str">
        <f ca="1">IFERROR(__xludf.DUMMYFUNCTION("""COMPUTED_VALUE"""),"ओष्ठपल्लवविदंशरुचीनां हृद्यतां उपययौ रमणानां । फुल्ललोचनविनीलसरोजैरङ्गनास्यचषकैर्मधुवारः ||")</f>
        <v>ओष्ठपल्लवविदंशरुचीनां हृद्यतां उपययौ रमणानां । फुल्ललोचनविनीलसरोजैरङ्गनास्यचषकैर्मधुवारः ||</v>
      </c>
      <c r="B5457" s="4" t="s">
        <v>0</v>
      </c>
      <c r="C5457" s="4"/>
    </row>
    <row r="5458" spans="1:3" ht="24" customHeight="1">
      <c r="A5458" s="4" t="str">
        <f ca="1">IFERROR(__xludf.DUMMYFUNCTION("""COMPUTED_VALUE"""),"प्राप्यते गुणवतापि गुणानां व्यक्तं आश्रयवशेन विशेषः । तत्तथा हि दयिताननदत्तं व्यानशे मधु रसातिशयेन ||")</f>
        <v>प्राप्यते गुणवतापि गुणानां व्यक्तं आश्रयवशेन विशेषः । तत्तथा हि दयिताननदत्तं व्यानशे मधु रसातिशयेन ||</v>
      </c>
      <c r="B5458" s="4" t="s">
        <v>1</v>
      </c>
      <c r="C5458" s="4"/>
    </row>
    <row r="5459" spans="1:3" ht="24" customHeight="1">
      <c r="A5459" s="4" t="str">
        <f ca="1">IFERROR(__xludf.DUMMYFUNCTION("""COMPUTED_VALUE"""),"वीक्ष्य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||")</f>
        <v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||</v>
      </c>
      <c r="B5459" s="4" t="s">
        <v>0</v>
      </c>
      <c r="C5459" s="4"/>
    </row>
    <row r="5460" spans="1:3" ht="24" customHeight="1">
      <c r="A5460" s="4" t="str">
        <f ca="1">IFERROR(__xludf.DUMMYFUNCTION("""COMPUTED_VALUE"""),"लोचनाधरकृताहृतरागा वासिताननविशेषितगन्धा । वारुणी परगुणात्मगुणानां व्यत्ययं विनिमयं नु वितेने ||")</f>
        <v>लोचनाधरकृताहृतरागा वासिताननविशेषितगन्धा । वारुणी परगुणात्मगुणानां व्यत्ययं विनिमयं नु वितेने ||</v>
      </c>
      <c r="B5460" s="4" t="s">
        <v>1</v>
      </c>
      <c r="C5460" s="4"/>
    </row>
    <row r="5461" spans="1:3" ht="24" customHeight="1">
      <c r="A5461" s="4" t="str">
        <f ca="1">IFERROR(__xludf.DUMMYFUNCTION("""COMPUTED_VALUE"""),"तुल्यरूपं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||")</f>
        <v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||</v>
      </c>
      <c r="B5461" s="4" t="s">
        <v>15</v>
      </c>
      <c r="C5461" s="4"/>
    </row>
    <row r="5462" spans="1:3" ht="24" customHeight="1">
      <c r="A5462" s="4" t="str">
        <f ca="1">IFERROR(__xludf.DUMMYFUNCTION("""COMPUTED_VALUE"""),"क्षीणयावकरसोऽप्यतिपानैः कान्तदन्तपदसम्भृतशोभः । आययावतितरां इव वध्वाः सान्द्रतां अधरपल्लवरागः ||")</f>
        <v>क्षीणयावकरसोऽप्यतिपानैः कान्तदन्तपदसम्भृतशोभः । आययावतितरां इव वध्वाः सान्द्रतां अधरपल्लवरागः ||</v>
      </c>
      <c r="B5462" s="4" t="s">
        <v>15</v>
      </c>
      <c r="C5462" s="4"/>
    </row>
    <row r="5463" spans="1:3" ht="24" customHeight="1">
      <c r="A5463" s="4" t="str">
        <f ca="1">IFERROR(__xludf.DUMMYFUNCTION("""COMPUTED_VALUE"""),"रागजान्तनयनेषु नितान्तं विद्रुमारुणकपोलतलेषु । सर्वगापि ददृशे वनितानां दर्पणेष्विव मुखेषु मदश्रीः ||")</f>
        <v>रागजान्तनयनेषु नितान्तं विद्रुमारुणकपोलतलेषु । सर्वगापि ददृशे वनितानां दर्पणेष्विव मुखेषु मदश्रीः ||</v>
      </c>
      <c r="B5463" s="4" t="s">
        <v>0</v>
      </c>
      <c r="C5463" s="4"/>
    </row>
    <row r="5464" spans="1:3" ht="24" customHeight="1">
      <c r="A5464" s="4" t="str">
        <f ca="1">IFERROR(__xludf.DUMMYFUNCTION("""COMPUTED_VALUE"""),"बद्धकोपविकृतीरपि रामाश्चारुताभिमततां उपनिन्ये । वश्यतां मधुमदो दयितानां आत्मवर्गहितं इच्छति सर्वः ||")</f>
        <v>बद्धकोपविकृतीरपि रामाश्चारुताभिमततां उपनिन्ये । वश्यतां मधुमदो दयितानां आत्मवर्गहितं इच्छति सर्वः ||</v>
      </c>
      <c r="B5464" s="4" t="s">
        <v>4</v>
      </c>
      <c r="C5464" s="4"/>
    </row>
    <row r="5465" spans="1:3" ht="24" customHeight="1">
      <c r="A5465" s="4" t="str">
        <f ca="1">IFERROR(__xludf.DUMMYFUNCTION("""COMPUTED_VALUE"""),"वाससां शिथिलतां उपनाभि ह्रीनिरासं अपदे कुपितानि । योषितां विदधती गुणपक्षे निर्ममार्ज मदिरा वचनीयं ||")</f>
        <v>वाससां शिथिलतां उपनाभि ह्रीनिरासं अपदे कुपितानि । योषितां विदधती गुणपक्षे निर्ममार्ज मदिरा वचनीयं ||</v>
      </c>
      <c r="B5465" s="4" t="s">
        <v>5</v>
      </c>
      <c r="C5465" s="4"/>
    </row>
    <row r="5466" spans="1:3" ht="24" customHeight="1">
      <c r="A5466" s="4" t="str">
        <f ca="1">IFERROR(__xludf.DUMMYFUNCTION("""COMPUTED_VALUE"""),"भर्तृषूपसखि निक्षिपतीनां आत्मनो मधुमदोद्यमितानां । व्रीडया विफलया वनितानां न स्थितं न विगतं हृदयेषु ||")</f>
        <v>भर्तृषूपसखि निक्षिपतीनां आत्मनो मधुमदोद्यमितानां । व्रीडया विफलया वनितानां न स्थितं न विगतं हृदयेषु ||</v>
      </c>
      <c r="B5466" s="4" t="s">
        <v>13</v>
      </c>
      <c r="C5466" s="4"/>
    </row>
    <row r="5467" spans="1:3" ht="24" customHeight="1">
      <c r="A5467" s="4" t="str">
        <f ca="1">IFERROR(__xludf.DUMMYFUNCTION("""COMPUTED_VALUE"""),"रुन्धती नयनवाक्यविकासं सादितो भयकरा परिरम्भे । व्रीडितस्य ललितं युवतीनां क्षीबता बहुगुणैरनुजह्रे ||")</f>
        <v>रुन्धती नयनवाक्यविकासं सादितो भयकरा परिरम्भे । व्रीडितस्य ललितं युवतीनां क्षीबता बहुगुणैरनुजह्रे ||</v>
      </c>
      <c r="B5467" s="4" t="s">
        <v>0</v>
      </c>
      <c r="C5467" s="4"/>
    </row>
    <row r="5468" spans="1:3" ht="24" customHeight="1">
      <c r="A5468" s="4" t="str">
        <f ca="1">IFERROR(__xludf.DUMMYFUNCTION("""COMPUTED_VALUE"""),"योषिदुद्धतमनोभवरागा मानवत्यपि ययौ दयिताङ्कं । कारयत्यनिभृता गुणदोषे वारुणी खलु रहस्यविभेदं ||")</f>
        <v>योषिदुद्धतमनोभवरागा मानवत्यपि ययौ दयिताङ्कं । कारयत्यनिभृता गुणदोषे वारुणी खलु रहस्यविभेदं ||</v>
      </c>
      <c r="B5468" s="4" t="s">
        <v>17</v>
      </c>
      <c r="C5468" s="4"/>
    </row>
    <row r="5469" spans="1:3" ht="24" customHeight="1">
      <c r="A5469" s="4" t="str">
        <f ca="1">IFERROR(__xludf.DUMMYFUNCTION("""COMPUTED_VALUE"""),"आहिते नु मधुना मधुरत्वे चेष्टितस्य गमिते नु विकासं । आबभौ नव इवोद्धतरागः कामिनीष्ववसरः कुसुमेषोः ||")</f>
        <v>आहिते नु मधुना मधुरत्वे चेष्टितस्य गमिते नु विकासं । आबभौ नव इवोद्धतरागः कामिनीष्ववसरः कुसुमेषोः ||</v>
      </c>
      <c r="B5469" s="4" t="s">
        <v>13</v>
      </c>
      <c r="C5469" s="4"/>
    </row>
    <row r="5470" spans="1:3" ht="24" customHeight="1">
      <c r="A5470" s="4" t="str">
        <f ca="1">IFERROR(__xludf.DUMMYFUNCTION("""COMPUTED_VALUE"""),"मा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||")</f>
        <v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||</v>
      </c>
      <c r="B5470" s="4" t="s">
        <v>9</v>
      </c>
      <c r="C5470" s="4"/>
    </row>
    <row r="5471" spans="1:3" ht="24" customHeight="1">
      <c r="A5471" s="4" t="str">
        <f ca="1">IFERROR(__xludf.DUMMYFUNCTION("""COMPUTED_VALUE"""),"चित्तनिर्वृतिविधायि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||")</f>
        <v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||</v>
      </c>
      <c r="B5471" s="4" t="s">
        <v>1</v>
      </c>
      <c r="C5471" s="4"/>
    </row>
    <row r="5472" spans="1:3" ht="24" customHeight="1">
      <c r="A5472" s="4" t="str">
        <f ca="1">IFERROR(__xludf.DUMMYFUNCTION("""COMPUTED_VALUE"""),"धार्ष्ट्यलङ्घितयथोचितभूमौ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||")</f>
        <v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||</v>
      </c>
      <c r="B5472" s="4" t="s">
        <v>9</v>
      </c>
      <c r="C5472" s="4"/>
    </row>
    <row r="5473" spans="1:3" ht="24" customHeight="1">
      <c r="A5473" s="4" t="str">
        <f ca="1">IFERROR(__xludf.DUMMYFUNCTION("""COMPUTED_VALUE"""),"शीधुपानविधुरेषु वधूनां विघ्नतां उपगतेषु वपुःषु । ईहितं रतिरसाहितभावं वीतलक्ष्यं अपि कामिषु रेजे ||")</f>
        <v>शीधुपानविधुरेषु वधूनां विघ्नतां उपगतेषु वपुःषु । ईहितं रतिरसाहितभावं वीतलक्ष्यं अपि कामिषु रेजे ||</v>
      </c>
      <c r="B5473" s="4" t="s">
        <v>3</v>
      </c>
      <c r="C5473" s="4"/>
    </row>
    <row r="5474" spans="1:3" ht="24" customHeight="1">
      <c r="A5474" s="4" t="str">
        <f ca="1">IFERROR(__xludf.DUMMYFUNCTION("""COMPUTED_VALUE"""),"अन्योन्यरक्तमनसां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||")</f>
        <v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||</v>
      </c>
      <c r="B5474" s="4" t="s">
        <v>0</v>
      </c>
      <c r="C5474" s="4"/>
    </row>
    <row r="5475" spans="1:3" ht="24" customHeight="1">
      <c r="A5475" s="4" t="str">
        <f ca="1">IFERROR(__xludf.DUMMYFUNCTION("""COMPUTED_VALUE"""),"निद्राविनोदितनितान्तरतिक्लमानां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||")</f>
        <v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||</v>
      </c>
      <c r="B5475" s="4" t="s">
        <v>1</v>
      </c>
      <c r="C5475" s="4"/>
    </row>
    <row r="5476" spans="1:3" ht="24" customHeight="1">
      <c r="A5476" s="4" t="str">
        <f ca="1">IFERROR(__xludf.DUMMYFUNCTION("""COMPUTED_VALUE"""),"कान्ताजनं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||")</f>
        <v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||</v>
      </c>
      <c r="B5476" s="4" t="s">
        <v>5</v>
      </c>
      <c r="C5476" s="4"/>
    </row>
    <row r="5477" spans="1:3" ht="24" customHeight="1">
      <c r="A5477" s="4" t="str">
        <f ca="1">IFERROR(__xludf.DUMMYFUNCTION("""COMPUTED_VALUE"""),"आमोदवासितचलाधरपल्लवेषु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||")</f>
        <v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||</v>
      </c>
      <c r="B5477" s="4" t="s">
        <v>13</v>
      </c>
      <c r="C5477" s="4"/>
    </row>
    <row r="5478" spans="1:3" ht="24" customHeight="1">
      <c r="A5478" s="4" t="str">
        <f ca="1">IFERROR(__xludf.DUMMYFUNCTION("""COMPUTED_VALUE"""),"गतवति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||")</f>
        <v>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||</v>
      </c>
      <c r="B5478" s="4" t="s">
        <v>12</v>
      </c>
      <c r="C5478" s="4"/>
    </row>
    <row r="5479" spans="1:3" ht="24" customHeight="1">
      <c r="A5479" s="4" t="str">
        <f ca="1">IFERROR(__xludf.DUMMYFUNCTION("""COMPUTED_VALUE"""),"अथ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||")</f>
        <v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||</v>
      </c>
      <c r="B5479" s="4" t="s">
        <v>12</v>
      </c>
      <c r="C5479" s="4"/>
    </row>
    <row r="5480" spans="1:3" ht="24" customHeight="1">
      <c r="A5480" s="4" t="str">
        <f ca="1">IFERROR(__xludf.DUMMYFUNCTION("""COMPUTED_VALUE"""),"द्रुतपदं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||")</f>
        <v>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||</v>
      </c>
      <c r="B5480" s="4" t="s">
        <v>17</v>
      </c>
      <c r="C5480" s="4"/>
    </row>
    <row r="5481" spans="1:3" ht="24" customHeight="1">
      <c r="A5481" s="4" t="str">
        <f ca="1">IFERROR(__xludf.DUMMYFUNCTION("""COMPUTED_VALUE"""),"निहितसरसयावकैर्बभासे चरणतलैः कृतपद्धतिर्वधूनां । अविरलविततेव शक्रगोपैररुणितनीलतृणोलपा धरित्री ||")</f>
        <v>निहितसरसयावकैर्बभासे चरणतलैः कृतपद्धतिर्वधूनां । अविरलविततेव शक्रगोपैररुणितनीलतृणोलपा धरित्री ||</v>
      </c>
      <c r="B5481" s="4" t="s">
        <v>0</v>
      </c>
      <c r="C5481" s="4"/>
    </row>
    <row r="5482" spans="1:3" ht="24" customHeight="1">
      <c r="A5482" s="4" t="str">
        <f ca="1">IFERROR(__xludf.DUMMYFUNCTION("""COMPUTED_VALUE"""),"ध्वनिरगविवरेषु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||")</f>
        <v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||</v>
      </c>
      <c r="B5482" s="4" t="s">
        <v>1</v>
      </c>
      <c r="C5482" s="4"/>
    </row>
    <row r="5483" spans="1:3" ht="24" customHeight="1">
      <c r="A5483" s="4" t="str">
        <f ca="1">IFERROR(__xludf.DUMMYFUNCTION("""COMPUTED_VALUE"""),"अवचयपरिभोगवन्ति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||")</f>
        <v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||</v>
      </c>
      <c r="B5483" s="4" t="s">
        <v>2</v>
      </c>
      <c r="C5483" s="4"/>
    </row>
    <row r="5484" spans="1:3" ht="24" customHeight="1">
      <c r="A5484" s="4" t="str">
        <f ca="1">IFERROR(__xludf.DUMMYFUNCTION("""COMPUTED_VALUE"""),"नृपतिमुनिपरिग्रहेण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||")</f>
        <v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||</v>
      </c>
      <c r="B5484" s="4" t="s">
        <v>2</v>
      </c>
      <c r="C5484" s="4"/>
    </row>
    <row r="5485" spans="1:3" ht="24" customHeight="1">
      <c r="A5485" s="4" t="str">
        <f ca="1">IFERROR(__xludf.DUMMYFUNCTION("""COMPUTED_VALUE"""),"सचकितं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||")</f>
        <v>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||</v>
      </c>
      <c r="B5485" s="4" t="s">
        <v>1</v>
      </c>
      <c r="C5485" s="4"/>
    </row>
    <row r="5486" spans="1:3" ht="24" customHeight="1">
      <c r="A5486" s="4" t="str">
        <f ca="1">IFERROR(__xludf.DUMMYFUNCTION("""COMPUTED_VALUE"""),"अतिशयितवनान्तरद्युतीनां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||")</f>
        <v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||</v>
      </c>
      <c r="B5486" s="4" t="s">
        <v>4</v>
      </c>
      <c r="C5486" s="4"/>
    </row>
    <row r="5487" spans="1:3" ht="24" customHeight="1">
      <c r="A5487" s="4" t="str">
        <f ca="1">IFERROR(__xludf.DUMMYFUNCTION("""COMPUTED_VALUE"""),"मृदितकिसलयः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||")</f>
        <v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||</v>
      </c>
      <c r="B5487" s="4" t="s">
        <v>1</v>
      </c>
      <c r="C5487" s="4"/>
    </row>
    <row r="5488" spans="1:3" ht="24" customHeight="1">
      <c r="A5488" s="4" t="str">
        <f ca="1">IFERROR(__xludf.DUMMYFUNCTION("""COMPUTED_VALUE"""),"यमनियमकृशीकृतस्थिराङ्गः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||")</f>
        <v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||</v>
      </c>
      <c r="B5488" s="4" t="s">
        <v>17</v>
      </c>
      <c r="C5488" s="4"/>
    </row>
    <row r="5489" spans="1:3" ht="24" customHeight="1">
      <c r="A5489" s="4" t="str">
        <f ca="1">IFERROR(__xludf.DUMMYFUNCTION("""COMPUTED_VALUE"""),"शशधर इव लोचनाभिरामैर्गगनविसारिभिरंशुभिः परीतः । शिखरनिचयं एकसानुसद्मा सकलं इवापि दधन्महीधरस्य ||")</f>
        <v>शशधर इव लोचनाभिरामैर्गगनविसारिभिरंशुभिः परीतः । शिखरनिचयं एकसानुसद्मा सकलं इवापि दधन्महीधरस्य ||</v>
      </c>
      <c r="B5489" s="4" t="s">
        <v>5</v>
      </c>
      <c r="C5489" s="4"/>
    </row>
    <row r="5490" spans="1:3" ht="24" customHeight="1">
      <c r="A5490" s="4" t="str">
        <f ca="1">IFERROR(__xludf.DUMMYFUNCTION("""COMPUTED_VALUE"""),"सुरसरिति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||")</f>
        <v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||</v>
      </c>
      <c r="B5490" s="4" t="s">
        <v>17</v>
      </c>
      <c r="C5490" s="4"/>
    </row>
    <row r="5491" spans="1:3" ht="24" customHeight="1">
      <c r="A5491" s="4" t="str">
        <f ca="1">IFERROR(__xludf.DUMMYFUNCTION("""COMPUTED_VALUE"""),"सदृशं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||")</f>
        <v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||</v>
      </c>
      <c r="B5491" s="4" t="s">
        <v>20</v>
      </c>
      <c r="C5491" s="4"/>
    </row>
    <row r="5492" spans="1:3" ht="24" customHeight="1">
      <c r="A5492" s="4" t="str">
        <f ca="1">IFERROR(__xludf.DUMMYFUNCTION("""COMPUTED_VALUE"""),"चिरनियमकृशोऽपि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||")</f>
        <v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||</v>
      </c>
      <c r="B5492" s="4" t="s">
        <v>2</v>
      </c>
      <c r="C5492" s="4"/>
    </row>
    <row r="5493" spans="1:3" ht="24" customHeight="1">
      <c r="A5493" s="4" t="str">
        <f ca="1">IFERROR(__xludf.DUMMYFUNCTION("""COMPUTED_VALUE"""),"तनुं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||")</f>
        <v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||</v>
      </c>
      <c r="B5493" s="4" t="s">
        <v>0</v>
      </c>
      <c r="C5493" s="4"/>
    </row>
    <row r="5494" spans="1:3" ht="24" customHeight="1">
      <c r="A5494" s="4" t="str">
        <f ca="1">IFERROR(__xludf.DUMMYFUNCTION("""COMPUTED_VALUE"""),"मुनिदनुतनयान्विलोभ्य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||")</f>
        <v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||</v>
      </c>
      <c r="B5494" s="4" t="s">
        <v>15</v>
      </c>
      <c r="C5494" s="4"/>
    </row>
    <row r="5495" spans="1:3" ht="24" customHeight="1">
      <c r="A5495" s="4" t="str">
        <f ca="1">IFERROR(__xludf.DUMMYFUNCTION("""COMPUTED_VALUE"""),"अथ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||")</f>
        <v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||</v>
      </c>
      <c r="B5495" s="4" t="s">
        <v>0</v>
      </c>
      <c r="C5495" s="4"/>
    </row>
    <row r="5496" spans="1:3" ht="24" customHeight="1">
      <c r="A5496" s="4" t="str">
        <f ca="1">IFERROR(__xludf.DUMMYFUNCTION("""COMPUTED_VALUE"""),"सपदि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||")</f>
        <v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||</v>
      </c>
      <c r="B5496" s="4" t="s">
        <v>1</v>
      </c>
      <c r="C5496" s="4"/>
    </row>
    <row r="5497" spans="1:3" ht="24" customHeight="1">
      <c r="A5497" s="4" t="str">
        <f ca="1">IFERROR(__xludf.DUMMYFUNCTION("""COMPUTED_VALUE"""),"सजलजलधरं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||")</f>
        <v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||</v>
      </c>
      <c r="B5497" s="4" t="s">
        <v>13</v>
      </c>
      <c r="C5497" s="4"/>
    </row>
    <row r="5498" spans="1:3" ht="24" customHeight="1">
      <c r="A5498" s="4" t="str">
        <f ca="1">IFERROR(__xludf.DUMMYFUNCTION("""COMPUTED_VALUE"""),"परिसुरपतिसूनुधाम सद्यः समुपदधन्मुकुलानि मालतीनां । विरलं अपजहार बद्धबिन्दुः सरजसतां अवनेरपां निपातः ||")</f>
        <v>परिसुरपतिसूनुधाम सद्यः समुपदधन्मुकुलानि मालतीनां । विरलं अपजहार बद्धबिन्दुः सरजसतां अवनेरपां निपातः ||</v>
      </c>
      <c r="B5498" s="4" t="s">
        <v>2</v>
      </c>
      <c r="C5498" s="4"/>
    </row>
    <row r="5499" spans="1:3" ht="24" customHeight="1">
      <c r="A5499" s="4" t="str">
        <f ca="1">IFERROR(__xludf.DUMMYFUNCTION("""COMPUTED_VALUE"""),"प्रतिदिशं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||")</f>
        <v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||</v>
      </c>
      <c r="B5499" s="4" t="s">
        <v>19</v>
      </c>
      <c r="C5499" s="4"/>
    </row>
    <row r="5500" spans="1:3" ht="24" customHeight="1">
      <c r="A5500" s="4" t="str">
        <f ca="1">IFERROR(__xludf.DUMMYFUNCTION("""COMPUTED_VALUE"""),"व्यथितं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||")</f>
        <v>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||</v>
      </c>
      <c r="B5500" s="4" t="s">
        <v>5</v>
      </c>
      <c r="C5500" s="4"/>
    </row>
    <row r="5501" spans="1:3" ht="24" customHeight="1">
      <c r="A5501" s="4" t="str">
        <f ca="1">IFERROR(__xludf.DUMMYFUNCTION("""COMPUTED_VALUE"""),"अभिभवति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||")</f>
        <v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||</v>
      </c>
      <c r="B5501" s="4" t="s">
        <v>15</v>
      </c>
      <c r="C5501" s="4"/>
    </row>
    <row r="5502" spans="1:3" ht="24" customHeight="1">
      <c r="A5502" s="4" t="str">
        <f ca="1">IFERROR(__xludf.DUMMYFUNCTION("""COMPUTED_VALUE"""),"धृतबिसवलयावलिर्वहन्ती कुमुदवनैकदुकूलं आत्तबाणा । शरदमलतले सरोजपाणौ घनसमयेन वधूरिवाललम्बे ||")</f>
        <v>धृतबिसवलयावलिर्वहन्ती कुमुदवनैकदुकूलं आत्तबाणा । शरदमलतले सरोजपाणौ घनसमयेन वधूरिवाललम्बे ||</v>
      </c>
      <c r="B5502" s="4" t="s">
        <v>26</v>
      </c>
      <c r="C5502" s="4"/>
    </row>
    <row r="5503" spans="1:3" ht="24" customHeight="1">
      <c r="A5503" s="4" t="str">
        <f ca="1">IFERROR(__xludf.DUMMYFUNCTION("""COMPUTED_VALUE"""),"समदशिखिरुतानि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||")</f>
        <v>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||</v>
      </c>
      <c r="B5503" s="4" t="s">
        <v>15</v>
      </c>
      <c r="C5503" s="4"/>
    </row>
    <row r="5504" spans="1:3" ht="24" customHeight="1">
      <c r="A5504" s="4" t="str">
        <f ca="1">IFERROR(__xludf.DUMMYFUNCTION("""COMPUTED_VALUE"""),"सरजसं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||")</f>
        <v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||</v>
      </c>
      <c r="B5504" s="4" t="s">
        <v>1</v>
      </c>
      <c r="C5504" s="4"/>
    </row>
    <row r="5505" spans="1:3" ht="24" customHeight="1">
      <c r="A5505" s="4" t="str">
        <f ca="1">IFERROR(__xludf.DUMMYFUNCTION("""COMPUTED_VALUE"""),"मुकुलितं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||")</f>
        <v>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||</v>
      </c>
      <c r="B5505" s="4" t="s">
        <v>5</v>
      </c>
      <c r="C5505" s="4"/>
    </row>
    <row r="5506" spans="1:3" ht="24" customHeight="1">
      <c r="A5506" s="4" t="str">
        <f ca="1">IFERROR(__xludf.DUMMYFUNCTION("""COMPUTED_VALUE"""),"अविरलफलिनीवनप्रसूनः कुसुमितकुन्दसुगन्धिगन्धवाहः । गुणं असमयजं चिराय लेभे विरलतुषारकण्.अस्तुषारकालः ||")</f>
        <v>अविरलफलिनीवनप्रसूनः कुसुमितकुन्दसुगन्धिगन्धवाहः । गुणं असमयजं चिराय लेभे विरलतुषारकण्.अस्तुषारकालः ||</v>
      </c>
      <c r="B5506" s="4" t="s">
        <v>11</v>
      </c>
      <c r="C5506" s="4"/>
    </row>
    <row r="5507" spans="1:3" ht="24" customHeight="1">
      <c r="A5507" s="4" t="str">
        <f ca="1">IFERROR(__xludf.DUMMYFUNCTION("""COMPUTED_VALUE"""),"निचयिनि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||")</f>
        <v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||</v>
      </c>
      <c r="B5507" s="4" t="s">
        <v>2</v>
      </c>
      <c r="C5507" s="4"/>
    </row>
    <row r="5508" spans="1:3" ht="24" customHeight="1">
      <c r="A5508" s="4" t="str">
        <f ca="1">IFERROR(__xludf.DUMMYFUNCTION("""COMPUTED_VALUE"""),"कतिपयसहकारपुष्परम्यस्तनुतुहिनोऽल्पविनिद्रसिन्दुवारः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||")</f>
        <v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||</v>
      </c>
      <c r="B5508" s="4" t="s">
        <v>20</v>
      </c>
      <c r="C5508" s="4"/>
    </row>
    <row r="5509" spans="1:3" ht="24" customHeight="1">
      <c r="A5509" s="4" t="str">
        <f ca="1">IFERROR(__xludf.DUMMYFUNCTION("""COMPUTED_VALUE"""),"कुसुमनगवनान्युपैतुकामा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||")</f>
        <v>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||</v>
      </c>
      <c r="B5509" s="4" t="s">
        <v>12</v>
      </c>
      <c r="C5509" s="4"/>
    </row>
    <row r="5510" spans="1:3" ht="24" customHeight="1">
      <c r="A5510" s="4" t="str">
        <f ca="1">IFERROR(__xludf.DUMMYFUNCTION("""COMPUTED_VALUE"""),"विकसितकुसुमाधरं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||")</f>
        <v>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||</v>
      </c>
      <c r="B5510" s="4" t="s">
        <v>13</v>
      </c>
      <c r="C5510" s="4"/>
    </row>
    <row r="5511" spans="1:3" ht="24" customHeight="1">
      <c r="A5511" s="4" t="str">
        <f ca="1">IFERROR(__xludf.DUMMYFUNCTION("""COMPUTED_VALUE"""),"मुहुरनुपतता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||")</f>
        <v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||</v>
      </c>
      <c r="B5511" s="4" t="s">
        <v>5</v>
      </c>
      <c r="C5511" s="4"/>
    </row>
    <row r="5512" spans="1:3" ht="24" customHeight="1">
      <c r="A5512" s="4" t="str">
        <f ca="1">IFERROR(__xludf.DUMMYFUNCTION("""COMPUTED_VALUE"""),"श्वसनचलितपल्लवाधरोष्ठे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||")</f>
        <v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||</v>
      </c>
      <c r="B5512" s="4" t="s">
        <v>26</v>
      </c>
      <c r="C5512" s="4"/>
    </row>
    <row r="5513" spans="1:3" ht="24" customHeight="1">
      <c r="A5513" s="4" t="str">
        <f ca="1">IFERROR(__xludf.DUMMYFUNCTION("""COMPUTED_VALUE"""),"प्रभवति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||")</f>
        <v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||</v>
      </c>
      <c r="B5513" s="4" t="s">
        <v>18</v>
      </c>
      <c r="C5513" s="4"/>
    </row>
    <row r="5514" spans="1:3" ht="24" customHeight="1">
      <c r="A5514" s="4" t="str">
        <f ca="1">IFERROR(__xludf.DUMMYFUNCTION("""COMPUTED_VALUE"""),"कथं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||")</f>
        <v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||</v>
      </c>
      <c r="B5514" s="4" t="s">
        <v>11</v>
      </c>
      <c r="C5514" s="4"/>
    </row>
    <row r="5515" spans="1:3" ht="24" customHeight="1">
      <c r="A5515" s="4" t="str">
        <f ca="1">IFERROR(__xludf.DUMMYFUNCTION("""COMPUTED_VALUE"""),"बलवदपि बलं मिथोविरोधि प्रभवति नैव विपक्षनिर्जयाय । भुवनपरिभवी न यत्तदानीं तं ऋतुगणः क्षणं उन्मनीचकार ||")</f>
        <v>बलवदपि बलं मिथोविरोधि प्रभवति नैव विपक्षनिर्जयाय । भुवनपरिभवी न यत्तदानीं तं ऋतुगणः क्षणं उन्मनीचकार ||</v>
      </c>
      <c r="B5515" s="4" t="s">
        <v>0</v>
      </c>
      <c r="C5515" s="4"/>
    </row>
    <row r="5516" spans="1:3" ht="24" customHeight="1">
      <c r="A5516" s="4" t="str">
        <f ca="1">IFERROR(__xludf.DUMMYFUNCTION("""COMPUTED_VALUE"""),"श्रुतिसुखं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||")</f>
        <v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||</v>
      </c>
      <c r="B5516" s="4" t="s">
        <v>1</v>
      </c>
      <c r="C5516" s="4"/>
    </row>
    <row r="5517" spans="1:3" ht="24" customHeight="1">
      <c r="A5517" s="4" t="str">
        <f ca="1">IFERROR(__xludf.DUMMYFUNCTION("""COMPUTED_VALUE"""),"न दलति निचये तथोत्पलानां न च विषमच्छदगुच्छयूथिकासु । अभिरतुं उपलेभिरे यथासां हरितनयावयवेषु लोचनानि ||")</f>
        <v>न दलति निचये तथोत्पलानां न च विषमच्छदगुच्छयूथिकासु । अभिरतुं उपलेभिरे यथासां हरितनयावयवेषु लोचनानि ||</v>
      </c>
      <c r="B5517" s="4" t="s">
        <v>1</v>
      </c>
      <c r="C5517" s="4"/>
    </row>
    <row r="5518" spans="1:3" ht="24" customHeight="1">
      <c r="A5518" s="4" t="str">
        <f ca="1">IFERROR(__xludf.DUMMYFUNCTION("""COMPUTED_VALUE"""),"मुनिं अभिमुखतां निनीषवो याः समुपययुः कमनीयतागुणेन । मदनं उपदधे स एव तासां दुरधिगमा हि गतिः प्रयोजनानां ||")</f>
        <v>मुनिं अभिमुखतां निनीषवो याः समुपययुः कमनीयतागुणेन । मदनं उपदधे स एव तासां दुरधिगमा हि गतिः प्रयोजनानां ||</v>
      </c>
      <c r="B5518" s="4" t="s">
        <v>1</v>
      </c>
      <c r="C5518" s="4"/>
    </row>
    <row r="5519" spans="1:3" ht="24" customHeight="1">
      <c r="A5519" s="4" t="str">
        <f ca="1">IFERROR(__xludf.DUMMYFUNCTION("""COMPUTED_VALUE"""),"प्रकृतं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||")</f>
        <v>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||</v>
      </c>
      <c r="B5519" s="4" t="s">
        <v>1</v>
      </c>
      <c r="C5519" s="4"/>
    </row>
    <row r="5520" spans="1:3" ht="24" customHeight="1">
      <c r="A5520" s="4" t="str">
        <f ca="1">IFERROR(__xludf.DUMMYFUNCTION("""COMPUTED_VALUE"""),"अभिनयमनसः सुराङ्गनाया निहितं अलक्तकवर्तनाभिताम्रं । चरणं अभिपपात षट्पदाली धुतनवलोहितपङ्कजाभिशङ्का ||")</f>
        <v>अभिनयमनसः सुराङ्गनाया निहितं अलक्तकवर्तनाभिताम्रं । चरणं अभिपपात षट्पदाली धुतनवलोहितपङ्कजाभिशङ्का ||</v>
      </c>
      <c r="B5520" s="4" t="s">
        <v>19</v>
      </c>
      <c r="C5520" s="4"/>
    </row>
    <row r="5521" spans="1:3" ht="24" customHeight="1">
      <c r="A5521" s="4" t="str">
        <f ca="1">IFERROR(__xludf.DUMMYFUNCTION("""COMPUTED_VALUE"""),"अविरलं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||")</f>
        <v>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||</v>
      </c>
      <c r="B5521" s="4" t="s">
        <v>7</v>
      </c>
      <c r="C5521" s="4"/>
    </row>
    <row r="5522" spans="1:3" ht="24" customHeight="1">
      <c r="A5522" s="4" t="str">
        <f ca="1">IFERROR(__xludf.DUMMYFUNCTION("""COMPUTED_VALUE"""),"नृपसुतं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||")</f>
        <v>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||</v>
      </c>
      <c r="B5522" s="4" t="s">
        <v>1</v>
      </c>
      <c r="C5522" s="4"/>
    </row>
    <row r="5523" spans="1:3" ht="24" customHeight="1">
      <c r="A5523" s="4" t="str">
        <f ca="1">IFERROR(__xludf.DUMMYFUNCTION("""COMPUTED_VALUE"""),"अभिमुनि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||")</f>
        <v>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||</v>
      </c>
      <c r="B5523" s="4" t="s">
        <v>5</v>
      </c>
      <c r="C5523" s="4"/>
    </row>
    <row r="5524" spans="1:3" ht="24" customHeight="1">
      <c r="A5524" s="4" t="str">
        <f ca="1">IFERROR(__xludf.DUMMYFUNCTION("""COMPUTED_VALUE"""),"धृतबिसवलये निधाय पाणौ मुखं अधिरूषितपाण्डुगण्डलेखं । नृपसुतं अपरा स्मराभितापादमधुमदालसलोचनं निदध्यौ ||")</f>
        <v>धृतबिसवलये निधाय पाणौ मुखं अधिरूषितपाण्डुगण्डलेखं । नृपसुतं अपरा स्मराभितापादमधुमदालसलोचनं निदध्यौ ||</v>
      </c>
      <c r="B5524" s="4" t="s">
        <v>5</v>
      </c>
      <c r="C5524" s="4"/>
    </row>
    <row r="5525" spans="1:3" ht="24" customHeight="1">
      <c r="A5525" s="4" t="str">
        <f ca="1">IFERROR(__xludf.DUMMYFUNCTION("""COMPUTED_VALUE"""),"सखि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||")</f>
        <v>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||</v>
      </c>
      <c r="B5525" s="4" t="s">
        <v>17</v>
      </c>
      <c r="C5525" s="4"/>
    </row>
    <row r="5526" spans="1:3" ht="24" customHeight="1">
      <c r="A5526" s="4" t="str">
        <f ca="1">IFERROR(__xludf.DUMMYFUNCTION("""COMPUTED_VALUE"""),"चिरं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||")</f>
        <v>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||</v>
      </c>
      <c r="B5526" s="4" t="s">
        <v>18</v>
      </c>
      <c r="C5526" s="4"/>
    </row>
    <row r="5527" spans="1:3" ht="24" customHeight="1">
      <c r="A5527" s="4" t="str">
        <f ca="1">IFERROR(__xludf.DUMMYFUNCTION("""COMPUTED_VALUE"""),"अचकमत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||")</f>
        <v>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||</v>
      </c>
      <c r="B5527" s="4" t="s">
        <v>21</v>
      </c>
      <c r="C5527" s="4"/>
    </row>
    <row r="5528" spans="1:3" ht="24" customHeight="1">
      <c r="A5528" s="4" t="str">
        <f ca="1">IFERROR(__xludf.DUMMYFUNCTION("""COMPUTED_VALUE"""),"तदनघ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||")</f>
        <v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||</v>
      </c>
      <c r="B5528" s="4" t="s">
        <v>9</v>
      </c>
      <c r="C5528" s="4"/>
    </row>
    <row r="5529" spans="1:3" ht="24" customHeight="1">
      <c r="A5529" s="4" t="str">
        <f ca="1">IFERROR(__xludf.DUMMYFUNCTION("""COMPUTED_VALUE"""),"जहिहि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||")</f>
        <v>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||</v>
      </c>
      <c r="B5529" s="4" t="s">
        <v>16</v>
      </c>
      <c r="C5529" s="4"/>
    </row>
    <row r="5530" spans="1:3" ht="24" customHeight="1">
      <c r="A5530" s="4" t="str">
        <f ca="1">IFERROR(__xludf.DUMMYFUNCTION("""COMPUTED_VALUE"""),"सललितचलितत्रिकाभिरामाः शिरसिजसंयमनाकुलैकपाणिः । सुरपतितनयेऽपरा निरासे मनसिजजैत्रशरं विलोचनार्धं ||")</f>
        <v>सललितचलितत्रिकाभिरामाः शिरसिजसंयमनाकुलैकपाणिः । सुरपतितनयेऽपरा निरासे मनसिजजैत्रशरं विलोचनार्धं ||</v>
      </c>
      <c r="B5530" s="4" t="s">
        <v>20</v>
      </c>
      <c r="C5530" s="4"/>
    </row>
    <row r="5531" spans="1:3" ht="24" customHeight="1">
      <c r="A5531" s="4" t="str">
        <f ca="1">IFERROR(__xludf.DUMMYFUNCTION("""COMPUTED_VALUE"""),"कुसुमितं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काचिथ् ||")</f>
        <v>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काचिथ् ||</v>
      </c>
      <c r="B5531" s="4" t="s">
        <v>16</v>
      </c>
      <c r="C5531" s="4"/>
    </row>
    <row r="5532" spans="1:3" ht="24" customHeight="1">
      <c r="A5532" s="4" t="str">
        <f ca="1">IFERROR(__xludf.DUMMYFUNCTION("""COMPUTED_VALUE"""),"सरभसं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||")</f>
        <v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||</v>
      </c>
      <c r="B5532" s="4" t="s">
        <v>10</v>
      </c>
      <c r="C5532" s="4"/>
    </row>
    <row r="5533" spans="1:3" ht="24" customHeight="1">
      <c r="A5533" s="4" t="str">
        <f ca="1">IFERROR(__xludf.DUMMYFUNCTION("""COMPUTED_VALUE"""),"यदि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||")</f>
        <v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||</v>
      </c>
      <c r="B5533" s="4" t="s">
        <v>8</v>
      </c>
      <c r="C5533" s="4"/>
    </row>
    <row r="5534" spans="1:3" ht="24" customHeight="1">
      <c r="A5534" s="4" t="str">
        <f ca="1">IFERROR(__xludf.DUMMYFUNCTION("""COMPUTED_VALUE"""),"इति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||")</f>
        <v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||</v>
      </c>
      <c r="B5534" s="4" t="s">
        <v>1</v>
      </c>
      <c r="C5534" s="4"/>
    </row>
    <row r="5535" spans="1:3" ht="24" customHeight="1">
      <c r="A5535" s="4" t="str">
        <f ca="1">IFERROR(__xludf.DUMMYFUNCTION("""COMPUTED_VALUE"""),"सविनयं अपराभिसृत्य साचि स्मितसुभगैकलसत्कपोललक्ष्मीः । श्रवणनियमितेन तं निदध्य सकलं इवासकलेन लोचनेन ||")</f>
        <v>सविनयं अपराभिसृत्य साचि स्मितसुभगैकलसत्कपोललक्ष्मीः । श्रवणनियमितेन तं निदध्य सकलं इवासकलेन लोचनेन ||</v>
      </c>
      <c r="B5535" s="4" t="s">
        <v>1</v>
      </c>
      <c r="C5535" s="4"/>
    </row>
    <row r="5536" spans="1:3" ht="24" customHeight="1">
      <c r="A5536" s="4" t="str">
        <f ca="1">IFERROR(__xludf.DUMMYFUNCTION("""COMPUTED_VALUE"""),"करुणं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||")</f>
        <v>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||</v>
      </c>
      <c r="B5536" s="4" t="s">
        <v>12</v>
      </c>
      <c r="C5536" s="4"/>
    </row>
    <row r="5537" spans="1:3" ht="24" customHeight="1">
      <c r="A5537" s="4" t="str">
        <f ca="1">IFERROR(__xludf.DUMMYFUNCTION("""COMPUTED_VALUE"""),"असकलनयनेक्षितानि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||")</f>
        <v>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||</v>
      </c>
      <c r="B5537" s="4" t="s">
        <v>15</v>
      </c>
      <c r="C5537" s="4"/>
    </row>
    <row r="5538" spans="1:3" ht="24" customHeight="1">
      <c r="A5538" s="4" t="str">
        <f ca="1">IFERROR(__xludf.DUMMYFUNCTION("""COMPUTED_VALUE"""),"अलसपदमनोरमं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||")</f>
        <v>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||</v>
      </c>
      <c r="B5538" s="4" t="s">
        <v>4</v>
      </c>
      <c r="C5538" s="4"/>
    </row>
    <row r="5539" spans="1:3" ht="24" customHeight="1">
      <c r="A5539" s="4" t="str">
        <f ca="1">IFERROR(__xludf.DUMMYFUNCTION("""COMPUTED_VALUE"""),"भृशकुसुमशरेषुपातमोहादनवसितार्थपदाकुलोऽभिलापः । अधिकविततलोचनं वधूनां अयुगपदुन्नमितभ्रु वीक्षितं च ||")</f>
        <v>भृशकुसुमशरेषुपातमोहादनवसितार्थपदाकुलोऽभिलापः । अधिकविततलोचनं वधूनां अयुगपदुन्नमितभ्रु वीक्षितं च ||</v>
      </c>
      <c r="B5539" s="4" t="s">
        <v>16</v>
      </c>
      <c r="C5539" s="4"/>
    </row>
    <row r="5540" spans="1:3" ht="24" customHeight="1">
      <c r="A5540" s="4" t="str">
        <f ca="1">IFERROR(__xludf.DUMMYFUNCTION("""COMPUTED_VALUE"""),"रुचिकरं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||")</f>
        <v>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||</v>
      </c>
      <c r="B5540" s="4" t="s">
        <v>13</v>
      </c>
      <c r="C5540" s="4"/>
    </row>
    <row r="5541" spans="1:3" ht="24" customHeight="1">
      <c r="A5541" s="4" t="str">
        <f ca="1">IFERROR(__xludf.DUMMYFUNCTION("""COMPUTED_VALUE"""),"स्वयं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||")</f>
        <v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||</v>
      </c>
      <c r="B5541" s="4" t="s">
        <v>5</v>
      </c>
      <c r="C5541" s="4"/>
    </row>
    <row r="5542" spans="1:3" ht="24" customHeight="1">
      <c r="A5542" s="4" t="str">
        <f ca="1">IFERROR(__xludf.DUMMYFUNCTION("""COMPUTED_VALUE"""),"अथामर्षान्निसर्गाच्च जितेन्द्रियतया तया । आगजामाश्रमं जिष्णोः प्रतीतः पाकशासनः ||")</f>
        <v>अथामर्षान्निसर्गाच्च जितेन्द्रियतया तया । आगजामाश्रमं जिष्णोः प्रतीतः पाकशासनः ||</v>
      </c>
      <c r="B5542" s="4" t="s">
        <v>1</v>
      </c>
      <c r="C5542" s="4"/>
    </row>
    <row r="5543" spans="1:3" ht="24" customHeight="1">
      <c r="A5543" s="4" t="str">
        <f ca="1">IFERROR(__xludf.DUMMYFUNCTION("""COMPUTED_VALUE"""),"मुनिरूपोऽनुरूपेण सूनुना ददृशे पुरः । द्राघीयसा वयोतीतः परिक्लान्तः किलाध्वना ||")</f>
        <v>मुनिरूपोऽनुरूपेण सूनुना ददृशे पुरः । द्राघीयसा वयोतीतः परिक्लान्तः किलाध्वना ||</v>
      </c>
      <c r="B5543" s="4" t="s">
        <v>1</v>
      </c>
      <c r="C5543" s="4"/>
    </row>
    <row r="5544" spans="1:3" ht="24" customHeight="1">
      <c r="A5544" s="4" t="str">
        <f ca="1">IFERROR(__xludf.DUMMYFUNCTION("""COMPUTED_VALUE"""),"जटानां कीर्णया केशैः संहत्या परितः सितैः । पृक्तयेन्दुकरैरह्नः पर्यन्त इव संध्यया ||")</f>
        <v>जटानां कीर्णया केशैः संहत्या परितः सितैः । पृक्तयेन्दुकरैरह्नः पर्यन्त इव संध्यया ||</v>
      </c>
      <c r="B5544" s="4" t="s">
        <v>5</v>
      </c>
      <c r="C5544" s="4"/>
    </row>
    <row r="5545" spans="1:3" ht="24" customHeight="1">
      <c r="A5545" s="4" t="str">
        <f ca="1">IFERROR(__xludf.DUMMYFUNCTION("""COMPUTED_VALUE"""),"विशदभ्रूयुगच्छन्न- वलितापाङ्गलोचनः । प्रालेयावततिम्लान- पलाशाब्ज इव ह्रदः ||")</f>
        <v>विशदभ्रूयुगच्छन्न- वलितापाङ्गलोचनः । प्रालेयावततिम्लान- पलाशाब्ज इव ह्रदः ||</v>
      </c>
      <c r="B5545" s="4" t="s">
        <v>17</v>
      </c>
      <c r="C5545" s="4"/>
    </row>
    <row r="5546" spans="1:3" ht="24" customHeight="1">
      <c r="A5546" s="4" t="str">
        <f ca="1">IFERROR(__xludf.DUMMYFUNCTION("""COMPUTED_VALUE"""),"आसक्तभरनीकाशैरङ्गैः परिकृशैरपि । अद्यूनः सद्गृहिण्येव प्रायो यष्ट्यावलम्बितः ||")</f>
        <v>आसक्तभरनीकाशैरङ्गैः परिकृशैरपि । अद्यूनः सद्गृहिण्येव प्रायो यष्ट्यावलम्बितः ||</v>
      </c>
      <c r="B5546" s="4" t="s">
        <v>2</v>
      </c>
      <c r="C5546" s="4"/>
    </row>
    <row r="5547" spans="1:3" ht="24" customHeight="1">
      <c r="A5547" s="4" t="str">
        <f ca="1">IFERROR(__xludf.DUMMYFUNCTION("""COMPUTED_VALUE"""),"गूढोऽपि वपुषा राजन्धाम्ना लोकाभिभाविना । अंशुमानिव तन्वभ्र- पटलच्छन्नविग्रहः ||")</f>
        <v>गूढोऽपि वपुषा राजन्धाम्ना लोकाभिभाविना । अंशुमानिव तन्वभ्र- पटलच्छन्नविग्रहः ||</v>
      </c>
      <c r="B5547" s="4" t="s">
        <v>24</v>
      </c>
      <c r="C5547" s="4"/>
    </row>
    <row r="5548" spans="1:3" ht="24" customHeight="1">
      <c r="A5548" s="4" t="str">
        <f ca="1">IFERROR(__xludf.DUMMYFUNCTION("""COMPUTED_VALUE"""),"जरतीं अपि बिभ्राणस्तनुं अप्राकृताकृतिः ।चकाराक्रान्तलक्ष्मीकः ससाध्वसं इवाश्रयं ||")</f>
        <v>जरतीं अपि बिभ्राणस्तनुं अप्राकृताकृतिः ।चकाराक्रान्तलक्ष्मीकः ससाध्वसं इवाश्रयं ||</v>
      </c>
      <c r="B5548" s="4" t="s">
        <v>5</v>
      </c>
      <c r="C5548" s="4"/>
    </row>
    <row r="5549" spans="1:3" ht="24" customHeight="1">
      <c r="A5549" s="4" t="str">
        <f ca="1">IFERROR(__xludf.DUMMYFUNCTION("""COMPUTED_VALUE"""),"अभितस्तं पृथासूनुः स्नेहेन परितस्तरे । अविज्ञातेऽपि बन्धौ हि बलात्प्रह्लादते मनः ||")</f>
        <v>अभितस्तं पृथासूनुः स्नेहेन परितस्तरे । अविज्ञातेऽपि बन्धौ हि बलात्प्रह्लादते मनः ||</v>
      </c>
      <c r="B5549" s="4" t="s">
        <v>1</v>
      </c>
      <c r="C5549" s="4"/>
    </row>
    <row r="5550" spans="1:3" ht="24" customHeight="1">
      <c r="A5550" s="4" t="str">
        <f ca="1">IFERROR(__xludf.DUMMYFUNCTION("""COMPUTED_VALUE"""),"आतिथेयीं अथासाद्य सुतादपचितिं हरिः । विश्रम्य विष्टरे नाम व्याजहारेति भारतीं ||")</f>
        <v>आतिथेयीं अथासाद्य सुतादपचितिं हरिः । विश्रम्य विष्टरे नाम व्याजहारेति भारतीं ||</v>
      </c>
      <c r="B5550" s="4" t="s">
        <v>2</v>
      </c>
      <c r="C5550" s="4"/>
    </row>
    <row r="5551" spans="1:3" ht="24" customHeight="1">
      <c r="A5551" s="4" t="str">
        <f ca="1">IFERROR(__xludf.DUMMYFUNCTION("""COMPUTED_VALUE"""),"त्वया साधु समारम्भि नवे वयसि यत्तपः । ह्रियते विषयैः प्रायो वर्षीयानपि मादृशः ||")</f>
        <v>त्वया साधु समारम्भि नवे वयसि यत्तपः । ह्रियते विषयैः प्रायो वर्षीयानपि मादृशः ||</v>
      </c>
      <c r="B5551" s="4" t="s">
        <v>8</v>
      </c>
      <c r="C5551" s="4"/>
    </row>
    <row r="5552" spans="1:3" ht="24" customHeight="1">
      <c r="A5552" s="4" t="str">
        <f ca="1">IFERROR(__xludf.DUMMYFUNCTION("""COMPUTED_VALUE"""),"श्रेयसीं तव सम्प्राप्ता गुणसम्पदं आकृतिः । सुलभा रम्यता लोके दुर्लभं हि गुणार्जनं ||")</f>
        <v>श्रेयसीं तव सम्प्राप्ता गुणसम्पदं आकृतिः । सुलभा रम्यता लोके दुर्लभं हि गुणार्जनं ||</v>
      </c>
      <c r="B5552" s="4" t="s">
        <v>1</v>
      </c>
      <c r="C5552" s="4"/>
    </row>
    <row r="5553" spans="1:3" ht="24" customHeight="1">
      <c r="A5553" s="4" t="str">
        <f ca="1">IFERROR(__xludf.DUMMYFUNCTION("""COMPUTED_VALUE"""),"शरदम्बुधरच्छाया गत्वर्यो यौवनश्रियः । आपातरम्या विषयाः पर्यन्तपरितापिनः ||")</f>
        <v>शरदम्बुधरच्छाया गत्वर्यो यौवनश्रियः । आपातरम्या विषयाः पर्यन्तपरितापिनः ||</v>
      </c>
      <c r="B5553" s="4" t="s">
        <v>1</v>
      </c>
      <c r="C5553" s="4"/>
    </row>
    <row r="5554" spans="1:3" ht="24" customHeight="1">
      <c r="A5554" s="4" t="str">
        <f ca="1">IFERROR(__xludf.DUMMYFUNCTION("""COMPUTED_VALUE"""),"अन्तकः पर्यवस्थाता जन्मिनः संततापदः । इति त्याज्ये भवे भव्यो मुक्तावुत्तिष्ठते मनः ||")</f>
        <v>अन्तकः पर्यवस्थाता जन्मिनः संततापदः । इति त्याज्ये भवे भव्यो मुक्तावुत्तिष्ठते मनः ||</v>
      </c>
      <c r="B5554" s="4" t="s">
        <v>1</v>
      </c>
      <c r="C5554" s="4"/>
    </row>
    <row r="5555" spans="1:3" ht="24" customHeight="1">
      <c r="A5555" s="4" t="str">
        <f ca="1">IFERROR(__xludf.DUMMYFUNCTION("""COMPUTED_VALUE"""),"चित्तवानसि कल्याणी यत्त्वां मतिरुपस्थिता । विरुद्धः केवलं वेषः संदेहयति मे मनः ||")</f>
        <v>चित्तवानसि कल्याणी यत्त्वां मतिरुपस्थिता । विरुद्धः केवलं वेषः संदेहयति मे मनः ||</v>
      </c>
      <c r="B5555" s="4" t="s">
        <v>1</v>
      </c>
      <c r="C5555" s="4"/>
    </row>
    <row r="5556" spans="1:3" ht="24" customHeight="1">
      <c r="A5556" s="4" t="str">
        <f ca="1">IFERROR(__xludf.DUMMYFUNCTION("""COMPUTED_VALUE"""),"युयुत्सुनेव कवचं किं आमुक्तं इदं त्वया । तपस्विनो हि वसते केवलाजिनवल्कले ||")</f>
        <v>युयुत्सुनेव कवचं किं आमुक्तं इदं त्वया । तपस्विनो हि वसते केवलाजिनवल्कले ||</v>
      </c>
      <c r="B5556" s="4" t="s">
        <v>11</v>
      </c>
      <c r="C5556" s="4"/>
    </row>
    <row r="5557" spans="1:3" ht="24" customHeight="1">
      <c r="A5557" s="4" t="str">
        <f ca="1">IFERROR(__xludf.DUMMYFUNCTION("""COMPUTED_VALUE"""),"प्रपित्सोः किं च ते मुक्तिं निःस्पृहस्य कलेवरे । महेषुधी धनुर्भीमं भूतानां अनभिद्रुहः ||")</f>
        <v>प्रपित्सोः किं च ते मुक्तिं निःस्पृहस्य कलेवरे । महेषुधी धनुर्भीमं भूतानां अनभिद्रुहः ||</v>
      </c>
      <c r="B5557" s="4" t="s">
        <v>24</v>
      </c>
      <c r="C5557" s="4"/>
    </row>
    <row r="5558" spans="1:3" ht="24" customHeight="1">
      <c r="A5558" s="4" t="str">
        <f ca="1">IFERROR(__xludf.DUMMYFUNCTION("""COMPUTED_VALUE"""),"भयंकरः प्राणभृतां मृत्योर्भुज इवापरः । असिस्तव तपस्थस्य न समर्थयते शमं ||")</f>
        <v>भयंकरः प्राणभृतां मृत्योर्भुज इवापरः । असिस्तव तपस्थस्य न समर्थयते शमं ||</v>
      </c>
      <c r="B5558" s="4" t="s">
        <v>12</v>
      </c>
      <c r="C5558" s="4"/>
    </row>
    <row r="5559" spans="1:3" ht="24" customHeight="1">
      <c r="A5559" s="4" t="str">
        <f ca="1">IFERROR(__xludf.DUMMYFUNCTION("""COMPUTED_VALUE"""),"जयं अत्रभवान्नूनं अरातिष्वभिलाषुकः । क्रोधलक्ष्म क्षमावन्तः क्वायुधं क्व तपोधनाः ||")</f>
        <v>जयं अत्रभवान्नूनं अरातिष्वभिलाषुकः । क्रोधलक्ष्म क्षमावन्तः क्वायुधं क्व तपोधनाः ||</v>
      </c>
      <c r="B5559" s="4" t="s">
        <v>1</v>
      </c>
      <c r="C5559" s="4"/>
    </row>
    <row r="5560" spans="1:3" ht="24" customHeight="1">
      <c r="A5560" s="4" t="str">
        <f ca="1">IFERROR(__xludf.DUMMYFUNCTION("""COMPUTED_VALUE"""),"यः करोति वधोदर्का निःश्रेयसकरीः क्रियाः । ग्लानिदोषच्छिदः स्वच्छाः स मूढः पङ्कयत्यपः ||")</f>
        <v>यः करोति वधोदर्का निःश्रेयसकरीः क्रियाः । ग्लानिदोषच्छिदः स्वच्छाः स मूढः पङ्कयत्यपः ||</v>
      </c>
      <c r="B5560" s="4" t="s">
        <v>9</v>
      </c>
      <c r="C5560" s="4"/>
    </row>
    <row r="5561" spans="1:3" ht="24" customHeight="1">
      <c r="A5561" s="4" t="str">
        <f ca="1">IFERROR(__xludf.DUMMYFUNCTION("""COMPUTED_VALUE"""),"मूलं दोषस्य हिंसादेरर्थकामौ स्म मा पुषः । तौ हि तत्त्वावबोधस्य दुरुच्छेदावुपप्लवौ ||")</f>
        <v>मूलं दोषस्य हिंसादेरर्थकामौ स्म मा पुषः । तौ हि तत्त्वावबोधस्य दुरुच्छेदावुपप्लवौ ||</v>
      </c>
      <c r="B5561" s="4" t="s">
        <v>4</v>
      </c>
      <c r="C5561" s="4"/>
    </row>
    <row r="5562" spans="1:3" ht="24" customHeight="1">
      <c r="A5562" s="4" t="str">
        <f ca="1">IFERROR(__xludf.DUMMYFUNCTION("""COMPUTED_VALUE"""),"अभिद्रोहेण भूतानां अर्जयन्गत्वरीः श्रियः । उदन्वानिव सिन्धूनां आपदां एति पात्रतां ||")</f>
        <v>अभिद्रोहेण भूतानां अर्जयन्गत्वरीः श्रियः । उदन्वानिव सिन्धूनां आपदां एति पात्रतां ||</v>
      </c>
      <c r="B5562" s="4" t="s">
        <v>2</v>
      </c>
      <c r="C5562" s="4"/>
    </row>
    <row r="5563" spans="1:3" ht="24" customHeight="1">
      <c r="A5563" s="4" t="str">
        <f ca="1">IFERROR(__xludf.DUMMYFUNCTION("""COMPUTED_VALUE"""),"या गम्याः सत्सहायानां यासु खेदो भयं यतः । तासां किं यन्न दुःखाय विपदां इव सम्पदां ||")</f>
        <v>या गम्याः सत्सहायानां यासु खेदो भयं यतः । तासां किं यन्न दुःखाय विपदां इव सम्पदां ||</v>
      </c>
      <c r="B5563" s="4" t="s">
        <v>17</v>
      </c>
      <c r="C5563" s="4"/>
    </row>
    <row r="5564" spans="1:3" ht="24" customHeight="1">
      <c r="A5564" s="4" t="str">
        <f ca="1">IFERROR(__xludf.DUMMYFUNCTION("""COMPUTED_VALUE"""),"दुरासदानरीनुग्रान्धृतेर्विश्वासजन्मनः । भोगान्भोगानिवाहेयानध्यास्यापन्न दुर्लभा ||")</f>
        <v>दुरासदानरीनुग्रान्धृतेर्विश्वासजन्मनः । भोगान्भोगानिवाहेयानध्यास्यापन्न दुर्लभा ||</v>
      </c>
      <c r="B5564" s="4" t="s">
        <v>6</v>
      </c>
      <c r="C5564" s="4"/>
    </row>
    <row r="5565" spans="1:3" ht="24" customHeight="1">
      <c r="A5565" s="4" t="str">
        <f ca="1">IFERROR(__xludf.DUMMYFUNCTION("""COMPUTED_VALUE"""),"नान्तरज्ञाः श्रियो जातु प्रियैरासां न भूयते । आसक्तास्तास्वमी मूढा वामशीला हि जन्तवः ||")</f>
        <v>नान्तरज्ञाः श्रियो जातु प्रियैरासां न भूयते । आसक्तास्तास्वमी मूढा वामशीला हि जन्तवः ||</v>
      </c>
      <c r="B5565" s="4" t="s">
        <v>4</v>
      </c>
      <c r="C5565" s="4"/>
    </row>
    <row r="5566" spans="1:3" ht="24" customHeight="1">
      <c r="A5566" s="4" t="str">
        <f ca="1">IFERROR(__xludf.DUMMYFUNCTION("""COMPUTED_VALUE"""),"कोऽपवादः स्तुतिपदे यदशीलेषु चञ्चलाः । साधुवृत्तानपि क्षुद्रा विक्षिपन्त्येव सम्पदः ||")</f>
        <v>कोऽपवादः स्तुतिपदे यदशीलेषु चञ्चलाः । साधुवृत्तानपि क्षुद्रा विक्षिपन्त्येव सम्पदः ||</v>
      </c>
      <c r="B5566" s="4" t="s">
        <v>17</v>
      </c>
      <c r="C5566" s="4"/>
    </row>
    <row r="5567" spans="1:3" ht="24" customHeight="1">
      <c r="A5567" s="4" t="str">
        <f ca="1">IFERROR(__xludf.DUMMYFUNCTION("""COMPUTED_VALUE"""),"कृतवानन्यदेहेषु कर्ता च विधुरं मनः । अप्रियैरिव संयोगो विप्रयोगः प्रियैः सह ||")</f>
        <v>कृतवानन्यदेहेषु कर्ता च विधुरं मनः । अप्रियैरिव संयोगो विप्रयोगः प्रियैः सह ||</v>
      </c>
      <c r="B5567" s="4" t="s">
        <v>24</v>
      </c>
      <c r="C5567" s="4"/>
    </row>
    <row r="5568" spans="1:3" ht="24" customHeight="1">
      <c r="A5568" s="4" t="str">
        <f ca="1">IFERROR(__xludf.DUMMYFUNCTION("""COMPUTED_VALUE"""),"शून्यं आकीर्णतां एति तुल्यं व्यसनं उत्सवैः । विप्रलम्भोऽपि लाभाय सति प्रियसमागमे ||")</f>
        <v>शून्यं आकीर्णतां एति तुल्यं व्यसनं उत्सवैः । विप्रलम्भोऽपि लाभाय सति प्रियसमागमे ||</v>
      </c>
      <c r="B5568" s="4" t="s">
        <v>12</v>
      </c>
      <c r="C5568" s="4"/>
    </row>
    <row r="5569" spans="1:3" ht="24" customHeight="1">
      <c r="A5569" s="4" t="str">
        <f ca="1">IFERROR(__xludf.DUMMYFUNCTION("""COMPUTED_VALUE"""),"तदा रम्याण्यरम्याणि प्रियाः शल्यं तदासवः । तदैकाकी सबन्धुः सन्निष्टेन रहितो यदा ||")</f>
        <v>तदा रम्याण्यरम्याणि प्रियाः शल्यं तदासवः । तदैकाकी सबन्धुः सन्निष्टेन रहितो यदा ||</v>
      </c>
      <c r="B5569" s="4" t="s">
        <v>17</v>
      </c>
      <c r="C5569" s="4"/>
    </row>
    <row r="5570" spans="1:3" ht="24" customHeight="1">
      <c r="A5570" s="4" t="str">
        <f ca="1">IFERROR(__xludf.DUMMYFUNCTION("""COMPUTED_VALUE"""),"युक्तः प्रमाद्यसि हितादपेतः परितप्यसे । यदि नेष्टात्मनः पीडा मा सञ्जि भवता जने ||")</f>
        <v>युक्तः प्रमाद्यसि हितादपेतः परितप्यसे । यदि नेष्टात्मनः पीडा मा सञ्जि भवता जने ||</v>
      </c>
      <c r="B5570" s="4" t="s">
        <v>1</v>
      </c>
      <c r="C5570" s="4"/>
    </row>
    <row r="5571" spans="1:3" ht="24" customHeight="1">
      <c r="A5571" s="4" t="str">
        <f ca="1">IFERROR(__xludf.DUMMYFUNCTION("""COMPUTED_VALUE"""),"जन्मिनोऽस्य स्थितिं विद्वांल्लक्ष्मीं इव चलाचलां । भवान्मा स्म वधीन्न्याय्यं न्यायाधारा हि साधवः ||")</f>
        <v>जन्मिनोऽस्य स्थितिं विद्वांल्लक्ष्मीं इव चलाचलां । भवान्मा स्म वधीन्न्याय्यं न्यायाधारा हि साधवः ||</v>
      </c>
      <c r="B5571" s="4" t="s">
        <v>4</v>
      </c>
      <c r="C5571" s="4"/>
    </row>
    <row r="5572" spans="1:3" ht="24" customHeight="1">
      <c r="A5572" s="4" t="str">
        <f ca="1">IFERROR(__xludf.DUMMYFUNCTION("""COMPUTED_VALUE"""),"विजहीहि रणोत्साहं मा तपः साधि नीनशः । उच्छेदं जन्मनः कर्तुं एधि शान्तस्तपोधन ||")</f>
        <v>विजहीहि रणोत्साहं मा तपः साधि नीनशः । उच्छेदं जन्मनः कर्तुं एधि शान्तस्तपोधन ||</v>
      </c>
      <c r="B5572" s="4" t="s">
        <v>1</v>
      </c>
      <c r="C5572" s="4"/>
    </row>
    <row r="5573" spans="1:3" ht="24" customHeight="1">
      <c r="A5573" s="4" t="str">
        <f ca="1">IFERROR(__xludf.DUMMYFUNCTION("""COMPUTED_VALUE"""),"जीयन्तां दुर्जया देहे रिपवश्चक्षुरादयः । जितेषु ननु लोकोऽयं तेषु कृत्स्नस्त्वया जितः ||")</f>
        <v>जीयन्तां दुर्जया देहे रिपवश्चक्षुरादयः । जितेषु ननु लोकोऽयं तेषु कृत्स्नस्त्वया जितः ||</v>
      </c>
      <c r="B5573" s="4" t="s">
        <v>2</v>
      </c>
      <c r="C5573" s="4"/>
    </row>
    <row r="5574" spans="1:3" ht="24" customHeight="1">
      <c r="A5574" s="4" t="str">
        <f ca="1">IFERROR(__xludf.DUMMYFUNCTION("""COMPUTED_VALUE"""),"परवानर्थसंसिद्धौ नीचवृत्तिरपत्रपः । अविधेयेन्द्रियः पुंसां गौरिवैतेइ विधेयतां ||")</f>
        <v>परवानर्थसंसिद्धौ नीचवृत्तिरपत्रपः । अविधेयेन्द्रियः पुंसां गौरिवैतेइ विधेयतां ||</v>
      </c>
      <c r="B5574" s="4" t="s">
        <v>2</v>
      </c>
      <c r="C5574" s="4"/>
    </row>
    <row r="5575" spans="1:3" ht="24" customHeight="1">
      <c r="A5575" s="4" t="str">
        <f ca="1">IFERROR(__xludf.DUMMYFUNCTION("""COMPUTED_VALUE"""),"श्वस्त्वया सुखसंवित्तिः स्मरणीयाधुनातनी । इति स्वप्नोपमान्मत्वा कामान्मा गास्तदङ्गतां ||")</f>
        <v>श्वस्त्वया सुखसंवित्तिः स्मरणीयाधुनातनी । इति स्वप्नोपमान्मत्वा कामान्मा गास्तदङ्गतां ||</v>
      </c>
      <c r="B5575" s="4" t="s">
        <v>2</v>
      </c>
      <c r="C5575" s="4"/>
    </row>
    <row r="5576" spans="1:3" ht="24" customHeight="1">
      <c r="A5576" s="4" t="str">
        <f ca="1">IFERROR(__xludf.DUMMYFUNCTION("""COMPUTED_VALUE"""),"श्रद्धेया विप्रलब्धारः प्रिया विप्रियकारिणः । सुदुस्त्यजास्त्यजन्तोऽपि कामाः कष्टा हि शत्रवः ||")</f>
        <v>श्रद्धेया विप्रलब्धारः प्रिया विप्रियकारिणः । सुदुस्त्यजास्त्यजन्तोऽपि कामाः कष्टा हि शत्रवः ||</v>
      </c>
      <c r="B5576" s="4" t="s">
        <v>4</v>
      </c>
      <c r="C5576" s="4"/>
    </row>
    <row r="5577" spans="1:3" ht="24" customHeight="1">
      <c r="A5577" s="4" t="str">
        <f ca="1">IFERROR(__xludf.DUMMYFUNCTION("""COMPUTED_VALUE"""),"विविक्तेऽस्मिन्नगे भूयः प्लाविते जह्नुकन्यया । प्रत्यासीदति मुक्तिस्त्वां पुरा मा भूरुदायुधः ||")</f>
        <v>विविक्तेऽस्मिन्नगे भूयः प्लाविते जह्नुकन्यया । प्रत्यासीदति मुक्तिस्त्वां पुरा मा भूरुदायुधः ||</v>
      </c>
      <c r="B5577" s="4" t="s">
        <v>20</v>
      </c>
      <c r="C5577" s="4"/>
    </row>
    <row r="5578" spans="1:3" ht="24" customHeight="1">
      <c r="A5578" s="4" t="str">
        <f ca="1">IFERROR(__xludf.DUMMYFUNCTION("""COMPUTED_VALUE"""),"व्याहृत्य मरुतां पत्याविति वाचं अवस्थिते । वचः प्रश्रयगम्भीरं अथोवाच कपिध्वजः ||")</f>
        <v>व्याहृत्य मरुतां पत्याविति वाचं अवस्थिते । वचः प्रश्रयगम्भीरं अथोवाच कपिध्वजः ||</v>
      </c>
      <c r="B5578" s="4" t="s">
        <v>3</v>
      </c>
      <c r="C5578" s="4"/>
    </row>
    <row r="5579" spans="1:3" ht="24" customHeight="1">
      <c r="A5579" s="4" t="str">
        <f ca="1">IFERROR(__xludf.DUMMYFUNCTION("""COMPUTED_VALUE"""),"प्रसादरम्यं ओजस्वि गरीयो लाघवान्वितं । साकाङ्क्षं अनुपस्कारं विष्वग्गति निराकुलं ||")</f>
        <v>प्रसादरम्यं ओजस्वि गरीयो लाघवान्वितं । साकाङ्क्षं अनुपस्कारं विष्वग्गति निराकुलं ||</v>
      </c>
      <c r="B5579" s="4" t="s">
        <v>11</v>
      </c>
      <c r="C5579" s="4"/>
    </row>
    <row r="5580" spans="1:3" ht="24" customHeight="1">
      <c r="A5580" s="4" t="str">
        <f ca="1">IFERROR(__xludf.DUMMYFUNCTION("""COMPUTED_VALUE"""),"न्यायनिर्णीतसारत्वान्निरपेक्षं इवागमे । अप्रकम्प्यतयान्येषां आम्नायवचनोपमं ||")</f>
        <v>न्यायनिर्णीतसारत्वान्निरपेक्षं इवागमे । अप्रकम्प्यतयान्येषां आम्नायवचनोपमं ||</v>
      </c>
      <c r="B5580" s="4" t="s">
        <v>12</v>
      </c>
      <c r="C5580" s="4"/>
    </row>
    <row r="5581" spans="1:3" ht="24" customHeight="1">
      <c r="A5581" s="4" t="str">
        <f ca="1">IFERROR(__xludf.DUMMYFUNCTION("""COMPUTED_VALUE"""),"अलङ्घ्यत्वाज्जनैरन्यैः क्षुभितोदन्वदूर्जितं । औदार्यादर्थसम्पत्तेः शान्तं चित्तं ऋषेरिव ||")</f>
        <v>अलङ्घ्यत्वाज्जनैरन्यैः क्षुभितोदन्वदूर्जितं । औदार्यादर्थसम्पत्तेः शान्तं चित्तं ऋषेरिव ||</v>
      </c>
      <c r="B5581" s="4" t="s">
        <v>4</v>
      </c>
      <c r="C5581" s="4"/>
    </row>
    <row r="5582" spans="1:3" ht="24" customHeight="1">
      <c r="A5582" s="4" t="str">
        <f ca="1">IFERROR(__xludf.DUMMYFUNCTION("""COMPUTED_VALUE"""),"इदं ईदृग्गुणोपेतं लब्धावसरसाधनं । व्याकुर्यात्कः प्रियं वाक्यं यो वक्ता नेदृगाशयः ||")</f>
        <v>इदं ईदृग्गुणोपेतं लब्धावसरसाधनं । व्याकुर्यात्कः प्रियं वाक्यं यो वक्ता नेदृगाशयः ||</v>
      </c>
      <c r="B5582" s="4" t="s">
        <v>5</v>
      </c>
      <c r="C5582" s="4"/>
    </row>
    <row r="5583" spans="1:3" ht="24" customHeight="1">
      <c r="A5583" s="4" t="str">
        <f ca="1">IFERROR(__xludf.DUMMYFUNCTION("""COMPUTED_VALUE"""),"न ज्ञातं तात यत्नस्य पौर्वापर्यं अमुष्य ते । शासितुं येन मां धर्मं मुनिभिस्तुल्यं इच्छसि ||")</f>
        <v>न ज्ञातं तात यत्नस्य पौर्वापर्यं अमुष्य ते । शासितुं येन मां धर्मं मुनिभिस्तुल्यं इच्छसि ||</v>
      </c>
      <c r="B5583" s="4" t="s">
        <v>18</v>
      </c>
      <c r="C5583" s="4"/>
    </row>
    <row r="5584" spans="1:3" ht="24" customHeight="1">
      <c r="A5584" s="4" t="str">
        <f ca="1">IFERROR(__xludf.DUMMYFUNCTION("""COMPUTED_VALUE"""),"अविज्ञातप्रबन्धस्य वचो वाचस्पतेरिव । व्रजत्यफलतां एव नयद्रुह इवेहितं ||")</f>
        <v>अविज्ञातप्रबन्धस्य वचो वाचस्पतेरिव । व्रजत्यफलतां एव नयद्रुह इवेहितं ||</v>
      </c>
      <c r="B5584" s="4" t="s">
        <v>2</v>
      </c>
      <c r="C5584" s="4"/>
    </row>
    <row r="5585" spans="1:3" ht="24" customHeight="1">
      <c r="A5585" s="4" t="str">
        <f ca="1">IFERROR(__xludf.DUMMYFUNCTION("""COMPUTED_VALUE"""),"श्रेयसोऽप्यस्य ते तात वचसो नास्मि भाजनं । नभसः स्फुटतारस्य रात्रेरिव विपर्ययः ||")</f>
        <v>श्रेयसोऽप्यस्य ते तात वचसो नास्मि भाजनं । नभसः स्फुटतारस्य रात्रेरिव विपर्ययः ||</v>
      </c>
      <c r="B5585" s="4" t="s">
        <v>5</v>
      </c>
      <c r="C5585" s="4"/>
    </row>
    <row r="5586" spans="1:3" ht="24" customHeight="1">
      <c r="A5586" s="4" t="str">
        <f ca="1">IFERROR(__xludf.DUMMYFUNCTION("""COMPUTED_VALUE"""),"क्षत्रियस्तनयः पाण्डोरहं पार्थो धनंजयः । स्थितः प्रास्तस्य दायादैर्भ्रातुर्ज्येष्ठस्य शासने ||")</f>
        <v>क्षत्रियस्तनयः पाण्डोरहं पार्थो धनंजयः । स्थितः प्रास्तस्य दायादैर्भ्रातुर्ज्येष्ठस्य शासने ||</v>
      </c>
      <c r="B5586" s="4" t="s">
        <v>1</v>
      </c>
      <c r="C5586" s="4"/>
    </row>
    <row r="5587" spans="1:3" ht="24" customHeight="1">
      <c r="A5587" s="4" t="str">
        <f ca="1">IFERROR(__xludf.DUMMYFUNCTION("""COMPUTED_VALUE"""),"कृष्णद्वैपायनादेशाद्बिभर्मि व्रतं ईदृशं । भृशं आराधने यत्तः स्वाराध्यस्य मरुत्वतः ||")</f>
        <v>कृष्णद्वैपायनादेशाद्बिभर्मि व्रतं ईदृशं । भृशं आराधने यत्तः स्वाराध्यस्य मरुत्वतः ||</v>
      </c>
      <c r="B5587" s="4" t="s">
        <v>2</v>
      </c>
      <c r="C5587" s="4"/>
    </row>
    <row r="5588" spans="1:3" ht="24" customHeight="1">
      <c r="A5588" s="4" t="str">
        <f ca="1">IFERROR(__xludf.DUMMYFUNCTION("""COMPUTED_VALUE"""),"दुरक्षान्दीव्यता राज्ञा राज्यं आत्मा वयं वधूः । नीतानि पणतां नूनं ईदृशी भवितव्यता ||")</f>
        <v>दुरक्षान्दीव्यता राज्ञा राज्यं आत्मा वयं वधूः । नीतानि पणतां नूनं ईदृशी भवितव्यता ||</v>
      </c>
      <c r="B5588" s="4" t="s">
        <v>2</v>
      </c>
      <c r="C5588" s="4"/>
    </row>
    <row r="5589" spans="1:3" ht="24" customHeight="1">
      <c r="A5589" s="4" t="str">
        <f ca="1">IFERROR(__xludf.DUMMYFUNCTION("""COMPUTED_VALUE"""),"तेनानुजसहायेन द्रौपद्या च मया विना । भृशं आयामियामासु यामिनीष्वभितप्यते ||")</f>
        <v>तेनानुजसहायेन द्रौपद्या च मया विना । भृशं आयामियामासु यामिनीष्वभितप्यते ||</v>
      </c>
      <c r="B5589" s="4" t="s">
        <v>2</v>
      </c>
      <c r="C5589" s="4"/>
    </row>
    <row r="5590" spans="1:3" ht="24" customHeight="1">
      <c r="A5590" s="4" t="str">
        <f ca="1">IFERROR(__xludf.DUMMYFUNCTION("""COMPUTED_VALUE"""),"हृतोत्तरीयां प्रसभं सभायां आगतह्रियः । मर्मच्छिदा नो वचसा निरतक्षन्नरातयः ||")</f>
        <v>हृतोत्तरीयां प्रसभं सभायां आगतह्रियः । मर्मच्छिदा नो वचसा निरतक्षन्नरातयः ||</v>
      </c>
      <c r="B5590" s="4" t="s">
        <v>5</v>
      </c>
      <c r="C5590" s="4"/>
    </row>
    <row r="5591" spans="1:3" ht="24" customHeight="1">
      <c r="A5591" s="4" t="str">
        <f ca="1">IFERROR(__xludf.DUMMYFUNCTION("""COMPUTED_VALUE"""),"उपाधत्त सपत्नेषु कृष्णाया गुरुसंनिधौ । भावं आनयने सत्याः सत्यंकारं इवान्तकः ||")</f>
        <v>उपाधत्त सपत्नेषु कृष्णाया गुरुसंनिधौ । भावं आनयने सत्याः सत्यंकारं इवान्तकः ||</v>
      </c>
      <c r="B5591" s="4" t="s">
        <v>19</v>
      </c>
      <c r="C5591" s="4"/>
    </row>
    <row r="5592" spans="1:3" ht="24" customHeight="1">
      <c r="A5592" s="4" t="str">
        <f ca="1">IFERROR(__xludf.DUMMYFUNCTION("""COMPUTED_VALUE"""),"तां ऐक्षन्त क्षणं सभ्या दुःशासनपुरःसरां । अभिसायार्कं आवृत्तां छायां इव महातरोः ||")</f>
        <v>तां ऐक्षन्त क्षणं सभ्या दुःशासनपुरःसरां । अभिसायार्कं आवृत्तां छायां इव महातरोः ||</v>
      </c>
      <c r="B5592" s="4" t="s">
        <v>0</v>
      </c>
      <c r="C5592" s="4"/>
    </row>
    <row r="5593" spans="1:3" ht="24" customHeight="1">
      <c r="A5593" s="4" t="str">
        <f ca="1">IFERROR(__xludf.DUMMYFUNCTION("""COMPUTED_VALUE"""),"अयथार्थक्रियारम्भैः पतिभिः किं तवेक्षितैः । अरुध्येतां इतीवास्या नयने बाष्पवारिणे ||")</f>
        <v>अयथार्थक्रियारम्भैः पतिभिः किं तवेक्षितैः । अरुध्येतां इतीवास्या नयने बाष्पवारिणे ||</v>
      </c>
      <c r="B5593" s="4" t="s">
        <v>7</v>
      </c>
      <c r="C5593" s="4"/>
    </row>
    <row r="5594" spans="1:3" ht="24" customHeight="1">
      <c r="A5594" s="4" t="str">
        <f ca="1">IFERROR(__xludf.DUMMYFUNCTION("""COMPUTED_VALUE"""),"सोढवान्नो दशां अन्त्यां ज्यायानेव गुणप्रियः । सुलभो हि द्विषां भङ्गो दुर्लभा सत्स्ववाच्यता ||")</f>
        <v>सोढवान्नो दशां अन्त्यां ज्यायानेव गुणप्रियः । सुलभो हि द्विषां भङ्गो दुर्लभा सत्स्ववाच्यता ||</v>
      </c>
      <c r="B5594" s="4" t="s">
        <v>2</v>
      </c>
      <c r="C5594" s="4"/>
    </row>
    <row r="5595" spans="1:3" ht="24" customHeight="1">
      <c r="A5595" s="4" t="str">
        <f ca="1">IFERROR(__xludf.DUMMYFUNCTION("""COMPUTED_VALUE"""),"स्थित्यतिक्रान्तिभीरूणि स्वच्छान्याकुलितान्यपि । तोयानि तोयराशीनां मनांसि च मनस्विनां ||")</f>
        <v>स्थित्यतिक्रान्तिभीरूणि स्वच्छान्याकुलितान्यपि । तोयानि तोयराशीनां मनांसि च मनस्विनां ||</v>
      </c>
      <c r="B5595" s="4" t="s">
        <v>1</v>
      </c>
      <c r="C5595" s="4"/>
    </row>
    <row r="5596" spans="1:3" ht="24" customHeight="1">
      <c r="A5596" s="4" t="str">
        <f ca="1">IFERROR(__xludf.DUMMYFUNCTION("""COMPUTED_VALUE"""),"धार्तराष्ट्रैः सह प्रीतिर्वैरं अस्मास्वसूयत । असन्मैत्री हि दोषाय कूलच्छायेव सेविता ||")</f>
        <v>धार्तराष्ट्रैः सह प्रीतिर्वैरं अस्मास्वसूयत । असन्मैत्री हि दोषाय कूलच्छायेव सेविता ||</v>
      </c>
      <c r="B5596" s="4" t="s">
        <v>2</v>
      </c>
      <c r="C5596" s="4"/>
    </row>
    <row r="5597" spans="1:3" ht="24" customHeight="1">
      <c r="A5597" s="4" t="str">
        <f ca="1">IFERROR(__xludf.DUMMYFUNCTION("""COMPUTED_VALUE"""),"अपवादादभीतस्य समस्य गुणदोषयोः । असद्वृत्तेरहोवृत्तं दुर्विभावं विधेरिव ||")</f>
        <v>अपवादादभीतस्य समस्य गुणदोषयोः । असद्वृत्तेरहोवृत्तं दुर्विभावं विधेरिव ||</v>
      </c>
      <c r="B5597" s="4" t="s">
        <v>4</v>
      </c>
      <c r="C5597" s="4"/>
    </row>
    <row r="5598" spans="1:3" ht="24" customHeight="1">
      <c r="A5598" s="4" t="str">
        <f ca="1">IFERROR(__xludf.DUMMYFUNCTION("""COMPUTED_VALUE"""),"ध्वंसेत हृदयं सद्यः परिभूतस्य मे परैः । यद्यमर्षः प्रतीकारं भुजालम्बं न लम्भयेथ् ||")</f>
        <v>ध्वंसेत हृदयं सद्यः परिभूतस्य मे परैः । यद्यमर्षः प्रतीकारं भुजालम्बं न लम्भयेथ् ||</v>
      </c>
      <c r="B5598" s="4" t="s">
        <v>5</v>
      </c>
      <c r="C5598" s="4"/>
    </row>
    <row r="5599" spans="1:3" ht="24" customHeight="1">
      <c r="A5599" s="4" t="str">
        <f ca="1">IFERROR(__xludf.DUMMYFUNCTION("""COMPUTED_VALUE"""),"अवधूयारिभिर्नीता हरिणैस्तुल्यवृत्तितां । अन्योन्यस्यापि जिह्रीमः किं पुनः सहवासिनां ||")</f>
        <v>अवधूयारिभिर्नीता हरिणैस्तुल्यवृत्तितां । अन्योन्यस्यापि जिह्रीमः किं पुनः सहवासिनां ||</v>
      </c>
      <c r="B5599" s="4" t="s">
        <v>1</v>
      </c>
      <c r="C5599" s="4"/>
    </row>
    <row r="5600" spans="1:3" ht="24" customHeight="1">
      <c r="A5600" s="4" t="str">
        <f ca="1">IFERROR(__xludf.DUMMYFUNCTION("""COMPUTED_VALUE"""),"शक्तिवैकल्यनम्रस्य निःसारत्वाल्लघीयसः । जन्मिनो मानहिनस्य तृणस्य च समा गतिः ||")</f>
        <v>शक्तिवैकल्यनम्रस्य निःसारत्वाल्लघीयसः । जन्मिनो मानहिनस्य तृणस्य च समा गतिः ||</v>
      </c>
      <c r="B5600" s="4" t="s">
        <v>2</v>
      </c>
      <c r="C5600" s="4"/>
    </row>
    <row r="5601" spans="1:3" ht="24" customHeight="1">
      <c r="A5601" s="4" t="str">
        <f ca="1">IFERROR(__xludf.DUMMYFUNCTION("""COMPUTED_VALUE"""),"अलङ्घ्यं तत्तदुद्वीक्ष्य यद्यदुच्चैर्महीभृतां । प्रियतां ज्यायसीं मा गान्महतां केन तुङ्गता ||")</f>
        <v>अलङ्घ्यं तत्तदुद्वीक्ष्य यद्यदुच्चैर्महीभृतां । प्रियतां ज्यायसीं मा गान्महतां केन तुङ्गता ||</v>
      </c>
      <c r="B5601" s="4" t="s">
        <v>2</v>
      </c>
      <c r="C5601" s="4"/>
    </row>
    <row r="5602" spans="1:3" ht="24" customHeight="1">
      <c r="A5602" s="4" t="str">
        <f ca="1">IFERROR(__xludf.DUMMYFUNCTION("""COMPUTED_VALUE"""),"तावदाश्रीयते लक्ष्म्या तावदस्य स्थिरं यशः । पुरुषस्तावदेवासौ यावन्मानान्न हीयते ||")</f>
        <v>तावदाश्रीयते लक्ष्म्या तावदस्य स्थिरं यशः । पुरुषस्तावदेवासौ यावन्मानान्न हीयते ||</v>
      </c>
      <c r="B5602" s="4" t="s">
        <v>2</v>
      </c>
      <c r="C5602" s="4"/>
    </row>
    <row r="5603" spans="1:3" ht="24" customHeight="1">
      <c r="A5603" s="4" t="str">
        <f ca="1">IFERROR(__xludf.DUMMYFUNCTION("""COMPUTED_VALUE"""),"स पुमानर्थवज्जन्मा यस्य नाम्नि पुरःस्थिते । नान्यां अङ्गुलिं अभ्येति संख्यायां उद्यताङ्गुलिः ||")</f>
        <v>स पुमानर्थवज्जन्मा यस्य नाम्नि पुरःस्थिते । नान्यां अङ्गुलिं अभ्येति संख्यायां उद्यताङ्गुलिः ||</v>
      </c>
      <c r="B5603" s="4" t="s">
        <v>11</v>
      </c>
      <c r="C5603" s="4"/>
    </row>
    <row r="5604" spans="1:3" ht="24" customHeight="1">
      <c r="A5604" s="4" t="str">
        <f ca="1">IFERROR(__xludf.DUMMYFUNCTION("""COMPUTED_VALUE"""),"दुरासदवनज्यायान्गम्यस्तुङ्गोऽपि भूधरः । न जहाति महौजस्कं मानप्रांशुं अलङ्घ्यता ||")</f>
        <v>दुरासदवनज्यायान्गम्यस्तुङ्गोऽपि भूधरः । न जहाति महौजस्कं मानप्रांशुं अलङ्घ्यता ||</v>
      </c>
      <c r="B5604" s="4" t="s">
        <v>2</v>
      </c>
      <c r="C5604" s="4"/>
    </row>
    <row r="5605" spans="1:3" ht="24" customHeight="1">
      <c r="A5605" s="4" t="str">
        <f ca="1">IFERROR(__xludf.DUMMYFUNCTION("""COMPUTED_VALUE"""),"गुरून्कुर्वन्ति ते वंश्यानन्वर्था तैर्वसुंधरा । येषां यशांसि शुभ्राणि ह्रेपयन्तीन्दुमण्डलं ||")</f>
        <v>गुरून्कुर्वन्ति ते वंश्यानन्वर्था तैर्वसुंधरा । येषां यशांसि शुभ्राणि ह्रेपयन्तीन्दुमण्डलं ||</v>
      </c>
      <c r="B5605" s="4" t="s">
        <v>11</v>
      </c>
      <c r="C5605" s="4"/>
    </row>
    <row r="5606" spans="1:3" ht="24" customHeight="1">
      <c r="A5606" s="4" t="str">
        <f ca="1">IFERROR(__xludf.DUMMYFUNCTION("""COMPUTED_VALUE"""),"उदाहरणं आशीःषु प्रथमे ते मनस्विनां । शुष्केऽशनिरिवामर्षो यैररातिषु पात्यते ||")</f>
        <v>उदाहरणं आशीःषु प्रथमे ते मनस्विनां । शुष्केऽशनिरिवामर्षो यैररातिषु पात्यते ||</v>
      </c>
      <c r="B5606" s="4" t="s">
        <v>2</v>
      </c>
      <c r="C5606" s="4"/>
    </row>
    <row r="5607" spans="1:3" ht="24" customHeight="1">
      <c r="A5607" s="4" t="str">
        <f ca="1">IFERROR(__xludf.DUMMYFUNCTION("""COMPUTED_VALUE"""),"न सुखं प्रार्थये नार्थं उदन्वद्वीचिचञ्चलं । नानित्यताशनेस्त्रस्यन्विविक्तं ब्रह्मणः पदं ||")</f>
        <v>न सुखं प्रार्थये नार्थं उदन्वद्वीचिचञ्चलं । नानित्यताशनेस्त्रस्यन्विविक्तं ब्रह्मणः पदं ||</v>
      </c>
      <c r="B5607" s="4" t="s">
        <v>17</v>
      </c>
      <c r="C5607" s="4"/>
    </row>
    <row r="5608" spans="1:3" ht="24" customHeight="1">
      <c r="A5608" s="4" t="str">
        <f ca="1">IFERROR(__xludf.DUMMYFUNCTION("""COMPUTED_VALUE"""),"प्रमार्ष्टुं अयशःपङ्कं इच्छेयं छद्मना कृतं । वैधव्यतापिताराति- वनितालोचनाम्बुभिः ||")</f>
        <v>प्रमार्ष्टुं अयशःपङ्कं इच्छेयं छद्मना कृतं । वैधव्यतापिताराति- वनितालोचनाम्बुभिः ||</v>
      </c>
      <c r="B5608" s="4" t="s">
        <v>6</v>
      </c>
      <c r="C5608" s="4"/>
    </row>
    <row r="5609" spans="1:3" ht="24" customHeight="1">
      <c r="A5609" s="4" t="str">
        <f ca="1">IFERROR(__xludf.DUMMYFUNCTION("""COMPUTED_VALUE"""),"अपहस्येऽथवा सद्भिः प्रमादो वास्तु मे धियः । अस्थानविहितायासः कामं जिह्रेतु वा भवान् ||")</f>
        <v>अपहस्येऽथवा सद्भिः प्रमादो वास्तु मे धियः । अस्थानविहितायासः कामं जिह्रेतु वा भवान् ||</v>
      </c>
      <c r="B5609" s="4" t="s">
        <v>4</v>
      </c>
      <c r="C5609" s="4"/>
    </row>
    <row r="5610" spans="1:3" ht="24" customHeight="1">
      <c r="A5610" s="4" t="str">
        <f ca="1">IFERROR(__xludf.DUMMYFUNCTION("""COMPUTED_VALUE"""),"वंशलक्ष्मीं अनुद्धृत्य समुच्छेदेन विद्विषां । निर्वाणं अपि मन्येऽहं अन्तरायं जयश्रियः ||")</f>
        <v>वंशलक्ष्मीं अनुद्धृत्य समुच्छेदेन विद्विषां । निर्वाणं अपि मन्येऽहं अन्तरायं जयश्रियः ||</v>
      </c>
      <c r="B5610" s="4" t="s">
        <v>5</v>
      </c>
      <c r="C5610" s="4"/>
    </row>
    <row r="5611" spans="1:3" ht="24" customHeight="1">
      <c r="A5611" s="4" t="str">
        <f ca="1">IFERROR(__xludf.DUMMYFUNCTION("""COMPUTED_VALUE"""),"अजन्मा पुरुषस्तावद्गतासुस्तृणं एव वा । यावन्नेषुभिरादत्ते विलुप्तं अरिभिर्यशः ||")</f>
        <v>अजन्मा पुरुषस्तावद्गतासुस्तृणं एव वा । यावन्नेषुभिरादत्ते विलुप्तं अरिभिर्यशः ||</v>
      </c>
      <c r="B5611" s="4" t="s">
        <v>8</v>
      </c>
      <c r="C5611" s="4"/>
    </row>
    <row r="5612" spans="1:3" ht="24" customHeight="1">
      <c r="A5612" s="4" t="str">
        <f ca="1">IFERROR(__xludf.DUMMYFUNCTION("""COMPUTED_VALUE"""),"अनिर्जयेन द्विषतां यस्यामर्षः प्रशाम्यति । पुरुषोक्तिः कथं तस्मिन्ब्रूहि त्वं हि तपोधन ||")</f>
        <v>अनिर्जयेन द्विषतां यस्यामर्षः प्रशाम्यति । पुरुषोक्तिः कथं तस्मिन्ब्रूहि त्वं हि तपोधन ||</v>
      </c>
      <c r="B5612" s="4" t="s">
        <v>1</v>
      </c>
      <c r="C5612" s="4"/>
    </row>
    <row r="5613" spans="1:3" ht="24" customHeight="1">
      <c r="A5613" s="4" t="str">
        <f ca="1">IFERROR(__xludf.DUMMYFUNCTION("""COMPUTED_VALUE"""),"कृतं पुरुषशब्देन जातिमात्रावलम्बिना । योऽङ्गीकृतगुणैः श्लाघ्यः सविस्मयं उदाहृतः ||")</f>
        <v>कृतं पुरुषशब्देन जातिमात्रावलम्बिना । योऽङ्गीकृतगुणैः श्लाघ्यः सविस्मयं उदाहृतः ||</v>
      </c>
      <c r="B5613" s="4" t="s">
        <v>2</v>
      </c>
      <c r="C5613" s="4"/>
    </row>
    <row r="5614" spans="1:3" ht="24" customHeight="1">
      <c r="A5614" s="4" t="str">
        <f ca="1">IFERROR(__xludf.DUMMYFUNCTION("""COMPUTED_VALUE"""),"ग्रसमानं इवौजांसि सदसा गौरवेरितं । नाम यस्याभिनन्दन्ति द्विषोऽपि स पुमान्पुमान् ||")</f>
        <v>ग्रसमानं इवौजांसि सदसा गौरवेरितं । नाम यस्याभिनन्दन्ति द्विषोऽपि स पुमान्पुमान् ||</v>
      </c>
      <c r="B5614" s="4" t="s">
        <v>12</v>
      </c>
      <c r="C5614" s="4"/>
    </row>
    <row r="5615" spans="1:3" ht="24" customHeight="1">
      <c r="A5615" s="4" t="str">
        <f ca="1">IFERROR(__xludf.DUMMYFUNCTION("""COMPUTED_VALUE"""),"यथाप्रतिज्ञं द्विषतां युधि प्रतिचिकीर्षया । ममैवाध्येति नृपतिस्तृष्यन्निव जलाञ्जलेः ||")</f>
        <v>यथाप्रतिज्ञं द्विषतां युधि प्रतिचिकीर्षया । ममैवाध्येति नृपतिस्तृष्यन्निव जलाञ्जलेः ||</v>
      </c>
      <c r="B5615" s="4" t="s">
        <v>11</v>
      </c>
      <c r="C5615" s="4"/>
    </row>
    <row r="5616" spans="1:3" ht="24" customHeight="1">
      <c r="A5616" s="4" t="str">
        <f ca="1">IFERROR(__xludf.DUMMYFUNCTION("""COMPUTED_VALUE"""),"स वंशस्यावदातस्य शशाङ्कस्येव लाञ्छनं । कृच्छ्रेषु व्यर्थया यत्र भूयते भर्तुराज्ञया ||")</f>
        <v>स वंशस्यावदातस्य शशाङ्कस्येव लाञ्छनं । कृच्छ्रेषु व्यर्थया यत्र भूयते भर्तुराज्ञया ||</v>
      </c>
      <c r="B5616" s="4" t="s">
        <v>5</v>
      </c>
      <c r="C5616" s="4"/>
    </row>
    <row r="5617" spans="1:3" ht="24" customHeight="1">
      <c r="A5617" s="4" t="str">
        <f ca="1">IFERROR(__xludf.DUMMYFUNCTION("""COMPUTED_VALUE"""),"कथं वादीयतां अर्वाङ्मुनिता धर्मरोधिनी । आश्रमानुक्रमः पूर्वैः स्मर्यते न व्यतिक्रमः ||")</f>
        <v>कथं वादीयतां अर्वाङ्मुनिता धर्मरोधिनी । आश्रमानुक्रमः पूर्वैः स्मर्यते न व्यतिक्रमः ||</v>
      </c>
      <c r="B5617" s="4" t="s">
        <v>12</v>
      </c>
      <c r="C5617" s="4"/>
    </row>
    <row r="5618" spans="1:3" ht="24" customHeight="1">
      <c r="A5618" s="4" t="str">
        <f ca="1">IFERROR(__xludf.DUMMYFUNCTION("""COMPUTED_VALUE"""),"आसक्ता धूरियं रूढा जननी दूरगा च मे । तिरस्करोति स्वातन्त्र्यं ज्यायांश्चाचारवान्नृपः ||")</f>
        <v>आसक्ता धूरियं रूढा जननी दूरगा च मे । तिरस्करोति स्वातन्त्र्यं ज्यायांश्चाचारवान्नृपः ||</v>
      </c>
      <c r="B5618" s="4" t="s">
        <v>9</v>
      </c>
      <c r="C5618" s="4"/>
    </row>
    <row r="5619" spans="1:3" ht="24" customHeight="1">
      <c r="A5619" s="4" t="str">
        <f ca="1">IFERROR(__xludf.DUMMYFUNCTION("""COMPUTED_VALUE"""),"स्वधर्मं अनुरुन्धन्ते नातिक्रमं अरातिभिः । पलायन्ते कृतध्वंसा नाहवान्मानशालिनः ||")</f>
        <v>स्वधर्मं अनुरुन्धन्ते नातिक्रमं अरातिभिः । पलायन्ते कृतध्वंसा नाहवान्मानशालिनः ||</v>
      </c>
      <c r="B5619" s="4" t="s">
        <v>1</v>
      </c>
      <c r="C5619" s="4"/>
    </row>
    <row r="5620" spans="1:3" ht="24" customHeight="1">
      <c r="A5620" s="4" t="str">
        <f ca="1">IFERROR(__xludf.DUMMYFUNCTION("""COMPUTED_VALUE"""),"विच्छिन्नाभ्रविलायं वा विलीये नगमूर्धनि । आराध्य वा सहस्राक्षं अयशःशल्यं उद्धरे ||")</f>
        <v>विच्छिन्नाभ्रविलायं वा विलीये नगमूर्धनि । आराध्य वा सहस्राक्षं अयशःशल्यं उद्धरे ||</v>
      </c>
      <c r="B5620" s="4" t="s">
        <v>0</v>
      </c>
      <c r="C5620" s="4"/>
    </row>
    <row r="5621" spans="1:3" ht="24" customHeight="1">
      <c r="A5621" s="4" t="str">
        <f ca="1">IFERROR(__xludf.DUMMYFUNCTION("""COMPUTED_VALUE"""),"इत्युक्तवन्तं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||")</f>
        <v>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||</v>
      </c>
      <c r="B5621" s="4" t="s">
        <v>8</v>
      </c>
      <c r="C5621" s="4"/>
    </row>
    <row r="5622" spans="1:3" ht="24" customHeight="1">
      <c r="A5622" s="4" t="str">
        <f ca="1">IFERROR(__xludf.DUMMYFUNCTION("""COMPUTED_VALUE"""),"प्रीते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||")</f>
        <v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||</v>
      </c>
      <c r="B5622" s="4" t="s">
        <v>4</v>
      </c>
      <c r="C5622" s="4"/>
    </row>
    <row r="5623" spans="1:3" ht="24" customHeight="1">
      <c r="A5623" s="4" t="str">
        <f ca="1">IFERROR(__xludf.DUMMYFUNCTION("""COMPUTED_VALUE"""),"अथ वासवस्य वचनेन रुचिरवदनस्त्रिलोचनं । क्लान्तिरहितं अभिराधयितुं विधिवत्तपांसि विदधे धनंजयः ||")</f>
        <v>अथ वासवस्य वचनेन रुचिरवदनस्त्रिलोचनं । क्लान्तिरहितं अभिराधयितुं विधिवत्तपांसि विदधे धनंजयः ||</v>
      </c>
      <c r="B5623" s="4" t="s">
        <v>5</v>
      </c>
      <c r="C5623" s="4"/>
    </row>
    <row r="5624" spans="1:3" ht="24" customHeight="1">
      <c r="A5624" s="4" t="str">
        <f ca="1">IFERROR(__xludf.DUMMYFUNCTION("""COMPUTED_VALUE"""),"अभिरश्मिमालि विमलस्य धृतजयधृतेरनाशुषः । तस्य भुवि बहुतिथास्तिथयः प्रतिजग्मुरेकचरणं निषीदतः ||")</f>
        <v>अभिरश्मिमालि विमलस्य धृतजयधृतेरनाशुषः । तस्य भुवि बहुतिथास्तिथयः प्रतिजग्मुरेकचरणं निषीदतः ||</v>
      </c>
      <c r="B5624" s="4" t="s">
        <v>2</v>
      </c>
      <c r="C5624" s="4"/>
    </row>
    <row r="5625" spans="1:3" ht="24" customHeight="1">
      <c r="A5625" s="4" t="str">
        <f ca="1">IFERROR(__xludf.DUMMYFUNCTION("""COMPUTED_VALUE"""),"वपुरिन्द्रियोपतपनेषु सततं असुखेषु पाण्डवः । व्याप नगपतिरिव स्थिरतां महतां हि धैर्यं अविभाव्यवैभवं ||")</f>
        <v>वपुरिन्द्रियोपतपनेषु सततं असुखेषु पाण्डवः । व्याप नगपतिरिव स्थिरतां महतां हि धैर्यं अविभाव्यवैभवं ||</v>
      </c>
      <c r="B5625" s="4" t="s">
        <v>4</v>
      </c>
      <c r="C5625" s="4"/>
    </row>
    <row r="5626" spans="1:3" ht="24" customHeight="1">
      <c r="A5626" s="4" t="str">
        <f ca="1">IFERROR(__xludf.DUMMYFUNCTION("""COMPUTED_VALUE"""),"न पपात संनिहितपक्ति- सुरभिषु फलेषु मानसं । तस्य शुचिनि शिशिरे च पयस्यमृतायते हि सुतपः सुकर्मणां ||")</f>
        <v>न पपात संनिहितपक्ति- सुरभिषु फलेषु मानसं । तस्य शुचिनि शिशिरे च पयस्यमृतायते हि सुतपः सुकर्मणां ||</v>
      </c>
      <c r="B5626" s="4" t="s">
        <v>7</v>
      </c>
      <c r="C5626" s="4"/>
    </row>
    <row r="5627" spans="1:3" ht="24" customHeight="1">
      <c r="A5627" s="4" t="str">
        <f ca="1">IFERROR(__xludf.DUMMYFUNCTION("""COMPUTED_VALUE"""),"न विसिस्मिये न विषसाद मुहुरलसतां नु चाददे । सत्त्वं उरुधृति रजस्तमसी न हतः स्म तस्य हतशक्तिपेलवे ||")</f>
        <v>न विसिस्मिये न विषसाद मुहुरलसतां नु चाददे । सत्त्वं उरुधृति रजस्तमसी न हतः स्म तस्य हतशक्तिपेलवे ||</v>
      </c>
      <c r="B5627" s="4" t="s">
        <v>4</v>
      </c>
      <c r="C5627" s="4"/>
    </row>
    <row r="5628" spans="1:3" ht="24" customHeight="1">
      <c r="A5628" s="4" t="str">
        <f ca="1">IFERROR(__xludf.DUMMYFUNCTION("""COMPUTED_VALUE"""),"तपसा कृशं वपुरुवाह स विजितजगत्त्रयोदयं । त्रासजननं अपि तत्त्वविदां किं इवास्ति यन्न सुकरं मनस्विभिः ||")</f>
        <v>तपसा कृशं वपुरुवाह स विजितजगत्त्रयोदयं । त्रासजननं अपि तत्त्वविदां किं इवास्ति यन्न सुकरं मनस्विभिः ||</v>
      </c>
      <c r="B5628" s="4" t="s">
        <v>6</v>
      </c>
      <c r="C5628" s="4"/>
    </row>
    <row r="5629" spans="1:3" ht="24" customHeight="1">
      <c r="A5629" s="4" t="str">
        <f ca="1">IFERROR(__xludf.DUMMYFUNCTION("""COMPUTED_VALUE"""),"ज्वलतोऽनलादनुनिशीथं अधिकरुचिरम्भसां निधेः । धैर्यगुणं अवजयन्विजयी ददृशे समुन्नततरः स शैलतः ||")</f>
        <v>ज्वलतोऽनलादनुनिशीथं अधिकरुचिरम्भसां निधेः । धैर्यगुणं अवजयन्विजयी ददृशे समुन्नततरः स शैलतः ||</v>
      </c>
      <c r="B5629" s="4" t="s">
        <v>2</v>
      </c>
      <c r="C5629" s="4"/>
    </row>
    <row r="5630" spans="1:3" ht="24" customHeight="1">
      <c r="A5630" s="4" t="str">
        <f ca="1">IFERROR(__xludf.DUMMYFUNCTION("""COMPUTED_VALUE"""),"जपतः सदा जपं उपांशु वदनं अभितो विसारिभिः । तस्य दशनकिरणैः शुशुभे परिवेषभीषणं इवार्कमण्डलं ||")</f>
        <v>जपतः सदा जपं उपांशु वदनं अभितो विसारिभिः । तस्य दशनकिरणैः शुशुभे परिवेषभीषणं इवार्कमण्डलं ||</v>
      </c>
      <c r="B5630" s="4" t="s">
        <v>11</v>
      </c>
      <c r="C5630" s="4"/>
    </row>
    <row r="5631" spans="1:3" ht="24" customHeight="1">
      <c r="A5631" s="4" t="str">
        <f ca="1">IFERROR(__xludf.DUMMYFUNCTION("""COMPUTED_VALUE"""),"कवचं स बिभ्रदुपवीत- पदनिहितसज्यकार्मुकः । शैलपतिरिव महेन्द्रधनुः- परिवीतभीमगहनो विदिद्युते ||")</f>
        <v>कवचं स बिभ्रदुपवीत- पदनिहितसज्यकार्मुकः । शैलपतिरिव महेन्द्रधनुः- परिवीतभीमगहनो विदिद्युते ||</v>
      </c>
      <c r="B5631" s="4" t="s">
        <v>2</v>
      </c>
      <c r="C5631" s="4"/>
    </row>
    <row r="5632" spans="1:3" ht="24" customHeight="1">
      <c r="A5632" s="4" t="str">
        <f ca="1">IFERROR(__xludf.DUMMYFUNCTION("""COMPUTED_VALUE"""),"प्रविवेश गां इव कृशस्य नियमसवनाय गच्छतः । तस्य पदविनमितो हिमवान्गुरुतां नयन्ति हि गुणा न संहतिः ||")</f>
        <v>प्रविवेश गां इव कृशस्य नियमसवनाय गच्छतः । तस्य पदविनमितो हिमवान्गुरुतां नयन्ति हि गुणा न संहतिः ||</v>
      </c>
      <c r="B5632" s="4" t="s">
        <v>2</v>
      </c>
      <c r="C5632" s="4"/>
    </row>
    <row r="5633" spans="1:3" ht="24" customHeight="1">
      <c r="A5633" s="4" t="str">
        <f ca="1">IFERROR(__xludf.DUMMYFUNCTION("""COMPUTED_VALUE"""),"परिकीर्णं उद्यतभुजस्य भुवनविवरे दुरासदं । ज्योतिरुपरि शिरसो विततं जगृहे निजान्मुनिदिवौकसां पथः ||")</f>
        <v>परिकीर्णं उद्यतभुजस्य भुवनविवरे दुरासदं । ज्योतिरुपरि शिरसो विततं जगृहे निजान्मुनिदिवौकसां पथः ||</v>
      </c>
      <c r="B5633" s="4" t="s">
        <v>10</v>
      </c>
      <c r="C5633" s="4"/>
    </row>
    <row r="5634" spans="1:3" ht="24" customHeight="1">
      <c r="A5634" s="4" t="str">
        <f ca="1">IFERROR(__xludf.DUMMYFUNCTION("""COMPUTED_VALUE"""),"रजनीषु राजतनयस्य बहुलसमयेऽपि धामभिः । भिन्नतिमिरनिकरं न जहे शशिरश्मिसंगमयुजा नभः श्रिया ||")</f>
        <v>रजनीषु राजतनयस्य बहुलसमयेऽपि धामभिः । भिन्नतिमिरनिकरं न जहे शशिरश्मिसंगमयुजा नभः श्रिया ||</v>
      </c>
      <c r="B5634" s="4" t="s">
        <v>5</v>
      </c>
      <c r="C5634" s="4"/>
    </row>
    <row r="5635" spans="1:3" ht="24" customHeight="1">
      <c r="A5635" s="4" t="str">
        <f ca="1">IFERROR(__xludf.DUMMYFUNCTION("""COMPUTED_VALUE"""),"महता मयूखनिचयेन शमितरुचि जिष्णुजन्मना । ह्रीतं इव नभसि वीतमले न विराजते स्म वपुरंशुमालिनः ||")</f>
        <v>महता मयूखनिचयेन शमितरुचि जिष्णुजन्मना । ह्रीतं इव नभसि वीतमले न विराजते स्म वपुरंशुमालिनः ||</v>
      </c>
      <c r="B5635" s="4" t="s">
        <v>1</v>
      </c>
      <c r="C5635" s="4"/>
    </row>
    <row r="5636" spans="1:3" ht="24" customHeight="1">
      <c r="A5636" s="4" t="str">
        <f ca="1">IFERROR(__xludf.DUMMYFUNCTION("""COMPUTED_VALUE"""),"तं उदीरितारुणजटांशुं अधिगुणशरासनं जनाः । रुद्रं अनुदितललाटदृशं ददृशुर्मिमन्थिषुं इवासुरीः पुरीः ||")</f>
        <v>तं उदीरितारुणजटांशुं अधिगुणशरासनं जनाः । रुद्रं अनुदितललाटदृशं ददृशुर्मिमन्थिषुं इवासुरीः पुरीः ||</v>
      </c>
      <c r="B5636" s="4" t="s">
        <v>0</v>
      </c>
      <c r="C5636" s="4"/>
    </row>
    <row r="5637" spans="1:3" ht="24" customHeight="1">
      <c r="A5637" s="4" t="str">
        <f ca="1">IFERROR(__xludf.DUMMYFUNCTION("""COMPUTED_VALUE"""),"मरुतां पतिः स्विदहिमांशुरुत पृथुशिखः शिखी तपः । तप्तुं असुकरं उपक्रमते न जनोऽयं इत्यवयये स तापसैः ||")</f>
        <v>मरुतां पतिः स्विदहिमांशुरुत पृथुशिखः शिखी तपः । तप्तुं असुकरं उपक्रमते न जनोऽयं इत्यवयये स तापसैः ||</v>
      </c>
      <c r="B5637" s="4" t="s">
        <v>18</v>
      </c>
      <c r="C5637" s="4"/>
    </row>
    <row r="5638" spans="1:3" ht="24" customHeight="1">
      <c r="A5638" s="4" t="str">
        <f ca="1">IFERROR(__xludf.DUMMYFUNCTION("""COMPUTED_VALUE"""),"न ददाह भूरुहवनानि हरितनयधाम दूरगं । न स्म नयति परिशोषं अपः सुसहं बभूव न च सिद्धतापसैः ||")</f>
        <v>न ददाह भूरुहवनानि हरितनयधाम दूरगं । न स्म नयति परिशोषं अपः सुसहं बभूव न च सिद्धतापसैः ||</v>
      </c>
      <c r="B5638" s="4" t="s">
        <v>18</v>
      </c>
      <c r="C5638" s="4"/>
    </row>
    <row r="5639" spans="1:3" ht="24" customHeight="1">
      <c r="A5639" s="4" t="str">
        <f ca="1">IFERROR(__xludf.DUMMYFUNCTION("""COMPUTED_VALUE"""),"विनयं गुणा इव विवेकं अपनयभिदं नया इव । न्यायं अवधय इवाशरणाः शरणं ययुः शिवं अथो महर्षयः ||")</f>
        <v>विनयं गुणा इव विवेकं अपनयभिदं नया इव । न्यायं अवधय इवाशरणाः शरणं ययुः शिवं अथो महर्षयः ||</v>
      </c>
      <c r="B5639" s="4" t="s">
        <v>5</v>
      </c>
      <c r="C5639" s="4"/>
    </row>
    <row r="5640" spans="1:3" ht="24" customHeight="1">
      <c r="A5640" s="4" t="str">
        <f ca="1">IFERROR(__xludf.DUMMYFUNCTION("""COMPUTED_VALUE"""),"परिवीतं अंशुभिरुदस्त- दिनकरमयूखमण्डलैः । शम्भुं उपहतदृशः सहसा न च ते निचायितुं अभिप्रसेहिरे ||")</f>
        <v>परिवीतं अंशुभिरुदस्त- दिनकरमयूखमण्डलैः । शम्भुं उपहतदृशः सहसा न च ते निचायितुं अभिप्रसेहिरे ||</v>
      </c>
      <c r="B5640" s="4" t="s">
        <v>0</v>
      </c>
      <c r="C5640" s="4"/>
    </row>
    <row r="5641" spans="1:3" ht="24" customHeight="1">
      <c r="A5641" s="4" t="str">
        <f ca="1">IFERROR(__xludf.DUMMYFUNCTION("""COMPUTED_VALUE"""),"अथ भूतभव्यभवदीशं अभिमुखयितुं कृतस्तवाः । तत्र महसि ददृशुः पुरुषं कमनीयविग्रहं अयुग्मलोचनं ||")</f>
        <v>अथ भूतभव्यभवदीशं अभिमुखयितुं कृतस्तवाः । तत्र महसि ददृशुः पुरुषं कमनीयविग्रहं अयुग्मलोचनं ||</v>
      </c>
      <c r="B5641" s="4" t="s">
        <v>1</v>
      </c>
      <c r="C5641" s="4"/>
    </row>
    <row r="5642" spans="1:3" ht="24" customHeight="1">
      <c r="A5642" s="4" t="str">
        <f ca="1">IFERROR(__xludf.DUMMYFUNCTION("""COMPUTED_VALUE"""),"ककुदे वृषस्य कृतबाहुं अकृशपरिणाहशालिनि । स्पर्शसुखं अनुभवन्तं उमा- कुचयुग्ममण्डल इवार्द्रचन्दने ||")</f>
        <v>ककुदे वृषस्य कृतबाहुं अकृशपरिणाहशालिनि । स्पर्शसुखं अनुभवन्तं उमा- कुचयुग्ममण्डल इवार्द्रचन्दने ||</v>
      </c>
      <c r="B5642" s="4" t="s">
        <v>1</v>
      </c>
      <c r="C5642" s="4"/>
    </row>
    <row r="5643" spans="1:3" ht="24" customHeight="1">
      <c r="A5643" s="4" t="str">
        <f ca="1">IFERROR(__xludf.DUMMYFUNCTION("""COMPUTED_VALUE"""),"स्थितं उन्नते तुहिनशैल- शिरसि भुवनातिवर्तिना । साद्रिजलधिजलवाहपथं सदिगश्नुवानं इव विश्वं ओजसा ||")</f>
        <v>स्थितं उन्नते तुहिनशैल- शिरसि भुवनातिवर्तिना । साद्रिजलधिजलवाहपथं सदिगश्नुवानं इव विश्वं ओजसा ||</v>
      </c>
      <c r="B5643" s="4" t="s">
        <v>18</v>
      </c>
      <c r="C5643" s="4"/>
    </row>
    <row r="5644" spans="1:3" ht="24" customHeight="1">
      <c r="A5644" s="4" t="str">
        <f ca="1">IFERROR(__xludf.DUMMYFUNCTION("""COMPUTED_VALUE"""),"अनुजानुमध्यमवसक्त- विततवपुषा महाहिना । लोकं अखिलं इव भूमिभृता रवितेजसां अवधिनाधिवेष्टितं ||")</f>
        <v>अनुजानुमध्यमवसक्त- विततवपुषा महाहिना । लोकं अखिलं इव भूमिभृता रवितेजसां अवधिनाधिवेष्टितं ||</v>
      </c>
      <c r="B5644" s="4" t="s">
        <v>2</v>
      </c>
      <c r="C5644" s="4"/>
    </row>
    <row r="5645" spans="1:3" ht="24" customHeight="1">
      <c r="A5645" s="4" t="str">
        <f ca="1">IFERROR(__xludf.DUMMYFUNCTION("""COMPUTED_VALUE"""),"परिणाहिना तुहिनराशि- विशदं उपवीतसूत्रतां । नीतं उरगं अनुरञ्जयता शितिना गलेन विलसन्मरीचिना ||")</f>
        <v>परिणाहिना तुहिनराशि- विशदं उपवीतसूत्रतां । नीतं उरगं अनुरञ्जयता शितिना गलेन विलसन्मरीचिना ||</v>
      </c>
      <c r="B5645" s="4" t="s">
        <v>1</v>
      </c>
      <c r="C5645" s="4"/>
    </row>
    <row r="5646" spans="1:3" ht="24" customHeight="1">
      <c r="A5646" s="4" t="str">
        <f ca="1">IFERROR(__xludf.DUMMYFUNCTION("""COMPUTED_VALUE"""),"प्लुतमालतीसितकपाल- कमुदं उपरुद्धमूर्धजं । शेषं इव सुरसरित्पयसां शिरसा विसारि शशिधाम बिभ्रतं ||")</f>
        <v>प्लुतमालतीसितकपाल- कमुदं उपरुद्धमूर्धजं । शेषं इव सुरसरित्पयसां शिरसा विसारि शशिधाम बिभ्रतं ||</v>
      </c>
      <c r="B5646" s="4" t="s">
        <v>2</v>
      </c>
      <c r="C5646" s="4"/>
    </row>
    <row r="5647" spans="1:3" ht="24" customHeight="1">
      <c r="A5647" s="4" t="str">
        <f ca="1">IFERROR(__xludf.DUMMYFUNCTION("""COMPUTED_VALUE"""),"मुनयस्ततोऽभिमुखं एत्य नयनविनिमेषनोदिताः । पाण्डुतनयतपसा जनितं जगतां अशर्म भृशं आचचक्षिरे ||")</f>
        <v>मुनयस्ततोऽभिमुखं एत्य नयनविनिमेषनोदिताः । पाण्डुतनयतपसा जनितं जगतां अशर्म भृशं आचचक्षिरे ||</v>
      </c>
      <c r="B5647" s="4" t="s">
        <v>0</v>
      </c>
      <c r="C5647" s="4"/>
    </row>
    <row r="5648" spans="1:3" ht="24" customHeight="1">
      <c r="A5648" s="4" t="str">
        <f ca="1">IFERROR(__xludf.DUMMYFUNCTION("""COMPUTED_VALUE"""),"तरसैव कोऽपि भुवनैक- पुरुष पुरुषस्तपस्यति । ज्योतिरमलवपुषोऽपि रवेरभिभूय वृत्र इव भीमविग्रहः ||")</f>
        <v>तरसैव कोऽपि भुवनैक- पुरुष पुरुषस्तपस्यति । ज्योतिरमलवपुषोऽपि रवेरभिभूय वृत्र इव भीमविग्रहः ||</v>
      </c>
      <c r="B5648" s="4" t="s">
        <v>24</v>
      </c>
      <c r="C5648" s="4"/>
    </row>
    <row r="5649" spans="1:3" ht="24" customHeight="1">
      <c r="A5649" s="4" t="str">
        <f ca="1">IFERROR(__xludf.DUMMYFUNCTION("""COMPUTED_VALUE"""),"स धनुर्महेषुधि निभर्ति कवचं असितं उत्तमं जटाः । वल्कं अजिनं इति चित्रं इदं मुनिताविरोधि न च नास्य राजते ||")</f>
        <v>स धनुर्महेषुधि निभर्ति कवचं असितं उत्तमं जटाः । वल्कं अजिनं इति चित्रं इदं मुनिताविरोधि न च नास्य राजते ||</v>
      </c>
      <c r="B5649" s="4" t="s">
        <v>2</v>
      </c>
      <c r="C5649" s="4"/>
    </row>
    <row r="5650" spans="1:3" ht="24" customHeight="1">
      <c r="A5650" s="4" t="str">
        <f ca="1">IFERROR(__xludf.DUMMYFUNCTION("""COMPUTED_VALUE"""),"चलनेऽवनिश्चलति तस्य करणनियमे सदिङ्मुखं । स्तम्भं अनुभवति शान्तमरुद्- ग्रहतारकागणयुतं नभस्तलं ||")</f>
        <v>चलनेऽवनिश्चलति तस्य करणनियमे सदिङ्मुखं । स्तम्भं अनुभवति शान्तमरुद्- ग्रहतारकागणयुतं नभस्तलं ||</v>
      </c>
      <c r="B5650" s="4" t="s">
        <v>11</v>
      </c>
      <c r="C5650" s="4"/>
    </row>
    <row r="5651" spans="1:3" ht="24" customHeight="1">
      <c r="A5651" s="4" t="str">
        <f ca="1">IFERROR(__xludf.DUMMYFUNCTION("""COMPUTED_VALUE"""),"स तदोजसा विजितसारं अमरदितिजोपसंहितं । विश्वं इदं अपिदधाति पुरा किं इवास्ति यन्न तपसां अदुष्करं ||")</f>
        <v>स तदोजसा विजितसारं अमरदितिजोपसंहितं । विश्वं इदं अपिदधाति पुरा किं इवास्ति यन्न तपसां अदुष्करं ||</v>
      </c>
      <c r="B5651" s="4" t="s">
        <v>0</v>
      </c>
      <c r="C5651" s="4"/>
    </row>
    <row r="5652" spans="1:3" ht="24" customHeight="1">
      <c r="A5652" s="4" t="str">
        <f ca="1">IFERROR(__xludf.DUMMYFUNCTION("""COMPUTED_VALUE"""),"विजिगीषते यदि जगन्ति युगपदथ संजिहीर्षति । प्राप्तुं अभवं अभिवाञ्छति वा वयं अस्य नो विषहितुं क्षमा रुचः ||")</f>
        <v>विजिगीषते यदि जगन्ति युगपदथ संजिहीर्षति । प्राप्तुं अभवं अभिवाञ्छति वा वयं अस्य नो विषहितुं क्षमा रुचः ||</v>
      </c>
      <c r="B5652" s="4" t="s">
        <v>16</v>
      </c>
      <c r="C5652" s="4"/>
    </row>
    <row r="5653" spans="1:3" ht="24" customHeight="1">
      <c r="A5653" s="4" t="str">
        <f ca="1">IFERROR(__xludf.DUMMYFUNCTION("""COMPUTED_VALUE"""),"किं उपेक्षसे कथय नाथ न तव विदितं न किंचन । त्रातुं अलं अभयदार्हसि नस्त्वयि मा स्म शासति भवत्पराभवः ||")</f>
        <v>किं उपेक्षसे कथय नाथ न तव विदितं न किंचन । त्रातुं अलं अभयदार्हसि नस्त्वयि मा स्म शासति भवत्पराभवः ||</v>
      </c>
      <c r="B5653" s="4" t="s">
        <v>4</v>
      </c>
      <c r="C5653" s="4"/>
    </row>
    <row r="5654" spans="1:3" ht="24" customHeight="1">
      <c r="A5654" s="4" t="str">
        <f ca="1">IFERROR(__xludf.DUMMYFUNCTION("""COMPUTED_VALUE"""),"इति गां विधाय विरतेषु मुनिषु वचनं समाददे । भिन्नजलधिजलनादगुरु ध्वनयन्दिशां विवरं अन्धकान्तकः ||")</f>
        <v>इति गां विधाय विरतेषु मुनिषु वचनं समाददे । भिन्नजलधिजलनादगुरु ध्वनयन्दिशां विवरं अन्धकान्तकः ||</v>
      </c>
      <c r="B5654" s="4" t="s">
        <v>19</v>
      </c>
      <c r="C5654" s="4"/>
    </row>
    <row r="5655" spans="1:3" ht="24" customHeight="1">
      <c r="A5655" s="4" t="str">
        <f ca="1">IFERROR(__xludf.DUMMYFUNCTION("""COMPUTED_VALUE"""),"बदरीतपोवननिवास- निरतं अवगात मान्यथा । धातुरुदयनिधने जगतां नरं अंशं आदिपुरुषस्य गां गतं ||")</f>
        <v>बदरीतपोवननिवास- निरतं अवगात मान्यथा । धातुरुदयनिधने जगतां नरं अंशं आदिपुरुषस्य गां गतं ||</v>
      </c>
      <c r="B5655" s="4" t="s">
        <v>2</v>
      </c>
      <c r="C5655" s="4"/>
    </row>
    <row r="5656" spans="1:3" ht="24" customHeight="1">
      <c r="A5656" s="4" t="str">
        <f ca="1">IFERROR(__xludf.DUMMYFUNCTION("""COMPUTED_VALUE"""),"द्विषतः परासिसिषुरेष सकलभुवनाभितापिनः । क्रान्तकुलिशकरवीर्यबलान्मदुपासनं विहितवान्महत्तपः ||")</f>
        <v>द्विषतः परासिसिषुरेष सकलभुवनाभितापिनः । क्रान्तकुलिशकरवीर्यबलान्मदुपासनं विहितवान्महत्तपः ||</v>
      </c>
      <c r="B5656" s="4" t="s">
        <v>9</v>
      </c>
      <c r="C5656" s="4"/>
    </row>
    <row r="5657" spans="1:3" ht="24" customHeight="1">
      <c r="A5657" s="4" t="str">
        <f ca="1">IFERROR(__xludf.DUMMYFUNCTION("""COMPUTED_VALUE"""),"अयं अच्युतश्च वचनेन सरसिरुहजन्मनः प्रजाः । पातुं असुरनिधनेन विभू भुवं अभ्युपेत्य मनुजेषु तिष्ठतः ||")</f>
        <v>अयं अच्युतश्च वचनेन सरसिरुहजन्मनः प्रजाः । पातुं असुरनिधनेन विभू भुवं अभ्युपेत्य मनुजेषु तिष्ठतः ||</v>
      </c>
      <c r="B5657" s="4" t="s">
        <v>2</v>
      </c>
      <c r="C5657" s="4"/>
    </row>
    <row r="5658" spans="1:3" ht="24" customHeight="1">
      <c r="A5658" s="4" t="str">
        <f ca="1">IFERROR(__xludf.DUMMYFUNCTION("""COMPUTED_VALUE"""),"सुरकृत्यं एतदवगम्य निपुणं इति मूकदानवः । हन्तुं अभिपतति पाण्डुसुतं त्वरया तदत्र सह गम्यतां मया ||")</f>
        <v>सुरकृत्यं एतदवगम्य निपुणं इति मूकदानवः । हन्तुं अभिपतति पाण्डुसुतं त्वरया तदत्र सह गम्यतां मया ||</v>
      </c>
      <c r="B5658" s="4" t="s">
        <v>5</v>
      </c>
      <c r="C5658" s="4"/>
    </row>
    <row r="5659" spans="1:3" ht="24" customHeight="1">
      <c r="A5659" s="4" t="str">
        <f ca="1">IFERROR(__xludf.DUMMYFUNCTION("""COMPUTED_VALUE"""),"विवरेऽपि नैनं अनिगूढं अभिभवितुं एष पारयन् । पापनिरतिरविशङ्कितया विजयं व्यवस्यति वराहमायया ||")</f>
        <v>विवरेऽपि नैनं अनिगूढं अभिभवितुं एष पारयन् । पापनिरतिरविशङ्कितया विजयं व्यवस्यति वराहमायया ||</v>
      </c>
      <c r="B5659" s="4" t="s">
        <v>5</v>
      </c>
      <c r="C5659" s="4"/>
    </row>
    <row r="5660" spans="1:3" ht="24" customHeight="1">
      <c r="A5660" s="4" t="str">
        <f ca="1">IFERROR(__xludf.DUMMYFUNCTION("""COMPUTED_VALUE"""),"निहते विडम्बितकिरात- नृपतिवपुषा रिपौ मया । मुक्तनिशितविशिखः प्रसभं मृगयाविवादं अयं आचरिष्यति ||")</f>
        <v>निहते विडम्बितकिरात- नृपतिवपुषा रिपौ मया । मुक्तनिशितविशिखः प्रसभं मृगयाविवादं अयं आचरिष्यति ||</v>
      </c>
      <c r="B5660" s="4" t="s">
        <v>2</v>
      </c>
      <c r="C5660" s="4"/>
    </row>
    <row r="5661" spans="1:3" ht="24" customHeight="1">
      <c r="A5661" s="4" t="str">
        <f ca="1">IFERROR(__xludf.DUMMYFUNCTION("""COMPUTED_VALUE"""),"तपसा निपीडितकृशस्य विरहितसहायसम्पदः । सत्त्वविहितं अतुलं भुजयोर्बलं अस्य पश्यत मृधेऽधिकुप्यतः ||")</f>
        <v>तपसा निपीडितकृशस्य विरहितसहायसम्पदः । सत्त्वविहितं अतुलं भुजयोर्बलं अस्य पश्यत मृधेऽधिकुप्यतः ||</v>
      </c>
      <c r="B5661" s="4" t="s">
        <v>2</v>
      </c>
      <c r="C5661" s="4"/>
    </row>
    <row r="5662" spans="1:3" ht="24" customHeight="1">
      <c r="A5662" s="4" t="str">
        <f ca="1">IFERROR(__xludf.DUMMYFUNCTION("""COMPUTED_VALUE"""),"इति तानुदारं अनुनीय विषमहरिचन्दनालिना । घर्मजनितपुलकेन लसद्- गजमौक्तिकावलिगुणेन वक्षसा ||")</f>
        <v>इति तानुदारं अनुनीय विषमहरिचन्दनालिना । घर्मजनितपुलकेन लसद्- गजमौक्तिकावलिगुणेन वक्षसा ||</v>
      </c>
      <c r="B5662" s="4" t="s">
        <v>18</v>
      </c>
      <c r="C5662" s="4"/>
    </row>
    <row r="5663" spans="1:3" ht="24" customHeight="1">
      <c r="A5663" s="4" t="str">
        <f ca="1">IFERROR(__xludf.DUMMYFUNCTION("""COMPUTED_VALUE"""),"वदनेन पुष्पितलतान्त- नियमितविलम्बितमौलिना । बिभ्रदरुणनयनेन रुचं शिखिपिच्छलाञ्छितकपोलभित्तिना ||")</f>
        <v>वदनेन पुष्पितलतान्त- नियमितविलम्बितमौलिना । बिभ्रदरुणनयनेन रुचं शिखिपिच्छलाञ्छितकपोलभित्तिना ||</v>
      </c>
      <c r="B5663" s="4" t="s">
        <v>1</v>
      </c>
      <c r="C5663" s="4"/>
    </row>
    <row r="5664" spans="1:3" ht="24" customHeight="1">
      <c r="A5664" s="4" t="str">
        <f ca="1">IFERROR(__xludf.DUMMYFUNCTION("""COMPUTED_VALUE"""),"बृहदुद्वहञ्जलदनादि धनुरुपहितैकमार्गणं । मेघनिचय इव संववृते रुचिरः किरातपृतनापतिः शिवः ||")</f>
        <v>बृहदुद्वहञ्जलदनादि धनुरुपहितैकमार्गणं । मेघनिचय इव संववृते रुचिरः किरातपृतनापतिः शिवः ||</v>
      </c>
      <c r="B5664" s="4" t="s">
        <v>4</v>
      </c>
      <c r="C5664" s="4"/>
    </row>
    <row r="5665" spans="1:3" ht="24" customHeight="1">
      <c r="A5665" s="4" t="str">
        <f ca="1">IFERROR(__xludf.DUMMYFUNCTION("""COMPUTED_VALUE"""),"अनुकूलं अस्य च विचिन्त्य गणपतिभिरात्तविग्रहैः । शूलपरशुशरचापभृतैर्महती वनेचरचमूर्विनिर्ममे ||")</f>
        <v>अनुकूलं अस्य च विचिन्त्य गणपतिभिरात्तविग्रहैः । शूलपरशुशरचापभृतैर्महती वनेचरचमूर्विनिर्ममे ||</v>
      </c>
      <c r="B5665" s="4" t="s">
        <v>12</v>
      </c>
      <c r="C5665" s="4"/>
    </row>
    <row r="5666" spans="1:3" ht="24" customHeight="1">
      <c r="A5666" s="4" t="str">
        <f ca="1">IFERROR(__xludf.DUMMYFUNCTION("""COMPUTED_VALUE"""),"विरचय्य काननविभागं अनुगिरं अथेश्वराज्ञया । भीमनिनदपिहितोरुभुवः परितोऽपदिश्य मृगयां प्रतस्थिरे ||")</f>
        <v>विरचय्य काननविभागं अनुगिरं अथेश्वराज्ञया । भीमनिनदपिहितोरुभुवः परितोऽपदिश्य मृगयां प्रतस्थिरे ||</v>
      </c>
      <c r="B5666" s="4" t="s">
        <v>0</v>
      </c>
      <c r="C5666" s="4"/>
    </row>
    <row r="5667" spans="1:3" ht="24" customHeight="1">
      <c r="A5667" s="4" t="str">
        <f ca="1">IFERROR(__xludf.DUMMYFUNCTION("""COMPUTED_VALUE"""),"क्षुभिताभिनिःसृतविभिन्न- शकुनिमृगयूथनिःस्वनैः । पूर्णपृथुवनगुहाविवरः सहसा भयादिव ररास भूधरः ||")</f>
        <v>क्षुभिताभिनिःसृतविभिन्न- शकुनिमृगयूथनिःस्वनैः । पूर्णपृथुवनगुहाविवरः सहसा भयादिव ररास भूधरः ||</v>
      </c>
      <c r="B5667" s="4" t="s">
        <v>0</v>
      </c>
      <c r="C5667" s="4"/>
    </row>
    <row r="5668" spans="1:3" ht="24" customHeight="1">
      <c r="A5668" s="4" t="str">
        <f ca="1">IFERROR(__xludf.DUMMYFUNCTION("""COMPUTED_VALUE"""),"न विरोधिनी रुषं इयाय पथि मृगविहङ्गसंहतिः । घ्नन्ति सहजं अपि भूरिभियः समं आगताः सपदि वैरं आपदः ||")</f>
        <v>न विरोधिनी रुषं इयाय पथि मृगविहङ्गसंहतिः । घ्नन्ति सहजं अपि भूरिभियः समं आगताः सपदि वैरं आपदः ||</v>
      </c>
      <c r="B5668" s="4" t="s">
        <v>17</v>
      </c>
      <c r="C5668" s="4"/>
    </row>
    <row r="5669" spans="1:3" ht="24" customHeight="1">
      <c r="A5669" s="4" t="str">
        <f ca="1">IFERROR(__xludf.DUMMYFUNCTION("""COMPUTED_VALUE"""),"चमरीगणैर्गणबलस्य बलवति भयेऽप्युपस्थिते । वंशविततिषु विषक्तपृथु- प्रियबालवालधिभिराददे धृतिः ||")</f>
        <v>चमरीगणैर्गणबलस्य बलवति भयेऽप्युपस्थिते । वंशविततिषु विषक्तपृथु- प्रियबालवालधिभिराददे धृतिः ||</v>
      </c>
      <c r="B5669" s="4" t="s">
        <v>2</v>
      </c>
      <c r="C5669" s="4"/>
    </row>
    <row r="5670" spans="1:3" ht="24" customHeight="1">
      <c r="A5670" s="4" t="str">
        <f ca="1">IFERROR(__xludf.DUMMYFUNCTION("""COMPUTED_VALUE"""),"हरसैनिकाः प्रतिभयेऽपि गजमदसुगन्धिकेसरैः । स्वस्थं अभिददृशिरे सहसा प्रतिबोधजृम्भमुखैर्मृगाधिपैः ||")</f>
        <v>हरसैनिकाः प्रतिभयेऽपि गजमदसुगन्धिकेसरैः । स्वस्थं अभिददृशिरे सहसा प्रतिबोधजृम्भमुखैर्मृगाधिपैः ||</v>
      </c>
      <c r="B5670" s="4" t="s">
        <v>9</v>
      </c>
      <c r="C5670" s="4"/>
    </row>
    <row r="5671" spans="1:3" ht="24" customHeight="1">
      <c r="A5671" s="4" t="str">
        <f ca="1">IFERROR(__xludf.DUMMYFUNCTION("""COMPUTED_VALUE"""),"बिभरांबभूवुरपवृत्त- जठरशफरीकुलाकुलाः । पङ्कविषमिततटाः सरितः करिरुग्णचन्दनरसारुणं पयः ||")</f>
        <v>बिभरांबभूवुरपवृत्त- जठरशफरीकुलाकुलाः । पङ्कविषमिततटाः सरितः करिरुग्णचन्दनरसारुणं पयः ||</v>
      </c>
      <c r="B5671" s="4" t="s">
        <v>5</v>
      </c>
      <c r="C5671" s="4"/>
    </row>
    <row r="5672" spans="1:3" ht="24" customHeight="1">
      <c r="A5672" s="4" t="str">
        <f ca="1">IFERROR(__xludf.DUMMYFUNCTION("""COMPUTED_VALUE"""),"महिषक्षतागुरुतमाल- नलदसुरभिः सदागतिः । व्यस्तशुकनिभशिलाकुसुमः प्रणुदन्ववौ वनसदां परिश्रमं ||")</f>
        <v>महिषक्षतागुरुतमाल- नलदसुरभिः सदागतिः । व्यस्तशुकनिभशिलाकुसुमः प्रणुदन्ववौ वनसदां परिश्रमं ||</v>
      </c>
      <c r="B5672" s="4" t="s">
        <v>12</v>
      </c>
      <c r="C5672" s="4"/>
    </row>
    <row r="5673" spans="1:3" ht="24" customHeight="1">
      <c r="A5673" s="4" t="str">
        <f ca="1">IFERROR(__xludf.DUMMYFUNCTION("""COMPUTED_VALUE"""),"मथिताम्भसो रयविकीर्ण- मृदितकदलीगवेधुकाः । क्लान्तजलरुहलताः सरसीर्विदधे निदाघ इव सत्त्वसम्प्लवः ||")</f>
        <v>मथिताम्भसो रयविकीर्ण- मृदितकदलीगवेधुकाः । क्लान्तजलरुहलताः सरसीर्विदधे निदाघ इव सत्त्वसम्प्लवः ||</v>
      </c>
      <c r="B5673" s="4" t="s">
        <v>4</v>
      </c>
      <c r="C5673" s="4"/>
    </row>
    <row r="5674" spans="1:3" ht="24" customHeight="1">
      <c r="A5674" s="4" t="str">
        <f ca="1">IFERROR(__xludf.DUMMYFUNCTION("""COMPUTED_VALUE"""),"इति चालयन्नचलसानु- वनगहनजानुमापतिः । प्राप मुदितहरिणीदशन- क्षतवीरुधं वसतिं ऐन्द्रसूनवीं ||")</f>
        <v>इति चालयन्नचलसानु- वनगहनजानुमापतिः । प्राप मुदितहरिणीदशन- क्षतवीरुधं वसतिं ऐन्द्रसूनवीं ||</v>
      </c>
      <c r="B5674" s="4" t="s">
        <v>4</v>
      </c>
      <c r="C5674" s="4"/>
    </row>
    <row r="5675" spans="1:3" ht="24" customHeight="1">
      <c r="A5675" s="4" t="str">
        <f ca="1">IFERROR(__xludf.DUMMYFUNCTION("""COMPUTED_VALUE"""),"स तं आससाद घननीलं अभिमुखं उपस्थितं मुनेः । पित्रनिकषणविभिन्नभुवं दनुजं दधानं अथ सौकरं वपुः ||")</f>
        <v>स तं आससाद घननीलं अभिमुखं उपस्थितं मुनेः । पित्रनिकषणविभिन्नभुवं दनुजं दधानं अथ सौकरं वपुः ||</v>
      </c>
      <c r="B5675" s="4" t="s">
        <v>4</v>
      </c>
      <c r="C5675" s="4"/>
    </row>
    <row r="5676" spans="1:3" ht="24" customHeight="1">
      <c r="A5676" s="4" t="str">
        <f ca="1">IFERROR(__xludf.DUMMYFUNCTION("""COMPUTED_VALUE"""),"कच्छान्ते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||")</f>
        <v>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||</v>
      </c>
      <c r="B5676" s="4" t="s">
        <v>10</v>
      </c>
      <c r="C5676" s="4"/>
    </row>
    <row r="5677" spans="1:3" ht="24" customHeight="1">
      <c r="A5677" s="4" t="str">
        <f ca="1">IFERROR(__xludf.DUMMYFUNCTION("""COMPUTED_VALUE"""),"वपुषां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||")</f>
        <v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||</v>
      </c>
      <c r="B5677" s="4" t="s">
        <v>1</v>
      </c>
      <c r="C5677" s="4"/>
    </row>
    <row r="5678" spans="1:3" ht="24" customHeight="1">
      <c r="A5678" s="4" t="str">
        <f ca="1">IFERROR(__xludf.DUMMYFUNCTION("""COMPUTED_VALUE"""),"स्फुटबद्धसटोन्नतिः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||")</f>
        <v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||</v>
      </c>
      <c r="B5678" s="4" t="s">
        <v>19</v>
      </c>
      <c r="C5678" s="4"/>
    </row>
    <row r="5679" spans="1:3" ht="24" customHeight="1">
      <c r="A5679" s="4" t="str">
        <f ca="1">IFERROR(__xludf.DUMMYFUNCTION("""COMPUTED_VALUE"""),"घनपोत्रविदीर्णशालमूलो निबिडस्कन्धनिकाषरुग्णवप्रः । अयं एकचरोऽभिवर्तते मां समरायेव समाजुहूषमाणः ||")</f>
        <v>घनपोत्रविदीर्णशालमूलो निबिडस्कन्धनिकाषरुग्णवप्रः । अयं एकचरोऽभिवर्तते मां समरायेव समाजुहूषमाणः ||</v>
      </c>
      <c r="B5679" s="4" t="s">
        <v>7</v>
      </c>
      <c r="C5679" s="4"/>
    </row>
    <row r="5680" spans="1:3" ht="24" customHeight="1">
      <c r="A5680" s="4" t="str">
        <f ca="1">IFERROR(__xludf.DUMMYFUNCTION("""COMPUTED_VALUE"""),"इह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||")</f>
        <v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||</v>
      </c>
      <c r="B5680" s="4" t="s">
        <v>5</v>
      </c>
      <c r="C5680" s="4"/>
    </row>
    <row r="5681" spans="1:3" ht="24" customHeight="1">
      <c r="A5681" s="4" t="str">
        <f ca="1">IFERROR(__xludf.DUMMYFUNCTION("""COMPUTED_VALUE"""),"अथवैष कृतज्ञयेव पूर्वं भृशं आसेवितया रुषा न मुक्तः । अवधूय विरोधिनीः किं आरान्मृगजातीरभियाति मां जवेन ||")</f>
        <v>अथवैष कृतज्ञयेव पूर्वं भृशं आसेवितया रुषा न मुक्तः । अवधूय विरोधिनीः किं आरान्मृगजातीरभियाति मां जवेन ||</v>
      </c>
      <c r="B5681" s="4" t="s">
        <v>1</v>
      </c>
      <c r="C5681" s="4"/>
    </row>
    <row r="5682" spans="1:3" ht="24" customHeight="1">
      <c r="A5682" s="4" t="str">
        <f ca="1">IFERROR(__xludf.DUMMYFUNCTION("""COMPUTED_VALUE"""),"न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||")</f>
        <v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||</v>
      </c>
      <c r="B5682" s="4" t="s">
        <v>4</v>
      </c>
      <c r="C5682" s="4"/>
    </row>
    <row r="5683" spans="1:3" ht="24" customHeight="1">
      <c r="A5683" s="4" t="str">
        <f ca="1">IFERROR(__xludf.DUMMYFUNCTION("""COMPUTED_VALUE"""),"मुनिरस्मि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||")</f>
        <v>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||</v>
      </c>
      <c r="B5683" s="4" t="s">
        <v>5</v>
      </c>
      <c r="C5683" s="4"/>
    </row>
    <row r="5684" spans="1:3" ht="24" customHeight="1">
      <c r="A5684" s="4" t="str">
        <f ca="1">IFERROR(__xludf.DUMMYFUNCTION("""COMPUTED_VALUE"""),"दनुजः स्विदयं क्षपाचरो वा वनजे नेति बलं बदस्ति सत्त्वे । अभिभूय तथा हि मेघनीलः सकलं कम्पयतीव शैलराजं ||")</f>
        <v>दनुजः स्विदयं क्षपाचरो वा वनजे नेति बलं बदस्ति सत्त्वे । अभिभूय तथा हि मेघनीलः सकलं कम्पयतीव शैलराजं ||</v>
      </c>
      <c r="B5684" s="4" t="s">
        <v>3</v>
      </c>
      <c r="C5684" s="4"/>
    </row>
    <row r="5685" spans="1:3" ht="24" customHeight="1">
      <c r="A5685" s="4" t="str">
        <f ca="1">IFERROR(__xludf.DUMMYFUNCTION("""COMPUTED_VALUE"""),"अयं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||")</f>
        <v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||</v>
      </c>
      <c r="B5685" s="4" t="s">
        <v>1</v>
      </c>
      <c r="C5685" s="4"/>
    </row>
    <row r="5686" spans="1:3" ht="24" customHeight="1">
      <c r="A5686" s="4" t="str">
        <f ca="1">IFERROR(__xludf.DUMMYFUNCTION("""COMPUTED_VALUE"""),"बहुशः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||")</f>
        <v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||</v>
      </c>
      <c r="B5686" s="4" t="s">
        <v>16</v>
      </c>
      <c r="C5686" s="4"/>
    </row>
    <row r="5687" spans="1:3" ht="24" customHeight="1">
      <c r="A5687" s="4" t="str">
        <f ca="1">IFERROR(__xludf.DUMMYFUNCTION("""COMPUTED_VALUE"""),"अवलीढसनाभिरश्वसेनः प्रसभं खाण्डवजातवेदसा वा । प्रतिकर्तुं उपागतः समन्युः कृतमन्युर्यदि वा वृकोदरेण ||")</f>
        <v>अवलीढसनाभिरश्वसेनः प्रसभं खाण्डवजातवेदसा वा । प्रतिकर्तुं उपागतः समन्युः कृतमन्युर्यदि वा वृकोदरेण ||</v>
      </c>
      <c r="B5687" s="4" t="s">
        <v>7</v>
      </c>
      <c r="C5687" s="4"/>
    </row>
    <row r="5688" spans="1:3" ht="24" customHeight="1">
      <c r="A5688" s="4" t="str">
        <f ca="1">IFERROR(__xludf.DUMMYFUNCTION("""COMPUTED_VALUE"""),"बलशालितया यथा तथा वा धियं उच्छेदपरामयं दधानः । नियमेन मया निबर्हणीयः परमं लाभं अरातिभङ्गं आहुः ||")</f>
        <v>बलशालितया यथा तथा वा धियं उच्छेदपरामयं दधानः । नियमेन मया निबर्हणीयः परमं लाभं अरातिभङ्गं आहुः ||</v>
      </c>
      <c r="B5688" s="4" t="s">
        <v>24</v>
      </c>
      <c r="C5688" s="4"/>
    </row>
    <row r="5689" spans="1:3" ht="24" customHeight="1">
      <c r="A5689" s="4" t="str">
        <f ca="1">IFERROR(__xludf.DUMMYFUNCTION("""COMPUTED_VALUE"""),"कुरु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||")</f>
        <v>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||</v>
      </c>
      <c r="B5689" s="4" t="s">
        <v>19</v>
      </c>
      <c r="C5689" s="4"/>
    </row>
    <row r="5690" spans="1:3" ht="24" customHeight="1">
      <c r="A5690" s="4" t="str">
        <f ca="1">IFERROR(__xludf.DUMMYFUNCTION("""COMPUTED_VALUE"""),"इति तेन विचिन्त्य चापनाम प्रथमं पौरुषचिह्नं आललम्बे । उपलब्धगुणः परस्य भेदे सचिवः शुद्ध इवाददे च बाणः ||")</f>
        <v>इति तेन विचिन्त्य चापनाम प्रथमं पौरुषचिह्नं आललम्बे । उपलब्धगुणः परस्य भेदे सचिवः शुद्ध इवाददे च बाणः ||</v>
      </c>
      <c r="B5690" s="4" t="s">
        <v>7</v>
      </c>
      <c r="C5690" s="4"/>
    </row>
    <row r="5691" spans="1:3" ht="24" customHeight="1">
      <c r="A5691" s="4" t="str">
        <f ca="1">IFERROR(__xludf.DUMMYFUNCTION("""COMPUTED_VALUE"""),"अनुभाववता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||")</f>
        <v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||</v>
      </c>
      <c r="B5691" s="4" t="s">
        <v>17</v>
      </c>
      <c r="C5691" s="4"/>
    </row>
    <row r="5692" spans="1:3" ht="24" customHeight="1">
      <c r="A5692" s="4" t="str">
        <f ca="1">IFERROR(__xludf.DUMMYFUNCTION("""COMPUTED_VALUE"""),"प्रविकर्षनिनादभिन्नरन्ध्रः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||")</f>
        <v>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||</v>
      </c>
      <c r="B5692" s="4" t="s">
        <v>11</v>
      </c>
      <c r="C5692" s="4"/>
    </row>
    <row r="5693" spans="1:3" ht="24" customHeight="1">
      <c r="A5693" s="4" t="str">
        <f ca="1">IFERROR(__xludf.DUMMYFUNCTION("""COMPUTED_VALUE"""),"ददृशेऽथ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||")</f>
        <v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||</v>
      </c>
      <c r="B5693" s="4" t="s">
        <v>13</v>
      </c>
      <c r="C5693" s="4"/>
    </row>
    <row r="5694" spans="1:3" ht="24" customHeight="1">
      <c r="A5694" s="4" t="str">
        <f ca="1">IFERROR(__xludf.DUMMYFUNCTION("""COMPUTED_VALUE"""),"विचकर्ष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||")</f>
        <v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||</v>
      </c>
      <c r="B5694" s="4" t="s">
        <v>6</v>
      </c>
      <c r="C5694" s="4"/>
    </row>
    <row r="5695" spans="1:3" ht="24" customHeight="1">
      <c r="A5695" s="4" t="str">
        <f ca="1">IFERROR(__xludf.DUMMYFUNCTION("""COMPUTED_VALUE"""),"स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||")</f>
        <v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||</v>
      </c>
      <c r="B5695" s="4" t="s">
        <v>20</v>
      </c>
      <c r="C5695" s="4"/>
    </row>
    <row r="5696" spans="1:3" ht="24" customHeight="1">
      <c r="A5696" s="4" t="str">
        <f ca="1">IFERROR(__xludf.DUMMYFUNCTION("""COMPUTED_VALUE"""),"अथ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||")</f>
        <v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||</v>
      </c>
      <c r="B5696" s="4" t="s">
        <v>1</v>
      </c>
      <c r="C5696" s="4"/>
    </row>
    <row r="5697" spans="1:3" ht="24" customHeight="1">
      <c r="A5697" s="4" t="str">
        <f ca="1">IFERROR(__xludf.DUMMYFUNCTION("""COMPUTED_VALUE"""),"व्रजतोऽस्य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||")</f>
        <v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||</v>
      </c>
      <c r="B5697" s="4" t="s">
        <v>17</v>
      </c>
      <c r="C5697" s="4"/>
    </row>
    <row r="5698" spans="1:3" ht="24" customHeight="1">
      <c r="A5698" s="4" t="str">
        <f ca="1">IFERROR(__xludf.DUMMYFUNCTION("""COMPUTED_VALUE"""),"नयनादिव शूलिनः प्रवृत्तैर्मनसोऽप्याशुतरं यतः पिशङ्गैः । विदधे विलसत्तडिल्लताभैः किरणैर्व्य्ॐअनि मार्गणस्य मार्गः ||")</f>
        <v>नयनादिव शूलिनः प्रवृत्तैर्मनसोऽप्याशुतरं यतः पिशङ्गैः । विदधे विलसत्तडिल्लताभैः किरणैर्व्य्ॐअनि मार्गणस्य मार्गः ||</v>
      </c>
      <c r="B5698" s="4" t="s">
        <v>15</v>
      </c>
      <c r="C5698" s="4"/>
    </row>
    <row r="5699" spans="1:3" ht="24" customHeight="1">
      <c r="A5699" s="4" t="str">
        <f ca="1">IFERROR(__xludf.DUMMYFUNCTION("""COMPUTED_VALUE"""),"अपयन्धनुषः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||")</f>
        <v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||</v>
      </c>
      <c r="B5699" s="4" t="s">
        <v>19</v>
      </c>
      <c r="C5699" s="4"/>
    </row>
    <row r="5700" spans="1:3" ht="24" customHeight="1">
      <c r="A5700" s="4" t="str">
        <f ca="1">IFERROR(__xludf.DUMMYFUNCTION("""COMPUTED_VALUE"""),"स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||")</f>
        <v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||</v>
      </c>
      <c r="B5700" s="4" t="s">
        <v>24</v>
      </c>
      <c r="C5700" s="4"/>
    </row>
    <row r="5701" spans="1:3" ht="24" customHeight="1">
      <c r="A5701" s="4" t="str">
        <f ca="1">IFERROR(__xludf.DUMMYFUNCTION("""COMPUTED_VALUE"""),"सपदि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||")</f>
        <v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||</v>
      </c>
      <c r="B5701" s="4" t="s">
        <v>13</v>
      </c>
      <c r="C5701" s="4"/>
    </row>
    <row r="5702" spans="1:3" ht="24" customHeight="1">
      <c r="A5702" s="4" t="str">
        <f ca="1">IFERROR(__xludf.DUMMYFUNCTION("""COMPUTED_VALUE"""),"परमास्त्रपरिग्रहोरुतेजः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||")</f>
        <v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||</v>
      </c>
      <c r="B5702" s="4" t="s">
        <v>1</v>
      </c>
      <c r="C5702" s="4"/>
    </row>
    <row r="5703" spans="1:3" ht="24" customHeight="1">
      <c r="A5703" s="4" t="str">
        <f ca="1">IFERROR(__xludf.DUMMYFUNCTION("""COMPUTED_VALUE"""),"अविभावितनिष्क्रमप्रयाणः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||")</f>
        <v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||</v>
      </c>
      <c r="B5703" s="4" t="s">
        <v>17</v>
      </c>
      <c r="C5703" s="4"/>
    </row>
    <row r="5704" spans="1:3" ht="24" customHeight="1">
      <c r="A5704" s="4" t="str">
        <f ca="1">IFERROR(__xludf.DUMMYFUNCTION("""COMPUTED_VALUE"""),"स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||")</f>
        <v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||</v>
      </c>
      <c r="B5704" s="4" t="s">
        <v>1</v>
      </c>
      <c r="C5704" s="4"/>
    </row>
    <row r="5705" spans="1:3" ht="24" customHeight="1">
      <c r="A5705" s="4" t="str">
        <f ca="1">IFERROR(__xludf.DUMMYFUNCTION("""COMPUTED_VALUE"""),"अविवेकवृथाश्रमाविवार्थं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||")</f>
        <v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||</v>
      </c>
      <c r="B5705" s="4" t="s">
        <v>2</v>
      </c>
      <c r="C5705" s="4"/>
    </row>
    <row r="5706" spans="1:3" ht="24" customHeight="1">
      <c r="A5706" s="4" t="str">
        <f ca="1">IFERROR(__xludf.DUMMYFUNCTION("""COMPUTED_VALUE"""),"अथ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||")</f>
        <v>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||</v>
      </c>
      <c r="B5706" s="4" t="s">
        <v>1</v>
      </c>
      <c r="C5706" s="4"/>
    </row>
    <row r="5707" spans="1:3" ht="24" customHeight="1">
      <c r="A5707" s="4" t="str">
        <f ca="1">IFERROR(__xludf.DUMMYFUNCTION("""COMPUTED_VALUE"""),"स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||")</f>
        <v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||</v>
      </c>
      <c r="B5707" s="4" t="s">
        <v>18</v>
      </c>
      <c r="C5707" s="4"/>
    </row>
    <row r="5708" spans="1:3" ht="24" customHeight="1">
      <c r="A5708" s="4" t="str">
        <f ca="1">IFERROR(__xludf.DUMMYFUNCTION("""COMPUTED_VALUE"""),"स्फुटपौरुषं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||")</f>
        <v>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||</v>
      </c>
      <c r="B5708" s="4" t="s">
        <v>1</v>
      </c>
      <c r="C5708" s="4"/>
    </row>
    <row r="5709" spans="1:3" ht="24" customHeight="1">
      <c r="A5709" s="4" t="str">
        <f ca="1">IFERROR(__xludf.DUMMYFUNCTION("""COMPUTED_VALUE"""),"उपकार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||")</f>
        <v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||</v>
      </c>
      <c r="B5709" s="4" t="s">
        <v>7</v>
      </c>
      <c r="C5709" s="4"/>
    </row>
    <row r="5710" spans="1:3" ht="24" customHeight="1">
      <c r="A5710" s="4" t="str">
        <f ca="1">IFERROR(__xludf.DUMMYFUNCTION("""COMPUTED_VALUE"""),"स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||")</f>
        <v>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||</v>
      </c>
      <c r="B5710" s="4" t="s">
        <v>5</v>
      </c>
      <c r="C5710" s="4"/>
    </row>
    <row r="5711" spans="1:3" ht="24" customHeight="1">
      <c r="A5711" s="4" t="str">
        <f ca="1">IFERROR(__xludf.DUMMYFUNCTION("""COMPUTED_VALUE"""),"तत्र कार्मुकभृतं महाभुजः पश्यति स्म सहसा वनेचरं । संनिकाशयितुं अग्रतः स्थितं शासनं कुसुमचापविद्विषः ||")</f>
        <v>तत्र कार्मुकभृतं महाभुजः पश्यति स्म सहसा वनेचरं । संनिकाशयितुं अग्रतः स्थितं शासनं कुसुमचापविद्विषः ||</v>
      </c>
      <c r="B5711" s="4" t="s">
        <v>13</v>
      </c>
      <c r="C5711" s="4"/>
    </row>
    <row r="5712" spans="1:3" ht="24" customHeight="1">
      <c r="A5712" s="4" t="str">
        <f ca="1">IFERROR(__xludf.DUMMYFUNCTION("""COMPUTED_VALUE"""),"स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||")</f>
        <v>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||</v>
      </c>
      <c r="B5712" s="4" t="s">
        <v>16</v>
      </c>
      <c r="C5712" s="4"/>
    </row>
    <row r="5713" spans="1:3" ht="24" customHeight="1">
      <c r="A5713" s="4" t="str">
        <f ca="1">IFERROR(__xludf.DUMMYFUNCTION("""COMPUTED_VALUE"""),"शान्तता विनययोगि मानसं भूरिधाम विमलं तपः श्रुतं । प्राह ते नु सदृशी दिवौकसां अन्ववायं अवदातं आकृतिः ||")</f>
        <v>शान्तता विनययोगि मानसं भूरिधाम विमलं तपः श्रुतं । प्राह ते नु सदृशी दिवौकसां अन्ववायं अवदातं आकृतिः ||</v>
      </c>
      <c r="B5713" s="4" t="s">
        <v>2</v>
      </c>
      <c r="C5713" s="4"/>
    </row>
    <row r="5714" spans="1:3" ht="24" customHeight="1">
      <c r="A5714" s="4" t="str">
        <f ca="1">IFERROR(__xludf.DUMMYFUNCTION("""COMPUTED_VALUE"""),"दीपितस्त्वं अनुभावसम्पदा गौरवेण लघयन्महीभृतः । राजसे मुनिरपीह कारयन्नाधिपत्यं इव शातमन्यवं ||")</f>
        <v>दीपितस्त्वं अनुभावसम्पदा गौरवेण लघयन्महीभृतः । राजसे मुनिरपीह कारयन्नाधिपत्यं इव शातमन्यवं ||</v>
      </c>
      <c r="B5714" s="4" t="s">
        <v>4</v>
      </c>
      <c r="C5714" s="4"/>
    </row>
    <row r="5715" spans="1:3" ht="24" customHeight="1">
      <c r="A5715" s="4" t="str">
        <f ca="1">IFERROR(__xludf.DUMMYFUNCTION("""COMPUTED_VALUE"""),"तापसोऽपि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||")</f>
        <v>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||</v>
      </c>
      <c r="B5715" s="4" t="s">
        <v>2</v>
      </c>
      <c r="C5715" s="4"/>
    </row>
    <row r="5716" spans="1:3" ht="24" customHeight="1">
      <c r="A5716" s="4" t="str">
        <f ca="1">IFERROR(__xludf.DUMMYFUNCTION("""COMPUTED_VALUE"""),"विस्मयः क इव वा जयश्रिया नैव मुक्तिरपि ते दवीयसी । ईप्सितस्य न भवेदुपाश्रयः कस्य निर्जितरजस्तमोगुणः ||")</f>
        <v>विस्मयः क इव वा जयश्रिया नैव मुक्तिरपि ते दवीयसी । ईप्सितस्य न भवेदुपाश्रयः कस्य निर्जितरजस्तमोगुणः ||</v>
      </c>
      <c r="B5716" s="4" t="s">
        <v>7</v>
      </c>
      <c r="C5716" s="4"/>
    </row>
    <row r="5717" spans="1:3" ht="24" customHeight="1">
      <c r="A5717" s="4" t="str">
        <f ca="1">IFERROR(__xludf.DUMMYFUNCTION("""COMPUTED_VALUE"""),"ह्रेपयन्नहिमतेजसं त्विषा स त्वं इत्थं उपपन्नपौरुषः । हर्तुं अर्हसि वराहभेदिनं नैनं अस्मदधिपस्य सायकं ||")</f>
        <v>ह्रेपयन्नहिमतेजसं त्विषा स त्वं इत्थं उपपन्नपौरुषः । हर्तुं अर्हसि वराहभेदिनं नैनं अस्मदधिपस्य सायकं ||</v>
      </c>
      <c r="B5717" s="4" t="s">
        <v>19</v>
      </c>
      <c r="C5717" s="4"/>
    </row>
    <row r="5718" spans="1:3" ht="24" customHeight="1">
      <c r="A5718" s="4" t="str">
        <f ca="1">IFERROR(__xludf.DUMMYFUNCTION("""COMPUTED_VALUE"""),"स्मर्यते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||")</f>
        <v>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||</v>
      </c>
      <c r="B5718" s="4" t="s">
        <v>1</v>
      </c>
      <c r="C5718" s="4"/>
    </row>
    <row r="5719" spans="1:3" ht="24" customHeight="1">
      <c r="A5719" s="4" t="str">
        <f ca="1">IFERROR(__xludf.DUMMYFUNCTION("""COMPUTED_VALUE"""),"आकुमारं उपदेष्टुं इच्छवः संनिवृत्तिं अपथान्महापदः । योगशक्तिजितजन्ममृत्यवः शीलयन्ति यतयः सुशीलतां ||")</f>
        <v>आकुमारं उपदेष्टुं इच्छवः संनिवृत्तिं अपथान्महापदः । योगशक्तिजितजन्ममृत्यवः शीलयन्ति यतयः सुशीलतां ||</v>
      </c>
      <c r="B5719" s="4" t="s">
        <v>2</v>
      </c>
      <c r="C5719" s="4"/>
    </row>
    <row r="5720" spans="1:3" ht="24" customHeight="1">
      <c r="A5720" s="4" t="str">
        <f ca="1">IFERROR(__xludf.DUMMYFUNCTION("""COMPUTED_VALUE"""),"तिष्ठतां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||")</f>
        <v>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||</v>
      </c>
      <c r="B5720" s="4" t="s">
        <v>5</v>
      </c>
      <c r="C5720" s="4"/>
    </row>
    <row r="5721" spans="1:3" ht="24" customHeight="1">
      <c r="A5721" s="4" t="str">
        <f ca="1">IFERROR(__xludf.DUMMYFUNCTION("""COMPUTED_VALUE"""),"नूनं अत्रभवतः शराकृतिं सर्वथायं अनुयाति सायकः । सोऽयं इत्यनुपपन्नसंशयः कारितस्त्वं अपथे पदं यया ||")</f>
        <v>नूनं अत्रभवतः शराकृतिं सर्वथायं अनुयाति सायकः । सोऽयं इत्यनुपपन्नसंशयः कारितस्त्वं अपथे पदं यया ||</v>
      </c>
      <c r="B5721" s="4" t="s">
        <v>5</v>
      </c>
      <c r="C5721" s="4"/>
    </row>
    <row r="5722" spans="1:3" ht="24" customHeight="1">
      <c r="A5722" s="4" t="str">
        <f ca="1">IFERROR(__xludf.DUMMYFUNCTION("""COMPUTED_VALUE"""),"अन्यदीयविशिखे न केवलं निःस्पृहस्य भवितव्यं आहृते । निघ्नतः परनिबर्हितं मृगं व्रीडितव्यं अपि ते सचेतसः ||")</f>
        <v>अन्यदीयविशिखे न केवलं निःस्पृहस्य भवितव्यं आहृते । निघ्नतः परनिबर्हितं मृगं व्रीडितव्यं अपि ते सचेतसः ||</v>
      </c>
      <c r="B5722" s="4" t="s">
        <v>18</v>
      </c>
      <c r="C5722" s="4"/>
    </row>
    <row r="5723" spans="1:3" ht="24" customHeight="1">
      <c r="A5723" s="4" t="str">
        <f ca="1">IFERROR(__xludf.DUMMYFUNCTION("""COMPUTED_VALUE"""),"संततं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||")</f>
        <v>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||</v>
      </c>
      <c r="B5723" s="4" t="s">
        <v>1</v>
      </c>
      <c r="C5723" s="4"/>
    </row>
    <row r="5724" spans="1:3" ht="24" customHeight="1">
      <c r="A5724" s="4" t="str">
        <f ca="1">IFERROR(__xludf.DUMMYFUNCTION("""COMPUTED_VALUE"""),"अन्यदोषं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||")</f>
        <v>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||</v>
      </c>
      <c r="B5724" s="4" t="s">
        <v>2</v>
      </c>
      <c r="C5724" s="4"/>
    </row>
    <row r="5725" spans="1:3" ht="24" customHeight="1">
      <c r="A5725" s="4" t="str">
        <f ca="1">IFERROR(__xludf.DUMMYFUNCTION("""COMPUTED_VALUE"""),"दुर्वचं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||")</f>
        <v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||</v>
      </c>
      <c r="B5725" s="4" t="s">
        <v>7</v>
      </c>
      <c r="C5725" s="4"/>
    </row>
    <row r="5726" spans="1:3" ht="24" customHeight="1">
      <c r="A5726" s="4" t="str">
        <f ca="1">IFERROR(__xludf.DUMMYFUNCTION("""COMPUTED_VALUE"""),"को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दंष्ट्रिणं ||")</f>
        <v>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दंष्ट्रिणं ||</v>
      </c>
      <c r="B5726" s="4" t="s">
        <v>7</v>
      </c>
      <c r="C5726" s="4"/>
    </row>
    <row r="5727" spans="1:3" ht="24" customHeight="1">
      <c r="A5727" s="4" t="str">
        <f ca="1">IFERROR(__xludf.DUMMYFUNCTION("""COMPUTED_VALUE"""),"मित्रं इष्टं उपकारि संशये मेदिनीपतिरयं तथा च ते । तं विरोध्य भवता निरासि मा सज्जनैकवसतिः कृतज्ञता ||")</f>
        <v>मित्रं इष्टं उपकारि संशये मेदिनीपतिरयं तथा च ते । तं विरोध्य भवता निरासि मा सज्जनैकवसतिः कृतज्ञता ||</v>
      </c>
      <c r="B5727" s="4" t="s">
        <v>2</v>
      </c>
      <c r="C5727" s="4"/>
    </row>
    <row r="5728" spans="1:3" ht="24" customHeight="1">
      <c r="A5728" s="4" t="str">
        <f ca="1">IFERROR(__xludf.DUMMYFUNCTION("""COMPUTED_VALUE"""),"लभ्यं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||")</f>
        <v>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||</v>
      </c>
      <c r="B5728" s="4" t="s">
        <v>17</v>
      </c>
      <c r="C5728" s="4"/>
    </row>
    <row r="5729" spans="1:3" ht="24" customHeight="1">
      <c r="A5729" s="4" t="str">
        <f ca="1">IFERROR(__xludf.DUMMYFUNCTION("""COMPUTED_VALUE"""),"चञ्चलं वसु नितान्तं उन्नता मेदिनीं अपि हरन्त्यरातयः । भूधरस्थिरं उपेयं आगतं मावमंस्त सुहृदं महीपतिं ||")</f>
        <v>चञ्चलं वसु नितान्तं उन्नता मेदिनीं अपि हरन्त्यरातयः । भूधरस्थिरं उपेयं आगतं मावमंस्त सुहृदं महीपतिं ||</v>
      </c>
      <c r="B5729" s="4" t="s">
        <v>2</v>
      </c>
      <c r="C5729" s="4"/>
    </row>
    <row r="5730" spans="1:3" ht="24" customHeight="1">
      <c r="A5730" s="4" t="str">
        <f ca="1">IFERROR(__xludf.DUMMYFUNCTION("""COMPUTED_VALUE"""),"जेतुं एव भवता तपस्यते नायुधानि दधते मुमुक्षवः । प्राप्स्यते च सकलं महीभृता संगतेन तपसः फलं त्वया ||")</f>
        <v>जेतुं एव भवता तपस्यते नायुधानि दधते मुमुक्षवः । प्राप्स्यते च सकलं महीभृता संगतेन तपसः फलं त्वया ||</v>
      </c>
      <c r="B5730" s="4" t="s">
        <v>5</v>
      </c>
      <c r="C5730" s="4"/>
    </row>
    <row r="5731" spans="1:3" ht="24" customHeight="1">
      <c r="A5731" s="4" t="str">
        <f ca="1">IFERROR(__xludf.DUMMYFUNCTION("""COMPUTED_VALUE"""),"वाजिभूमिरिभराजकाननं सन्ति रत्ननिचयाश्च भूरिशः । काञ्चनेन किं इवास्य पत्त्रिणा केवलं न सहते विलङ्घनं ||")</f>
        <v>वाजिभूमिरिभराजकाननं सन्ति रत्ननिचयाश्च भूरिशः । काञ्चनेन किं इवास्य पत्त्रिणा केवलं न सहते विलङ्घनं ||</v>
      </c>
      <c r="B5731" s="4" t="s">
        <v>1</v>
      </c>
      <c r="C5731" s="4"/>
    </row>
    <row r="5732" spans="1:3" ht="24" customHeight="1">
      <c r="A5732" s="4" t="str">
        <f ca="1">IFERROR(__xludf.DUMMYFUNCTION("""COMPUTED_VALUE"""),"सावलेपं उपलिप्सते परैरभ्युपैति विकृतिं रजस्यपि । अर्थितस्तु न महान्समीहते जीवितं किमु धनं धनायितुं ||")</f>
        <v>सावलेपं उपलिप्सते परैरभ्युपैति विकृतिं रजस्यपि । अर्थितस्तु न महान्समीहते जीवितं किमु धनं धनायितुं ||</v>
      </c>
      <c r="B5732" s="4" t="s">
        <v>2</v>
      </c>
      <c r="C5732" s="4"/>
    </row>
    <row r="5733" spans="1:3" ht="24" customHeight="1">
      <c r="A5733" s="4" t="str">
        <f ca="1">IFERROR(__xludf.DUMMYFUNCTION("""COMPUTED_VALUE"""),"तत्तदीयविशिखातिसर्जनादस्तु वां गुरु यदृच्छयागतं । राघवप्लवगराजयोरिव प्रेम युक्तं इतरेतराश्रयं ||")</f>
        <v>तत्तदीयविशिखातिसर्जनादस्तु वां गुरु यदृच्छयागतं । राघवप्लवगराजयोरिव प्रेम युक्तं इतरेतराश्रयं ||</v>
      </c>
      <c r="B5733" s="4" t="s">
        <v>5</v>
      </c>
      <c r="C5733" s="4"/>
    </row>
    <row r="5734" spans="1:3" ht="24" customHeight="1">
      <c r="A5734" s="4" t="str">
        <f ca="1">IFERROR(__xludf.DUMMYFUNCTION("""COMPUTED_VALUE"""),"नाभियोक्तुं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||")</f>
        <v>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||</v>
      </c>
      <c r="B5734" s="4" t="s">
        <v>7</v>
      </c>
      <c r="C5734" s="4"/>
    </row>
    <row r="5735" spans="1:3" ht="24" customHeight="1">
      <c r="A5735" s="4" t="str">
        <f ca="1">IFERROR(__xludf.DUMMYFUNCTION("""COMPUTED_VALUE"""),"मार्गणैरथ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||")</f>
        <v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||</v>
      </c>
      <c r="B5735" s="4" t="s">
        <v>1</v>
      </c>
      <c r="C5735" s="4"/>
    </row>
    <row r="5736" spans="1:3" ht="24" customHeight="1">
      <c r="A5736" s="4" t="str">
        <f ca="1">IFERROR(__xludf.DUMMYFUNCTION("""COMPUTED_VALUE"""),"तेन सूरिरुपकारिताधनः कर्तुं इच्छति न याचितं वृथा । सीदतां अनुभवन्निवार्थिनां वेद यत्प्रणयभङ्गवेदनां ||")</f>
        <v>तेन सूरिरुपकारिताधनः कर्तुं इच्छति न याचितं वृथा । सीदतां अनुभवन्निवार्थिनां वेद यत्प्रणयभङ्गवेदनां ||</v>
      </c>
      <c r="B5736" s="4" t="s">
        <v>1</v>
      </c>
      <c r="C5736" s="4"/>
    </row>
    <row r="5737" spans="1:3" ht="24" customHeight="1">
      <c r="A5737" s="4" t="str">
        <f ca="1">IFERROR(__xludf.DUMMYFUNCTION("""COMPUTED_VALUE"""),"शक्तिरर्थपतिषु स्वयंग्रहं प्रेम कारयति वा निरत्ययं । कारणद्वयं इदं निरस्यतः प्रार्थनाधिकबले विपत्फला ||")</f>
        <v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||</v>
      </c>
      <c r="B5737" s="4" t="s">
        <v>11</v>
      </c>
      <c r="C5737" s="4"/>
    </row>
    <row r="5738" spans="1:3" ht="24" customHeight="1">
      <c r="A5738" s="4" t="str">
        <f ca="1">IFERROR(__xludf.DUMMYFUNCTION("""COMPUTED_VALUE"""),"अस्त्रवेदं अधिगम्य तत्त्वतः कस्य चेह भुजवीर्यशालिनः । जामदग्न्यं अपहाय गीयते तापसेषु चरितार्थं आयुधं ||")</f>
        <v>अस्त्रवेदं अधिगम्य तत्त्वतः कस्य चेह भुजवीर्यशालिनः । जामदग्न्यं अपहाय गीयते तापसेषु चरितार्थं आयुधं ||</v>
      </c>
      <c r="B5738" s="4" t="s">
        <v>20</v>
      </c>
      <c r="C5738" s="4"/>
    </row>
    <row r="5739" spans="1:3" ht="24" customHeight="1">
      <c r="A5739" s="4" t="str">
        <f ca="1">IFERROR(__xludf.DUMMYFUNCTION("""COMPUTED_VALUE"""),"अभ्यघानि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||")</f>
        <v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||</v>
      </c>
      <c r="B5739" s="4" t="s">
        <v>2</v>
      </c>
      <c r="C5739" s="4"/>
    </row>
    <row r="5740" spans="1:3" ht="24" customHeight="1">
      <c r="A5740" s="4" t="str">
        <f ca="1">IFERROR(__xludf.DUMMYFUNCTION("""COMPUTED_VALUE"""),"जन्मवेषतपसां विरोधिनीं मा कृथाः पुनरमूं अपक्रियां । आपदेत्युभयलोकदूषणी वर्तमानं अपथे हि दुर्मतिं ||")</f>
        <v>जन्मवेषतपसां विरोधिनीं मा कृथाः पुनरमूं अपक्रियां । आपदेत्युभयलोकदूषणी वर्तमानं अपथे हि दुर्मतिं ||</v>
      </c>
      <c r="B5740" s="4" t="s">
        <v>2</v>
      </c>
      <c r="C5740" s="4"/>
    </row>
    <row r="5741" spans="1:3" ht="24" customHeight="1">
      <c r="A5741" s="4" t="str">
        <f ca="1">IFERROR(__xludf.DUMMYFUNCTION("""COMPUTED_VALUE"""),"यष्टुं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||")</f>
        <v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||</v>
      </c>
      <c r="B5741" s="4" t="s">
        <v>8</v>
      </c>
      <c r="C5741" s="4"/>
    </row>
    <row r="5742" spans="1:3" ht="24" customHeight="1">
      <c r="A5742" s="4" t="str">
        <f ca="1">IFERROR(__xludf.DUMMYFUNCTION("""COMPUTED_VALUE"""),"सज्जनोऽसि विजहीहि चापलं सर्वदा क इव वा सहिष्यते । वारिधीनिव युगान्तवायवः क्षोभयन्त्यनिभृता गुरूनपि ||")</f>
        <v>सज्जनोऽसि विजहीहि चापलं सर्वदा क इव वा सहिष्यते । वारिधीनिव युगान्तवायवः क्षोभयन्त्यनिभृता गुरूनपि ||</v>
      </c>
      <c r="B5742" s="4" t="s">
        <v>9</v>
      </c>
      <c r="C5742" s="4"/>
    </row>
    <row r="5743" spans="1:3" ht="24" customHeight="1">
      <c r="A5743" s="4" t="str">
        <f ca="1">IFERROR(__xludf.DUMMYFUNCTION("""COMPUTED_VALUE"""),"अस्त्रवेदविदयं महीपतिः पर्वतीय इति मावजीगणः । गोपितुं भुवं इमां मरुत्वता शैलवासं अनुनीय लम्भितः ||")</f>
        <v>अस्त्रवेदविदयं महीपतिः पर्वतीय इति मावजीगणः । गोपितुं भुवं इमां मरुत्वता शैलवासं अनुनीय लम्भितः ||</v>
      </c>
      <c r="B5743" s="4" t="s">
        <v>2</v>
      </c>
      <c r="C5743" s="4"/>
    </row>
    <row r="5744" spans="1:3" ht="24" customHeight="1">
      <c r="A5744" s="4" t="str">
        <f ca="1">IFERROR(__xludf.DUMMYFUNCTION("""COMPUTED_VALUE"""),"तत्तितिक्षितं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||")</f>
        <v>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||</v>
      </c>
      <c r="B5744" s="4" t="s">
        <v>17</v>
      </c>
      <c r="C5744" s="4"/>
    </row>
    <row r="5745" spans="1:3" ht="24" customHeight="1">
      <c r="A5745" s="4" t="str">
        <f ca="1">IFERROR(__xludf.DUMMYFUNCTION("""COMPUTED_VALUE"""),"आत्मनीनं उपतिष्ठते गुणाः सम्भवन्ति विरमन्ति चापदः । इत्यनेकफलभाजि मा स्म भूदर्थिता कथं इवार्यसंगमे ||")</f>
        <v>आत्मनीनं उपतिष्ठते गुणाः सम्भवन्ति विरमन्ति चापदः । इत्यनेकफलभाजि मा स्म भूदर्थिता कथं इवार्यसंगमे ||</v>
      </c>
      <c r="B5745" s="4" t="s">
        <v>12</v>
      </c>
      <c r="C5745" s="4"/>
    </row>
    <row r="5746" spans="1:3" ht="24" customHeight="1">
      <c r="A5746" s="4" t="str">
        <f ca="1">IFERROR(__xludf.DUMMYFUNCTION("""COMPUTED_VALUE"""),"दृश्यतां अयं अनोकहान्तरे तिग्महेतिपृतनाभिरन्वितः । साहिवीचिरिव सिन्धुरुद्धतो भूपतिः समयसेतुवारितः ||")</f>
        <v>दृश्यतां अयं अनोकहान्तरे तिग्महेतिपृतनाभिरन्वितः । साहिवीचिरिव सिन्धुरुद्धतो भूपतिः समयसेतुवारितः ||</v>
      </c>
      <c r="B5746" s="4" t="s">
        <v>2</v>
      </c>
      <c r="C5746" s="4"/>
    </row>
    <row r="5747" spans="1:3" ht="24" customHeight="1">
      <c r="A5747" s="4" t="str">
        <f ca="1">IFERROR(__xludf.DUMMYFUNCTION("""COMPUTED_VALUE"""),"सज्यं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||")</f>
        <v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||</v>
      </c>
      <c r="B5747" s="4" t="s">
        <v>1</v>
      </c>
      <c r="C5747" s="4"/>
    </row>
    <row r="5748" spans="1:3" ht="24" customHeight="1">
      <c r="A5748" s="4" t="str">
        <f ca="1">IFERROR(__xludf.DUMMYFUNCTION("""COMPUTED_VALUE"""),"अथ भूतानि वार्त्रघ्न- शरेभ्यस्तत्र तत्रसुः । भेजे दिशः परित्यक्त- महेष्वासा च सा चमूः ||")</f>
        <v>अथ भूतानि वार्त्रघ्न- शरेभ्यस्तत्र तत्रसुः । भेजे दिशः परित्यक्त- महेष्वासा च सा चमूः ||</v>
      </c>
      <c r="B5748" s="4" t="s">
        <v>12</v>
      </c>
      <c r="C5748" s="4"/>
    </row>
    <row r="5749" spans="1:3" ht="24" customHeight="1">
      <c r="A5749" s="4" t="str">
        <f ca="1">IFERROR(__xludf.DUMMYFUNCTION("""COMPUTED_VALUE"""),"अपश्यद्भिरिवेशानं रणान्निववृते गणैः । मुह्यतीव हि कृच्छ्रेषु सम्भ्रमज्वलितं मनः ||")</f>
        <v>अपश्यद्भिरिवेशानं रणान्निववृते गणैः । मुह्यतीव हि कृच्छ्रेषु सम्भ्रमज्वलितं मनः ||</v>
      </c>
      <c r="B5749" s="4" t="s">
        <v>1</v>
      </c>
      <c r="C5749" s="4"/>
    </row>
    <row r="5750" spans="1:3" ht="24" customHeight="1">
      <c r="A5750" s="4" t="str">
        <f ca="1">IFERROR(__xludf.DUMMYFUNCTION("""COMPUTED_VALUE"""),"खण्डिताशंसया तेषां पराङ्मुखतया तया । आविवेश कृपा केतौ कृतोच्चैर्वानरं नरं ||")</f>
        <v>खण्डिताशंसया तेषां पराङ्मुखतया तया । आविवेश कृपा केतौ कृतोच्चैर्वानरं नरं ||</v>
      </c>
      <c r="B5750" s="4" t="s">
        <v>0</v>
      </c>
      <c r="C5750" s="4"/>
    </row>
    <row r="5751" spans="1:3" ht="24" customHeight="1">
      <c r="A5751" s="4" t="str">
        <f ca="1">IFERROR(__xludf.DUMMYFUNCTION("""COMPUTED_VALUE"""),"आस्थां आलम्ब्य नीतेषु वशं क्षुद्रेष्वरातिषु । व्यक्तिं आयाति महतां माहात्म्यं अनुकम्पया ||")</f>
        <v>आस्थां आलम्ब्य नीतेषु वशं क्षुद्रेष्वरातिषु । व्यक्तिं आयाति महतां माहात्म्यं अनुकम्पया ||</v>
      </c>
      <c r="B5751" s="4" t="s">
        <v>5</v>
      </c>
      <c r="C5751" s="4"/>
    </row>
    <row r="5752" spans="1:3" ht="24" customHeight="1">
      <c r="A5752" s="4" t="str">
        <f ca="1">IFERROR(__xludf.DUMMYFUNCTION("""COMPUTED_VALUE"""),"स सासिः सासुसूः सासो येयायेयाययाययः । ललौ लीलां ललोऽलोलः शशीशशिशुशीः शशन् ||")</f>
        <v>स सासिः सासुसूः सासो येयायेयाययाययः । ललौ लीलां ललोऽलोलः शशीशशिशुशीः शशन् ||</v>
      </c>
      <c r="B5752" s="4" t="s">
        <v>8</v>
      </c>
      <c r="C5752" s="4"/>
    </row>
    <row r="5753" spans="1:3" ht="24" customHeight="1">
      <c r="A5753" s="4" t="str">
        <f ca="1">IFERROR(__xludf.DUMMYFUNCTION("""COMPUTED_VALUE"""),"त्रासजिह्मं यतश्चैतान्मन्दं एवान्वियाय सः । नातिपीडयितुं भग्नानिच्छन्ति हि महौजसः ||")</f>
        <v>त्रासजिह्मं यतश्चैतान्मन्दं एवान्वियाय सः । नातिपीडयितुं भग्नानिच्छन्ति हि महौजसः ||</v>
      </c>
      <c r="B5753" s="4" t="s">
        <v>18</v>
      </c>
      <c r="C5753" s="4"/>
    </row>
    <row r="5754" spans="1:3" ht="24" customHeight="1">
      <c r="A5754" s="4" t="str">
        <f ca="1">IFERROR(__xludf.DUMMYFUNCTION("""COMPUTED_VALUE"""),"अथाग्रे हसता साचि- स्थितेन स्थिरकीर्तिना । सेनान्या ते जगदिरे किंचिदायस्तचेतसा ||")</f>
        <v>अथाग्रे हसता साचि- स्थितेन स्थिरकीर्तिना । सेनान्या ते जगदिरे किंचिदायस्तचेतसा ||</v>
      </c>
      <c r="B5754" s="4" t="s">
        <v>18</v>
      </c>
      <c r="C5754" s="4"/>
    </row>
    <row r="5755" spans="1:3" ht="24" customHeight="1">
      <c r="A5755" s="4" t="str">
        <f ca="1">IFERROR(__xludf.DUMMYFUNCTION("""COMPUTED_VALUE"""),"मा विहासिष्ट समरं समरन्तव्यसंयतः । क्षतं क्षुण्णासुरगणैरगणैरिव किं यशः ||")</f>
        <v>मा विहासिष्ट समरं समरन्तव्यसंयतः । क्षतं क्षुण्णासुरगणैरगणैरिव किं यशः ||</v>
      </c>
      <c r="B5755" s="4" t="s">
        <v>8</v>
      </c>
      <c r="C5755" s="4"/>
    </row>
    <row r="5756" spans="1:3" ht="24" customHeight="1">
      <c r="A5756" s="4" t="str">
        <f ca="1">IFERROR(__xludf.DUMMYFUNCTION("""COMPUTED_VALUE"""),"विवस्वदंशुसंश्लेष- द्विगुणीकृततेजसः । अमी वो मोघं उद्गूर्णा हसन्तीव महासयः ||")</f>
        <v>विवस्वदंशुसंश्लेष- द्विगुणीकृततेजसः । अमी वो मोघं उद्गूर्णा हसन्तीव महासयः ||</v>
      </c>
      <c r="B5756" s="4" t="s">
        <v>5</v>
      </c>
      <c r="C5756" s="4"/>
    </row>
    <row r="5757" spans="1:3" ht="24" customHeight="1">
      <c r="A5757" s="4" t="str">
        <f ca="1">IFERROR(__xludf.DUMMYFUNCTION("""COMPUTED_VALUE"""),"वनेऽवने वनसदां मार्गं मार्गं उपेयुषां । वाणैर्बाणैः समासक्तं शङ्केऽशं केन शाम्यति ||")</f>
        <v>वनेऽवने वनसदां मार्गं मार्गं उपेयुषां । वाणैर्बाणैः समासक्तं शङ्केऽशं केन शाम्यति ||</v>
      </c>
      <c r="B5757" s="4" t="s">
        <v>2</v>
      </c>
      <c r="C5757" s="4"/>
    </row>
    <row r="5758" spans="1:3" ht="24" customHeight="1">
      <c r="A5758" s="4" t="str">
        <f ca="1">IFERROR(__xludf.DUMMYFUNCTION("""COMPUTED_VALUE"""),"पातितोत्तुङ्गमाहात्म्यैः संहृतायतकीर्तिभिः । गुर्वीं कां आपदं हन्तुं कृतं आवृत्तिसाहसं ||")</f>
        <v>पातितोत्तुङ्गमाहात्म्यैः संहृतायतकीर्तिभिः । गुर्वीं कां आपदं हन्तुं कृतं आवृत्तिसाहसं ||</v>
      </c>
      <c r="B5758" s="4" t="s">
        <v>18</v>
      </c>
      <c r="C5758" s="4"/>
    </row>
    <row r="5759" spans="1:3" ht="24" customHeight="1">
      <c r="A5759" s="4" t="str">
        <f ca="1">IFERROR(__xludf.DUMMYFUNCTION("""COMPUTED_VALUE"""),"नासुरोऽयं न वा नागो धरसंस्थो न राक्षसः । ना सुखोऽयं नवाभोगो धरणिस्थो हि राजसः ||")</f>
        <v>नासुरोऽयं न वा नागो धरसंस्थो न राक्षसः । ना सुखोऽयं नवाभोगो धरणिस्थो हि राजसः ||</v>
      </c>
      <c r="B5759" s="4" t="s">
        <v>18</v>
      </c>
      <c r="C5759" s="4"/>
    </row>
    <row r="5760" spans="1:3" ht="24" customHeight="1">
      <c r="A5760" s="4" t="str">
        <f ca="1">IFERROR(__xludf.DUMMYFUNCTION("""COMPUTED_VALUE"""),"मन्दं अस्यन्निषुलतां घृणया मुनिरेष वः । प्रणुदत्यागतावज्ञं जघनेषु पशूनिव ||")</f>
        <v>मन्दं अस्यन्निषुलतां घृणया मुनिरेष वः । प्रणुदत्यागतावज्ञं जघनेषु पशूनिव ||</v>
      </c>
      <c r="B5760" s="4" t="s">
        <v>4</v>
      </c>
      <c r="C5760" s="4"/>
    </row>
    <row r="5761" spans="1:3" ht="24" customHeight="1">
      <c r="A5761" s="4" t="str">
        <f ca="1">IFERROR(__xludf.DUMMYFUNCTION("""COMPUTED_VALUE"""),"न नोननुन्नोऽनुन्नेनो न ना नानानना ननु । नुन्नोऽनुन्नो न नुन्नेनो नानेनानुन्ननुन्न नुथ् ||")</f>
        <v>न नोननुन्नोऽनुन्नेनो न ना नानानना ननु । नुन्नोऽनुन्नो न नुन्नेनो नानेनानुन्ननुन्न नुथ् ||</v>
      </c>
      <c r="B5761" s="4" t="s">
        <v>1</v>
      </c>
      <c r="C5761" s="4"/>
    </row>
    <row r="5762" spans="1:3" ht="24" customHeight="1">
      <c r="A5762" s="4" t="str">
        <f ca="1">IFERROR(__xludf.DUMMYFUNCTION("""COMPUTED_VALUE"""),"वरं कृतध्वस्तगुणादत्यन्तं अगुणः पुमान् । प्रकृत्या ह्यमणिः श्रेयान्नालंकारश्च्युतोपलः ||")</f>
        <v>वरं कृतध्वस्तगुणादत्यन्तं अगुणः पुमान् । प्रकृत्या ह्यमणिः श्रेयान्नालंकारश्च्युतोपलः ||</v>
      </c>
      <c r="B5762" s="4" t="s">
        <v>11</v>
      </c>
      <c r="C5762" s="4"/>
    </row>
    <row r="5763" spans="1:3" ht="24" customHeight="1">
      <c r="A5763" s="4" t="str">
        <f ca="1">IFERROR(__xludf.DUMMYFUNCTION("""COMPUTED_VALUE"""),"स्यन्दना नो चतुरगाः सुरेभा वाविपत्तयः । स्यन्दना नो च तुरगाः सुरेभावा विपत्तयः ||")</f>
        <v>स्यन्दना नो चतुरगाः सुरेभा वाविपत्तयः । स्यन्दना नो च तुरगाः सुरेभावा विपत्तयः ||</v>
      </c>
      <c r="B5763" s="4" t="s">
        <v>5</v>
      </c>
      <c r="C5763" s="4"/>
    </row>
    <row r="5764" spans="1:3" ht="24" customHeight="1">
      <c r="A5764" s="4" t="str">
        <f ca="1">IFERROR(__xludf.DUMMYFUNCTION("""COMPUTED_VALUE"""),"भवद्भिरधुनाराति- परिहापितपौरुषैः । ह्रदैरिवार्कनिष्पीतैः प्राप्तः पङ्को दुरुत्सहः ||")</f>
        <v>भवद्भिरधुनाराति- परिहापितपौरुषैः । ह्रदैरिवार्कनिष्पीतैः प्राप्तः पङ्को दुरुत्सहः ||</v>
      </c>
      <c r="B5764" s="4" t="s">
        <v>24</v>
      </c>
      <c r="C5764" s="4"/>
    </row>
    <row r="5765" spans="1:3" ht="24" customHeight="1">
      <c r="A5765" s="4" t="str">
        <f ca="1">IFERROR(__xludf.DUMMYFUNCTION("""COMPUTED_VALUE"""),"वेत्रशाककुजे शैलेऽलेशैजेऽकुकशात्रवे । यात किं विदिशो जेतुं तुञ्जेशो दिवि किंतया ||")</f>
        <v>वेत्रशाककुजे शैलेऽलेशैजेऽकुकशात्रवे । यात किं विदिशो जेतुं तुञ्जेशो दिवि किंतया ||</v>
      </c>
      <c r="B5765" s="4" t="s">
        <v>5</v>
      </c>
      <c r="C5765" s="4"/>
    </row>
    <row r="5766" spans="1:3" ht="24" customHeight="1">
      <c r="A5766" s="4" t="str">
        <f ca="1">IFERROR(__xludf.DUMMYFUNCTION("""COMPUTED_VALUE"""),"अयं वः क्लैब्यं आपन्नान्दृष्टपृष्ठानरातिना । इच्छतीशश्च्युताचारान्दारानिव निगोपितुं ||")</f>
        <v>अयं वः क्लैब्यं आपन्नान्दृष्टपृष्ठानरातिना । इच्छतीशश्च्युताचारान्दारानिव निगोपितुं ||</v>
      </c>
      <c r="B5766" s="4" t="s">
        <v>2</v>
      </c>
      <c r="C5766" s="4"/>
    </row>
    <row r="5767" spans="1:3" ht="24" customHeight="1">
      <c r="A5767" s="4" t="str">
        <f ca="1">IFERROR(__xludf.DUMMYFUNCTION("""COMPUTED_VALUE"""),"ननु हो मथना राघो घोरा नाथमहो नु न । तयदातवदा भीमा माभीदा बत दायत ||")</f>
        <v>ननु हो मथना राघो घोरा नाथमहो नु न । तयदातवदा भीमा माभीदा बत दायत ||</v>
      </c>
      <c r="B5767" s="4" t="s">
        <v>2</v>
      </c>
      <c r="C5767" s="4"/>
    </row>
    <row r="5768" spans="1:3" ht="24" customHeight="1">
      <c r="A5768" s="4" t="str">
        <f ca="1">IFERROR(__xludf.DUMMYFUNCTION("""COMPUTED_VALUE"""),"किं त्यक्तापास्तदेवत्व- मानुष्यकपरिग्रहैः । ज्वलितान्यगुणैर्गुर्वी स्थिता तेजसि मान्यता ||")</f>
        <v>किं त्यक्तापास्तदेवत्व- मानुष्यकपरिग्रहैः । ज्वलितान्यगुणैर्गुर्वी स्थिता तेजसि मान्यता ||</v>
      </c>
      <c r="B5768" s="4" t="s">
        <v>2</v>
      </c>
      <c r="C5768" s="4"/>
    </row>
    <row r="5769" spans="1:3" ht="24" customHeight="1">
      <c r="A5769" s="4" t="str">
        <f ca="1">IFERROR(__xludf.DUMMYFUNCTION("""COMPUTED_VALUE"""),"निशितासिरतोऽभीको न्येजतेऽमरणा रुचा । सारतो न विरोधी नः स्वाभासो भरवानुत ||")</f>
        <v>निशितासिरतोऽभीको न्येजतेऽमरणा रुचा । सारतो न विरोधी नः स्वाभासो भरवानुत ||</v>
      </c>
      <c r="B5769" s="4" t="s">
        <v>2</v>
      </c>
      <c r="C5769" s="4"/>
    </row>
    <row r="5770" spans="1:3" ht="24" customHeight="1">
      <c r="A5770" s="4" t="str">
        <f ca="1">IFERROR(__xludf.DUMMYFUNCTION("""COMPUTED_VALUE"""),"तनुवारभसो भास्वानधीरोऽविनतोरसा । चारुणा रमते जन्ये कोऽभीतो रसिताशिनि ||")</f>
        <v>तनुवारभसो भास्वानधीरोऽविनतोरसा । चारुणा रमते जन्ये कोऽभीतो रसिताशिनि ||</v>
      </c>
      <c r="B5770" s="4" t="s">
        <v>1</v>
      </c>
      <c r="C5770" s="4"/>
    </row>
    <row r="5771" spans="1:3" ht="24" customHeight="1">
      <c r="A5771" s="4" t="str">
        <f ca="1">IFERROR(__xludf.DUMMYFUNCTION("""COMPUTED_VALUE"""),"निर्भिन्नपातिताश्वीय- निरुद्धरथवर्त्मनि । हतद्विपनगष्ठ्यूत- रुधिराम्बुनदाकुले ||")</f>
        <v>निर्भिन्नपातिताश्वीय- निरुद्धरथवर्त्मनि । हतद्विपनगष्ठ्यूत- रुधिराम्बुनदाकुले ||</v>
      </c>
      <c r="B5771" s="4" t="s">
        <v>11</v>
      </c>
      <c r="C5771" s="4"/>
    </row>
    <row r="5772" spans="1:3" ht="24" customHeight="1">
      <c r="A5772" s="4" t="str">
        <f ca="1">IFERROR(__xludf.DUMMYFUNCTION("""COMPUTED_VALUE"""),"देवाकानिनि कावादे वाहिकास्वस्वकाहि वा । काकारेभभरे काका निस्वभव्यव्यभस्वनि ||")</f>
        <v>देवाकानिनि कावादे वाहिकास्वस्वकाहि वा । काकारेभभरे काका निस्वभव्यव्यभस्वनि ||</v>
      </c>
      <c r="B5772" s="4" t="s">
        <v>1</v>
      </c>
      <c r="C5772" s="4"/>
    </row>
    <row r="5773" spans="1:3" ht="24" customHeight="1">
      <c r="A5773" s="4" t="str">
        <f ca="1">IFERROR(__xludf.DUMMYFUNCTION("""COMPUTED_VALUE"""),"प्रनृत्तशववित्रस्त- तुरगाक्षिप्तसारथौ । मारुतापूर्णतूणीर- विक्रुष्टहतसादिनि ||")</f>
        <v>प्रनृत्तशववित्रस्त- तुरगाक्षिप्तसारथौ । मारुतापूर्णतूणीर- विक्रुष्टहतसादिनि ||</v>
      </c>
      <c r="B5773" s="4" t="s">
        <v>1</v>
      </c>
      <c r="C5773" s="4"/>
    </row>
    <row r="5774" spans="1:3" ht="24" customHeight="1">
      <c r="A5774" s="4" t="str">
        <f ca="1">IFERROR(__xludf.DUMMYFUNCTION("""COMPUTED_VALUE"""),"ससत्त्वरतिदे नित्यं सदरामर्षनाशिनि । त्वराधिककसन्नादे रमकत्वं अकर्षति ||")</f>
        <v>ससत्त्वरतिदे नित्यं सदरामर्षनाशिनि । त्वराधिककसन्नादे रमकत्वं अकर्षति ||</v>
      </c>
      <c r="B5774" s="4" t="s">
        <v>2</v>
      </c>
      <c r="C5774" s="4"/>
    </row>
    <row r="5775" spans="1:3" ht="24" customHeight="1">
      <c r="A5775" s="4" t="str">
        <f ca="1">IFERROR(__xludf.DUMMYFUNCTION("""COMPUTED_VALUE"""),"आसुरे लोकवित्रास- विधायिनि महाहवे । युष्माभिरुन्नतिं नीतं निरस्तं इह पौरुषं ||")</f>
        <v>आसुरे लोकवित्रास- विधायिनि महाहवे । युष्माभिरुन्नतिं नीतं निरस्तं इह पौरुषं ||</v>
      </c>
      <c r="B5775" s="4" t="s">
        <v>13</v>
      </c>
      <c r="C5775" s="4"/>
    </row>
    <row r="5776" spans="1:3" ht="24" customHeight="1">
      <c r="A5776" s="4" t="str">
        <f ca="1">IFERROR(__xludf.DUMMYFUNCTION("""COMPUTED_VALUE"""),"इति शासति सेनान्यां गच्छतस्ताननेकधा । निषिध्य हसता किंचित्तत्र तस्थेऽन्धकारिणा ||")</f>
        <v>इति शासति सेनान्यां गच्छतस्ताननेकधा । निषिध्य हसता किंचित्तत्र तस्थेऽन्धकारिणा ||</v>
      </c>
      <c r="B5776" s="4" t="s">
        <v>7</v>
      </c>
      <c r="C5776" s="4"/>
    </row>
    <row r="5777" spans="1:3" ht="24" customHeight="1">
      <c r="A5777" s="4" t="str">
        <f ca="1">IFERROR(__xludf.DUMMYFUNCTION("""COMPUTED_VALUE"""),"मुनीषुदहनातप्तांल्लज्जया निविवृत्सतः । शिवः प्रह्लादयामास तान्निषेधहिमाम्बुना ||")</f>
        <v>मुनीषुदहनातप्तांल्लज्जया निविवृत्सतः । शिवः प्रह्लादयामास तान्निषेधहिमाम्बुना ||</v>
      </c>
      <c r="B5777" s="4" t="s">
        <v>1</v>
      </c>
      <c r="C5777" s="4"/>
    </row>
    <row r="5778" spans="1:3" ht="24" customHeight="1">
      <c r="A5778" s="4" t="str">
        <f ca="1">IFERROR(__xludf.DUMMYFUNCTION("""COMPUTED_VALUE"""),"दूनास्तेऽरिबलादूना निरेभा बहु मेनिरे । भीताः शितशराभीताः शंकरं तत्र शंकरं ||")</f>
        <v>दूनास्तेऽरिबलादूना निरेभा बहु मेनिरे । भीताः शितशराभीताः शंकरं तत्र शंकरं ||</v>
      </c>
      <c r="B5778" s="4" t="s">
        <v>0</v>
      </c>
      <c r="C5778" s="4"/>
    </row>
    <row r="5779" spans="1:3" ht="24" customHeight="1">
      <c r="A5779" s="4" t="str">
        <f ca="1">IFERROR(__xludf.DUMMYFUNCTION("""COMPUTED_VALUE"""),"महेषुजलधौ शत्रोर्वर्तमाना दुरुत्तरे । प्राप्य पारं इवेशानं आशश्वास पताकिनी ||")</f>
        <v>महेषुजलधौ शत्रोर्वर्तमाना दुरुत्तरे । प्राप्य पारं इवेशानं आशश्वास पताकिनी ||</v>
      </c>
      <c r="B5779" s="4" t="s">
        <v>1</v>
      </c>
      <c r="C5779" s="4"/>
    </row>
    <row r="5780" spans="1:3" ht="24" customHeight="1">
      <c r="A5780" s="4" t="str">
        <f ca="1">IFERROR(__xludf.DUMMYFUNCTION("""COMPUTED_VALUE"""),"स बभार रणापेतां चमूं पश्चादवस्थितां । पुरः सूर्यादुपावृत्तां छायां इव महातरुः ||")</f>
        <v>स बभार रणापेतां चमूं पश्चादवस्थितां । पुरः सूर्यादुपावृत्तां छायां इव महातरुः ||</v>
      </c>
      <c r="B5780" s="4" t="s">
        <v>0</v>
      </c>
      <c r="C5780" s="4"/>
    </row>
    <row r="5781" spans="1:3" ht="24" customHeight="1">
      <c r="A5781" s="4" t="str">
        <f ca="1">IFERROR(__xludf.DUMMYFUNCTION("""COMPUTED_VALUE"""),"मुञ्चतीशे शराञ्जिष्णौ पिनाकस्वनपूरितः । दध्वान ध्वनयन्नाशाः स्फुटन्निव धराधरः ||")</f>
        <v>मुञ्चतीशे शराञ्जिष्णौ पिनाकस्वनपूरितः । दध्वान ध्वनयन्नाशाः स्फुटन्निव धराधरः ||</v>
      </c>
      <c r="B5781" s="4" t="s">
        <v>0</v>
      </c>
      <c r="C5781" s="4"/>
    </row>
    <row r="5782" spans="1:3" ht="24" customHeight="1">
      <c r="A5782" s="4" t="str">
        <f ca="1">IFERROR(__xludf.DUMMYFUNCTION("""COMPUTED_VALUE"""),"तद्गणा ददृशुर्भीमं चित्रसंस्था इवाचलाः । विस्मयेन तयोर्युद्धं चित्रसंस्था इवाचलाः ||")</f>
        <v>तद्गणा ददृशुर्भीमं चित्रसंस्था इवाचलाः । विस्मयेन तयोर्युद्धं चित्रसंस्था इवाचलाः ||</v>
      </c>
      <c r="B5782" s="4" t="s">
        <v>11</v>
      </c>
      <c r="C5782" s="4"/>
    </row>
    <row r="5783" spans="1:3" ht="24" customHeight="1">
      <c r="A5783" s="4" t="str">
        <f ca="1">IFERROR(__xludf.DUMMYFUNCTION("""COMPUTED_VALUE"""),"परिमोहयमाणेन शिक्षालाघवलीलया । जैष्णवी विशिखश्रेणी परिजह्रे पिनाकिना ||")</f>
        <v>परिमोहयमाणेन शिक्षालाघवलीलया । जैष्णवी विशिखश्रेणी परिजह्रे पिनाकिना ||</v>
      </c>
      <c r="B5783" s="4" t="s">
        <v>1</v>
      </c>
      <c r="C5783" s="4"/>
    </row>
    <row r="5784" spans="1:3" ht="24" customHeight="1">
      <c r="A5784" s="4" t="str">
        <f ca="1">IFERROR(__xludf.DUMMYFUNCTION("""COMPUTED_VALUE"""),"अवद्यन्पत्रिणः शम्भोः सायकैरवसायकैः । पाण्डवः परिचक्राम शिक्षया रणशिक्षया ||")</f>
        <v>अवद्यन्पत्रिणः शम्भोः सायकैरवसायकैः । पाण्डवः परिचक्राम शिक्षया रणशिक्षया ||</v>
      </c>
      <c r="B5784" s="4" t="s">
        <v>5</v>
      </c>
      <c r="C5784" s="4"/>
    </row>
    <row r="5785" spans="1:3" ht="24" customHeight="1">
      <c r="A5785" s="4" t="str">
        <f ca="1">IFERROR(__xludf.DUMMYFUNCTION("""COMPUTED_VALUE"""),"चारचुञ्चुश्चिरारेची चञ्चच्चीररुचा रुचः । चचार रुचिरश्चारु चारैराचारचञ्चुरः ||")</f>
        <v>चारचुञ्चुश्चिरारेची चञ्चच्चीररुचा रुचः । चचार रुचिरश्चारु चारैराचारचञ्चुरः ||</v>
      </c>
      <c r="B5785" s="4" t="s">
        <v>0</v>
      </c>
      <c r="C5785" s="4"/>
    </row>
    <row r="5786" spans="1:3" ht="24" customHeight="1">
      <c r="A5786" s="4" t="str">
        <f ca="1">IFERROR(__xludf.DUMMYFUNCTION("""COMPUTED_VALUE"""),"स्फुरत्पिशङ्गमौर्वीकं धुनानः स बृहद्धनुः । धृतोल्कानलयोगेन तुल्यं अंशुमता बभौ ||")</f>
        <v>स्फुरत्पिशङ्गमौर्वीकं धुनानः स बृहद्धनुः । धृतोल्कानलयोगेन तुल्यं अंशुमता बभौ ||</v>
      </c>
      <c r="B5786" s="4" t="s">
        <v>6</v>
      </c>
      <c r="C5786" s="4"/>
    </row>
    <row r="5787" spans="1:3" ht="24" customHeight="1">
      <c r="A5787" s="4" t="str">
        <f ca="1">IFERROR(__xludf.DUMMYFUNCTION("""COMPUTED_VALUE"""),"पार्थबाणाः पशुपतेरावव्रुर्विशिखावलिं । पय्ॐउच इवारन्ध्राः सावित्रीं अंशुसंहतिं ||")</f>
        <v>पार्थबाणाः पशुपतेरावव्रुर्विशिखावलिं । पय्ॐउच इवारन्ध्राः सावित्रीं अंशुसंहतिं ||</v>
      </c>
      <c r="B5787" s="4" t="s">
        <v>2</v>
      </c>
      <c r="C5787" s="4"/>
    </row>
    <row r="5788" spans="1:3" ht="24" customHeight="1">
      <c r="A5788" s="4" t="str">
        <f ca="1">IFERROR(__xludf.DUMMYFUNCTION("""COMPUTED_VALUE"""),"शरवृष्टिं विधूयोर्वीं उदस्तां सव्यसाचिना । रुरोध मार्गणैर्मार्गं तपनस्य त्रिलोचनः ||")</f>
        <v>शरवृष्टिं विधूयोर्वीं उदस्तां सव्यसाचिना । रुरोध मार्गणैर्मार्गं तपनस्य त्रिलोचनः ||</v>
      </c>
      <c r="B5788" s="4" t="s">
        <v>1</v>
      </c>
      <c r="C5788" s="4"/>
    </row>
    <row r="5789" spans="1:3" ht="24" customHeight="1">
      <c r="A5789" s="4" t="str">
        <f ca="1">IFERROR(__xludf.DUMMYFUNCTION("""COMPUTED_VALUE"""),"तेन व्यातेनिरे भीमा भीमार्जनफलाननाः । न नानुकम्प्य विशिखाः शिखाधरजवाससः ||")</f>
        <v>तेन व्यातेनिरे भीमा भीमार्जनफलाननाः । न नानुकम्प्य विशिखाः शिखाधरजवाससः ||</v>
      </c>
      <c r="B5789" s="4" t="s">
        <v>18</v>
      </c>
      <c r="C5789" s="4"/>
    </row>
    <row r="5790" spans="1:3" ht="24" customHeight="1">
      <c r="A5790" s="4" t="str">
        <f ca="1">IFERROR(__xludf.DUMMYFUNCTION("""COMPUTED_VALUE"""),"द्युवियद्गामिनी तार- संरावविहतश्रुतिः । हैमीषुमाला शुशुभे विद्युतां इव संहतिः ||")</f>
        <v>द्युवियद्गामिनी तार- संरावविहतश्रुतिः । हैमीषुमाला शुशुभे विद्युतां इव संहतिः ||</v>
      </c>
      <c r="B5790" s="4" t="s">
        <v>2</v>
      </c>
      <c r="C5790" s="4"/>
    </row>
    <row r="5791" spans="1:3" ht="24" customHeight="1">
      <c r="A5791" s="4" t="str">
        <f ca="1">IFERROR(__xludf.DUMMYFUNCTION("""COMPUTED_VALUE"""),"विलङ्घ्य पत्रिणां पङ्क्तिं भिन्नः शिवशिलीमुखैः । ज्यायो वीर्यं समाश्रित्य न चकम्पे कपिध्वजः ||")</f>
        <v>विलङ्घ्य पत्रिणां पङ्क्तिं भिन्नः शिवशिलीमुखैः । ज्यायो वीर्यं समाश्रित्य न चकम्पे कपिध्वजः ||</v>
      </c>
      <c r="B5791" s="4" t="s">
        <v>3</v>
      </c>
      <c r="C5791" s="4"/>
    </row>
    <row r="5792" spans="1:3" ht="24" customHeight="1">
      <c r="A5792" s="4" t="str">
        <f ca="1">IFERROR(__xludf.DUMMYFUNCTION("""COMPUTED_VALUE"""),"जगतीशरणे युक्तो हरिकान्तः सुधासितः । दानवर्षीकृताशंसो नागराज इवाबभौ ||")</f>
        <v>जगतीशरणे युक्तो हरिकान्तः सुधासितः । दानवर्षीकृताशंसो नागराज इवाबभौ ||</v>
      </c>
      <c r="B5792" s="4" t="s">
        <v>6</v>
      </c>
      <c r="C5792" s="4"/>
    </row>
    <row r="5793" spans="1:3" ht="24" customHeight="1">
      <c r="A5793" s="4" t="str">
        <f ca="1">IFERROR(__xludf.DUMMYFUNCTION("""COMPUTED_VALUE"""),"विफलीकृतयत्नस्य क्षतबाणस्य शम्भुना । गाण्डीवधन्वनः खेभ्यो निश्चचार हुताशनः ||")</f>
        <v>विफलीकृतयत्नस्य क्षतबाणस्य शम्भुना । गाण्डीवधन्वनः खेभ्यो निश्चचार हुताशनः ||</v>
      </c>
      <c r="B5793" s="4" t="s">
        <v>1</v>
      </c>
      <c r="C5793" s="4"/>
    </row>
    <row r="5794" spans="1:3" ht="24" customHeight="1">
      <c r="A5794" s="4" t="str">
        <f ca="1">IFERROR(__xludf.DUMMYFUNCTION("""COMPUTED_VALUE"""),"स पिशङ्गजटावलिः किरन्नुरुतेजः परमेण मन्युना । ज्वलितौषधिजातवेदसा हिमशैलेन समं विदिद्युते ||")</f>
        <v>स पिशङ्गजटावलिः किरन्नुरुतेजः परमेण मन्युना । ज्वलितौषधिजातवेदसा हिमशैलेन समं विदिद्युते ||</v>
      </c>
      <c r="B5794" s="4" t="s">
        <v>2</v>
      </c>
      <c r="C5794" s="4"/>
    </row>
    <row r="5795" spans="1:3" ht="24" customHeight="1">
      <c r="A5795" s="4" t="str">
        <f ca="1">IFERROR(__xludf.DUMMYFUNCTION("""COMPUTED_VALUE"""),"शतशो विशिखानवद्यते भृशं अस्मै रणवेगशालिने । प्रथयन्ननिवार्यवीर्यतां प्रजिगायेषुं अघातुकं शिवः ||")</f>
        <v>शतशो विशिखानवद्यते भृशं अस्मै रणवेगशालिने । प्रथयन्ननिवार्यवीर्यतां प्रजिगायेषुं अघातुकं शिवः ||</v>
      </c>
      <c r="B5795" s="4" t="s">
        <v>4</v>
      </c>
      <c r="C5795" s="4"/>
    </row>
    <row r="5796" spans="1:3" ht="24" customHeight="1">
      <c r="A5796" s="4" t="str">
        <f ca="1">IFERROR(__xludf.DUMMYFUNCTION("""COMPUTED_VALUE"""),"शम्भो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||")</f>
        <v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||</v>
      </c>
      <c r="B5796" s="4" t="s">
        <v>0</v>
      </c>
      <c r="C5796" s="4"/>
    </row>
    <row r="5797" spans="1:3" ht="24" customHeight="1">
      <c r="A5797" s="4" t="str">
        <f ca="1">IFERROR(__xludf.DUMMYFUNCTION("""COMPUTED_VALUE"""),"घनं विदार्यार्जुनबाणपूगं ससारबाणोऽयुगलोचनस्य । घनं विदार्यार्जुनबाणपूगं ससार बाणोऽयुगलोचनस्य ||")</f>
        <v>घनं विदार्यार्जुनबाणपूगं ससारबाणोऽयुगलोचनस्य । घनं विदार्यार्जुनबाणपूगं ससार बाणोऽयुगलोचनस्य ||</v>
      </c>
      <c r="B5797" s="4" t="s">
        <v>5</v>
      </c>
      <c r="C5797" s="4"/>
    </row>
    <row r="5798" spans="1:3" ht="24" customHeight="1">
      <c r="A5798" s="4" t="str">
        <f ca="1">IFERROR(__xludf.DUMMYFUNCTION("""COMPUTED_VALUE"""),"रुजन्परेषून्बहुधाशुपातिनो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||")</f>
        <v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||</v>
      </c>
      <c r="B5798" s="4" t="s">
        <v>5</v>
      </c>
      <c r="C5798" s="4"/>
    </row>
    <row r="5799" spans="1:3" ht="24" customHeight="1">
      <c r="A5799" s="4" t="str">
        <f ca="1">IFERROR(__xludf.DUMMYFUNCTION("""COMPUTED_VALUE"""),"विकाशं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||")</f>
        <v>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||</v>
      </c>
      <c r="B5799" s="4" t="s">
        <v>7</v>
      </c>
      <c r="C5799" s="4"/>
    </row>
    <row r="5800" spans="1:3" ht="24" customHeight="1">
      <c r="A5800" s="4" t="str">
        <f ca="1">IFERROR(__xludf.DUMMYFUNCTION("""COMPUTED_VALUE"""),"सम्पश्यतां इति शिवेन वितायमानं लक्ष्मीवतः क्षितिपतेस्तनयस्य वीर्यं । अङ्गान्यभिन्नं अपि तत्त्वविदां मुनीनां र्ॐआञ्चं अञ्चिततरं बिभराम्बभूवुः ||")</f>
        <v>सम्पश्यतां इति शिवेन वितायमानं लक्ष्मीवतः क्षितिपतेस्तनयस्य वीर्यं । अङ्गान्यभिन्नं अपि तत्त्वविदां मुनीनां र्ॐआञ्चं अञ्चिततरं बिभराम्बभूवुः ||</v>
      </c>
      <c r="B5800" s="4" t="s">
        <v>4</v>
      </c>
      <c r="C5800" s="4"/>
    </row>
    <row r="5801" spans="1:3" ht="24" customHeight="1">
      <c r="A5801" s="4" t="str">
        <f ca="1">IFERROR(__xludf.DUMMYFUNCTION("""COMPUTED_VALUE"""),"ततः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||")</f>
        <v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||</v>
      </c>
      <c r="B5801" s="4" t="s">
        <v>1</v>
      </c>
      <c r="C5801" s="4"/>
    </row>
    <row r="5802" spans="1:3" ht="24" customHeight="1">
      <c r="A5802" s="4" t="str">
        <f ca="1">IFERROR(__xludf.DUMMYFUNCTION("""COMPUTED_VALUE"""),"मदस्रुतिश्यामितगण्डलेखाः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||")</f>
        <v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||</v>
      </c>
      <c r="B5802" s="4" t="s">
        <v>2</v>
      </c>
      <c r="C5802" s="4"/>
    </row>
    <row r="5803" spans="1:3" ht="24" customHeight="1">
      <c r="A5803" s="4" t="str">
        <f ca="1">IFERROR(__xludf.DUMMYFUNCTION("""COMPUTED_VALUE"""),"विचित्रया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||")</f>
        <v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||</v>
      </c>
      <c r="B5803" s="4" t="s">
        <v>0</v>
      </c>
      <c r="C5803" s="4"/>
    </row>
    <row r="5804" spans="1:3" ht="24" customHeight="1">
      <c r="A5804" s="4" t="str">
        <f ca="1">IFERROR(__xludf.DUMMYFUNCTION("""COMPUTED_VALUE"""),"समुल्लसत्प्रासमहोर्मिमालं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||")</f>
        <v>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||</v>
      </c>
      <c r="B5804" s="4" t="s">
        <v>6</v>
      </c>
      <c r="C5804" s="4"/>
    </row>
    <row r="5805" spans="1:3" ht="24" customHeight="1">
      <c r="A5805" s="4" t="str">
        <f ca="1">IFERROR(__xludf.DUMMYFUNCTION("""COMPUTED_VALUE"""),"हताहतेत्युद्धतभीष्मघोषैः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||")</f>
        <v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||</v>
      </c>
      <c r="B5805" s="4" t="s">
        <v>2</v>
      </c>
      <c r="C5805" s="4"/>
    </row>
    <row r="5806" spans="1:3" ht="24" customHeight="1">
      <c r="A5806" s="4" t="str">
        <f ca="1">IFERROR(__xludf.DUMMYFUNCTION("""COMPUTED_VALUE"""),"अभ्यायतः संततधूमधूम्रं व्यापि प्रभाजालं इवान्तकस्य । रजः प्रतूर्णाश्वरथाङ्गनुन्नं तनोति न व्य्ॐअनि मातरिश्वा ||")</f>
        <v>अभ्यायतः संततधूमधूम्रं व्यापि प्रभाजालं इवान्तकस्य । रजः प्रतूर्णाश्वरथाङ्गनुन्नं तनोति न व्य्ॐअनि मातरिश्वा ||</v>
      </c>
      <c r="B5806" s="4" t="s">
        <v>4</v>
      </c>
      <c r="C5806" s="4"/>
    </row>
    <row r="5807" spans="1:3" ht="24" customHeight="1">
      <c r="A5807" s="4" t="str">
        <f ca="1">IFERROR(__xludf.DUMMYFUNCTION("""COMPUTED_VALUE"""),"भूरेणुना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||")</f>
        <v>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||</v>
      </c>
      <c r="B5807" s="4" t="s">
        <v>7</v>
      </c>
      <c r="C5807" s="4"/>
    </row>
    <row r="5808" spans="1:3" ht="24" customHeight="1">
      <c r="A5808" s="4" t="str">
        <f ca="1">IFERROR(__xludf.DUMMYFUNCTION("""COMPUTED_VALUE"""),"रथाङ्गसंक्रीडितं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||")</f>
        <v>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||</v>
      </c>
      <c r="B5808" s="4" t="s">
        <v>1</v>
      </c>
      <c r="C5808" s="4"/>
    </row>
    <row r="5809" spans="1:3" ht="24" customHeight="1">
      <c r="A5809" s="4" t="str">
        <f ca="1">IFERROR(__xludf.DUMMYFUNCTION("""COMPUTED_VALUE"""),"अस्मिन्यशःपौरुषलोलुपानां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||")</f>
        <v>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||</v>
      </c>
      <c r="B5809" s="4" t="s">
        <v>6</v>
      </c>
      <c r="C5809" s="4"/>
    </row>
    <row r="5810" spans="1:3" ht="24" customHeight="1">
      <c r="A5810" s="4" t="str">
        <f ca="1">IFERROR(__xludf.DUMMYFUNCTION("""COMPUTED_VALUE"""),"असृङ्नदीनां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||")</f>
        <v>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||</v>
      </c>
      <c r="B5810" s="4" t="s">
        <v>1</v>
      </c>
      <c r="C5810" s="4"/>
    </row>
    <row r="5811" spans="1:3" ht="24" customHeight="1">
      <c r="A5811" s="4" t="str">
        <f ca="1">IFERROR(__xludf.DUMMYFUNCTION("""COMPUTED_VALUE"""),"परिक्षते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||")</f>
        <v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||</v>
      </c>
      <c r="B5811" s="4" t="s">
        <v>2</v>
      </c>
      <c r="C5811" s="4"/>
    </row>
    <row r="5812" spans="1:3" ht="24" customHeight="1">
      <c r="A5812" s="4" t="str">
        <f ca="1">IFERROR(__xludf.DUMMYFUNCTION("""COMPUTED_VALUE"""),"निषादिसंनाहमणिप्रभौघे परीयमाणे करिशीकरेण । अर्कत्विषोन्मीलितं अभ्युदेति न खण्डं आखण्डलकार्मुकस्य ||")</f>
        <v>निषादिसंनाहमणिप्रभौघे परीयमाणे करिशीकरेण । अर्कत्विषोन्मीलितं अभ्युदेति न खण्डं आखण्डलकार्मुकस्य ||</v>
      </c>
      <c r="B5812" s="4" t="s">
        <v>5</v>
      </c>
      <c r="C5812" s="4"/>
    </row>
    <row r="5813" spans="1:3" ht="24" customHeight="1">
      <c r="A5813" s="4" t="str">
        <f ca="1">IFERROR(__xludf.DUMMYFUNCTION("""COMPUTED_VALUE"""),"महीभृता पक्षवतेव भिन्ना विगाह्य मध्यं परवारणेन । नावर्तमाना निनदन्ति भीमं अपां निधेराप इव ध्वजिन्यः ||")</f>
        <v>महीभृता पक्षवतेव भिन्ना विगाह्य मध्यं परवारणेन । नावर्तमाना निनदन्ति भीमं अपां निधेराप इव ध्वजिन्यः ||</v>
      </c>
      <c r="B5813" s="4" t="s">
        <v>5</v>
      </c>
      <c r="C5813" s="4"/>
    </row>
    <row r="5814" spans="1:3" ht="24" customHeight="1">
      <c r="A5814" s="4" t="str">
        <f ca="1">IFERROR(__xludf.DUMMYFUNCTION("""COMPUTED_VALUE"""),"महारथानां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||")</f>
        <v>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||</v>
      </c>
      <c r="B5814" s="4" t="s">
        <v>10</v>
      </c>
      <c r="C5814" s="4"/>
    </row>
    <row r="5815" spans="1:3" ht="24" customHeight="1">
      <c r="A5815" s="4" t="str">
        <f ca="1">IFERROR(__xludf.DUMMYFUNCTION("""COMPUTED_VALUE"""),"धृतोत्पलापीड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||")</f>
        <v>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||</v>
      </c>
      <c r="B5815" s="4" t="s">
        <v>2</v>
      </c>
      <c r="C5815" s="4"/>
    </row>
    <row r="5816" spans="1:3" ht="24" customHeight="1">
      <c r="A5816" s="4" t="str">
        <f ca="1">IFERROR(__xludf.DUMMYFUNCTION("""COMPUTED_VALUE"""),"उज्झत्सु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||")</f>
        <v>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||</v>
      </c>
      <c r="B5816" s="4" t="s">
        <v>5</v>
      </c>
      <c r="C5816" s="4"/>
    </row>
    <row r="5817" spans="1:3" ht="24" customHeight="1">
      <c r="A5817" s="4" t="str">
        <f ca="1">IFERROR(__xludf.DUMMYFUNCTION("""COMPUTED_VALUE"""),"इयं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||")</f>
        <v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||</v>
      </c>
      <c r="B5817" s="4" t="s">
        <v>2</v>
      </c>
      <c r="C5817" s="4"/>
    </row>
    <row r="5818" spans="1:3" ht="24" customHeight="1">
      <c r="A5818" s="4" t="str">
        <f ca="1">IFERROR(__xludf.DUMMYFUNCTION("""COMPUTED_VALUE"""),"माया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||")</f>
        <v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||</v>
      </c>
      <c r="B5818" s="4" t="s">
        <v>2</v>
      </c>
      <c r="C5818" s="4"/>
    </row>
    <row r="5819" spans="1:3" ht="24" customHeight="1">
      <c r="A5819" s="4" t="str">
        <f ca="1">IFERROR(__xludf.DUMMYFUNCTION("""COMPUTED_VALUE"""),"पुंसः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||")</f>
        <v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||</v>
      </c>
      <c r="B5819" s="4" t="s">
        <v>23</v>
      </c>
      <c r="C5819" s="4"/>
    </row>
    <row r="5820" spans="1:3" ht="24" customHeight="1">
      <c r="A5820" s="4" t="str">
        <f ca="1">IFERROR(__xludf.DUMMYFUNCTION("""COMPUTED_VALUE"""),"धनुः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||")</f>
        <v>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||</v>
      </c>
      <c r="B5820" s="4" t="s">
        <v>15</v>
      </c>
      <c r="C5820" s="4"/>
    </row>
    <row r="5821" spans="1:3" ht="24" customHeight="1">
      <c r="A5821" s="4" t="str">
        <f ca="1">IFERROR(__xludf.DUMMYFUNCTION("""COMPUTED_VALUE"""),"अंसाववष्टब्धनतौ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||")</f>
        <v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||</v>
      </c>
      <c r="B5821" s="4" t="s">
        <v>5</v>
      </c>
      <c r="C5821" s="4"/>
    </row>
    <row r="5822" spans="1:3" ht="24" customHeight="1">
      <c r="A5822" s="4" t="str">
        <f ca="1">IFERROR(__xludf.DUMMYFUNCTION("""COMPUTED_VALUE"""),"प्रहीयते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शराणां ||")</f>
        <v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शराणां ||</v>
      </c>
      <c r="B5822" s="4" t="s">
        <v>7</v>
      </c>
      <c r="C5822" s="4"/>
    </row>
    <row r="5823" spans="1:3" ht="24" customHeight="1">
      <c r="A5823" s="4" t="str">
        <f ca="1">IFERROR(__xludf.DUMMYFUNCTION("""COMPUTED_VALUE"""),"परस्य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||")</f>
        <v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||</v>
      </c>
      <c r="B5823" s="4" t="s">
        <v>13</v>
      </c>
      <c r="C5823" s="4"/>
    </row>
    <row r="5824" spans="1:3" ht="24" customHeight="1">
      <c r="A5824" s="4" t="str">
        <f ca="1">IFERROR(__xludf.DUMMYFUNCTION("""COMPUTED_VALUE"""),"अप्राकृतस्याहवदुर्मदस्य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||")</f>
        <v>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||</v>
      </c>
      <c r="B5824" s="4" t="s">
        <v>20</v>
      </c>
      <c r="C5824" s="4"/>
    </row>
    <row r="5825" spans="1:3" ht="24" customHeight="1">
      <c r="A5825" s="4" t="str">
        <f ca="1">IFERROR(__xludf.DUMMYFUNCTION("""COMPUTED_VALUE"""),"स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||")</f>
        <v>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||</v>
      </c>
      <c r="B5825" s="4" t="s">
        <v>0</v>
      </c>
      <c r="C5825" s="4"/>
    </row>
    <row r="5826" spans="1:3" ht="24" customHeight="1">
      <c r="A5826" s="4" t="str">
        <f ca="1">IFERROR(__xludf.DUMMYFUNCTION("""COMPUTED_VALUE"""),"प्रसक्तदावानलधूमधूम्रा निरुन्धती धाम सहस्ररश्मेः । महावनानीव महातमिस्रा छाया ततानेशबलानि काली ||")</f>
        <v>प्रसक्तदावानलधूमधूम्रा निरुन्धती धाम सहस्ररश्मेः । महावनानीव महातमिस्रा छाया ततानेशबलानि काली ||</v>
      </c>
      <c r="B5826" s="4" t="s">
        <v>11</v>
      </c>
      <c r="C5826" s="4"/>
    </row>
    <row r="5827" spans="1:3" ht="24" customHeight="1">
      <c r="A5827" s="4" t="str">
        <f ca="1">IFERROR(__xludf.DUMMYFUNCTION("""COMPUTED_VALUE"""),"आसादिता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||")</f>
        <v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||</v>
      </c>
      <c r="B5827" s="4" t="s">
        <v>5</v>
      </c>
      <c r="C5827" s="4"/>
    </row>
    <row r="5828" spans="1:3" ht="24" customHeight="1">
      <c r="A5828" s="4" t="str">
        <f ca="1">IFERROR(__xludf.DUMMYFUNCTION("""COMPUTED_VALUE"""),"गुरुस्थिराण्युत्तमवंशजत्वाद्विज्ञातसाराण्यनुशीलनेन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||")</f>
        <v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||</v>
      </c>
      <c r="B5828" s="4" t="s">
        <v>10</v>
      </c>
      <c r="C5828" s="4"/>
    </row>
    <row r="5829" spans="1:3" ht="24" customHeight="1">
      <c r="A5829" s="4" t="str">
        <f ca="1">IFERROR(__xludf.DUMMYFUNCTION("""COMPUTED_VALUE"""),"कृतान्तदुर्वृत्त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||")</f>
        <v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||</v>
      </c>
      <c r="B5829" s="4" t="s">
        <v>1</v>
      </c>
      <c r="C5829" s="4"/>
    </row>
    <row r="5830" spans="1:3" ht="24" customHeight="1">
      <c r="A5830" s="4" t="str">
        <f ca="1">IFERROR(__xludf.DUMMYFUNCTION("""COMPUTED_VALUE"""),"अंसस्थलैः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||")</f>
        <v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||</v>
      </c>
      <c r="B5830" s="4" t="s">
        <v>17</v>
      </c>
      <c r="C5830" s="4"/>
    </row>
    <row r="5831" spans="1:3" ht="24" customHeight="1">
      <c r="A5831" s="4" t="str">
        <f ca="1">IFERROR(__xludf.DUMMYFUNCTION("""COMPUTED_VALUE"""),"तिरोहितेन्दोरथ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||")</f>
        <v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||</v>
      </c>
      <c r="B5831" s="4" t="s">
        <v>3</v>
      </c>
      <c r="C5831" s="4"/>
    </row>
    <row r="5832" spans="1:3" ht="24" customHeight="1">
      <c r="A5832" s="4" t="str">
        <f ca="1">IFERROR(__xludf.DUMMYFUNCTION("""COMPUTED_VALUE"""),"छायां विनिर्धूय तम्ॐअयीं तां तत्त्वस्य संवित्तिरिवापविद्यां । ययौ विकासं द्युतिरिन्दुमौलेरालोकं अभ्यादिशती गणेभ्यः ||")</f>
        <v>छायां विनिर्धूय तम्ॐअयीं तां तत्त्वस्य संवित्तिरिवापविद्यां । ययौ विकासं द्युतिरिन्दुमौलेरालोकं अभ्यादिशती गणेभ्यः ||</v>
      </c>
      <c r="B5832" s="4" t="s">
        <v>5</v>
      </c>
      <c r="C5832" s="4"/>
    </row>
    <row r="5833" spans="1:3" ht="24" customHeight="1">
      <c r="A5833" s="4" t="str">
        <f ca="1">IFERROR(__xludf.DUMMYFUNCTION("""COMPUTED_VALUE"""),"त्विषां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||")</f>
        <v>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||</v>
      </c>
      <c r="B5833" s="4" t="s">
        <v>1</v>
      </c>
      <c r="C5833" s="4"/>
    </row>
    <row r="5834" spans="1:3" ht="24" customHeight="1">
      <c r="A5834" s="4" t="str">
        <f ca="1">IFERROR(__xludf.DUMMYFUNCTION("""COMPUTED_VALUE"""),"पृथग्विधान्यस्त्रविरामबुद्धाः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||")</f>
        <v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||</v>
      </c>
      <c r="B5834" s="4" t="s">
        <v>15</v>
      </c>
      <c r="C5834" s="4"/>
    </row>
    <row r="5835" spans="1:3" ht="24" customHeight="1">
      <c r="A5835" s="4" t="str">
        <f ca="1">IFERROR(__xludf.DUMMYFUNCTION("""COMPUTED_VALUE"""),"द्यौरुन्ननामेव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||")</f>
        <v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||</v>
      </c>
      <c r="B5835" s="4" t="s">
        <v>0</v>
      </c>
      <c r="C5835" s="4"/>
    </row>
    <row r="5836" spans="1:3" ht="24" customHeight="1">
      <c r="A5836" s="4" t="str">
        <f ca="1">IFERROR(__xludf.DUMMYFUNCTION("""COMPUTED_VALUE"""),"महास्त्रदुर्गे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||")</f>
        <v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||</v>
      </c>
      <c r="B5836" s="4" t="s">
        <v>7</v>
      </c>
      <c r="C5836" s="4"/>
    </row>
    <row r="5837" spans="1:3" ht="24" customHeight="1">
      <c r="A5837" s="4" t="str">
        <f ca="1">IFERROR(__xludf.DUMMYFUNCTION("""COMPUTED_VALUE"""),"जिह्वाशतान्युल्लसयन्त्यजस्रं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||")</f>
        <v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||</v>
      </c>
      <c r="B5837" s="4" t="s">
        <v>0</v>
      </c>
      <c r="C5837" s="4"/>
    </row>
    <row r="5838" spans="1:3" ht="24" customHeight="1">
      <c r="A5838" s="4" t="str">
        <f ca="1">IFERROR(__xludf.DUMMYFUNCTION("""COMPUTED_VALUE"""),"दिङ्नागहस्ताकृतिं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||")</f>
        <v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||</v>
      </c>
      <c r="B5838" s="4" t="s">
        <v>5</v>
      </c>
      <c r="C5838" s="4"/>
    </row>
    <row r="5839" spans="1:3" ht="24" customHeight="1">
      <c r="A5839" s="4" t="str">
        <f ca="1">IFERROR(__xludf.DUMMYFUNCTION("""COMPUTED_VALUE"""),"निःश्वासधूमैः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||")</f>
        <v>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||</v>
      </c>
      <c r="B5839" s="4" t="s">
        <v>12</v>
      </c>
      <c r="C5839" s="4"/>
    </row>
    <row r="5840" spans="1:3" ht="24" customHeight="1">
      <c r="A5840" s="4" t="str">
        <f ca="1">IFERROR(__xludf.DUMMYFUNCTION("""COMPUTED_VALUE"""),"प्रतप्तचामीकरभासुरेण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||")</f>
        <v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||</v>
      </c>
      <c r="B5840" s="4" t="s">
        <v>5</v>
      </c>
      <c r="C5840" s="4"/>
    </row>
    <row r="5841" spans="1:3" ht="24" customHeight="1">
      <c r="A5841" s="4" t="str">
        <f ca="1">IFERROR(__xludf.DUMMYFUNCTION("""COMPUTED_VALUE"""),"आक्षिप्तसम्पातं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||")</f>
        <v>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||</v>
      </c>
      <c r="B5841" s="4" t="s">
        <v>3</v>
      </c>
      <c r="C5841" s="4"/>
    </row>
    <row r="5842" spans="1:3" ht="24" customHeight="1">
      <c r="A5842" s="4" t="str">
        <f ca="1">IFERROR(__xludf.DUMMYFUNCTION("""COMPUTED_VALUE"""),"तं आशु चक्षुःश्रवसां समूहं मन्त्रेण तार्क्ष्योदयकारणेन । नेता नयेनेव परोपजापं निवारयामास पतिः पशूनां ||")</f>
        <v>तं आशु चक्षुःश्रवसां समूहं मन्त्रेण तार्क्ष्योदयकारणेन । नेता नयेनेव परोपजापं निवारयामास पतिः पशूनां ||</v>
      </c>
      <c r="B5842" s="4" t="s">
        <v>1</v>
      </c>
      <c r="C5842" s="4"/>
    </row>
    <row r="5843" spans="1:3" ht="24" customHeight="1">
      <c r="A5843" s="4" t="str">
        <f ca="1">IFERROR(__xludf.DUMMYFUNCTION("""COMPUTED_VALUE"""),"प्रतिघ्नतीभिः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||")</f>
        <v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||</v>
      </c>
      <c r="B5843" s="4" t="s">
        <v>1</v>
      </c>
      <c r="C5843" s="4"/>
    </row>
    <row r="5844" spans="1:3" ht="24" customHeight="1">
      <c r="A5844" s="4" t="str">
        <f ca="1">IFERROR(__xludf.DUMMYFUNCTION("""COMPUTED_VALUE"""),"ततः सुपर्णव्रजपक्षजन्मा नानागतिर्मण्डलयञ्जवेन । जरत्तृणानीव वियन्निनाय वनस्पतीनां गहनानि वायुः ||")</f>
        <v>ततः सुपर्णव्रजपक्षजन्मा नानागतिर्मण्डलयञ्जवेन । जरत्तृणानीव वियन्निनाय वनस्पतीनां गहनानि वायुः ||</v>
      </c>
      <c r="B5844" s="4" t="s">
        <v>5</v>
      </c>
      <c r="C5844" s="4"/>
    </row>
    <row r="5845" spans="1:3" ht="24" customHeight="1">
      <c r="A5845" s="4" t="str">
        <f ca="1">IFERROR(__xludf.DUMMYFUNCTION("""COMPUTED_VALUE"""),"मनःशिलाभङ्गनिभेन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||")</f>
        <v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||</v>
      </c>
      <c r="B5845" s="4" t="s">
        <v>1</v>
      </c>
      <c r="C5845" s="4"/>
    </row>
    <row r="5846" spans="1:3" ht="24" customHeight="1">
      <c r="A5846" s="4" t="str">
        <f ca="1">IFERROR(__xludf.DUMMYFUNCTION("""COMPUTED_VALUE"""),"दरीमुखैरासवरागताम्रं विकासि रुक्मच्छदधाम पीत्वा । जवानिलाघूर्णितसानुजालो हिमाचलः क्षीब इवाचकम्पे ||")</f>
        <v>दरीमुखैरासवरागताम्रं विकासि रुक्मच्छदधाम पीत्वा । जवानिलाघूर्णितसानुजालो हिमाचलः क्षीब इवाचकम्पे ||</v>
      </c>
      <c r="B5846" s="4" t="s">
        <v>9</v>
      </c>
      <c r="C5846" s="4"/>
    </row>
    <row r="5847" spans="1:3" ht="24" customHeight="1">
      <c r="A5847" s="4" t="str">
        <f ca="1">IFERROR(__xludf.DUMMYFUNCTION("""COMPUTED_VALUE"""),"प्रवृत्तनक्तंदिवसंधिदीप्तैर्नभस्तलं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||")</f>
        <v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||</v>
      </c>
      <c r="B5847" s="4" t="s">
        <v>1</v>
      </c>
      <c r="C5847" s="4"/>
    </row>
    <row r="5848" spans="1:3" ht="24" customHeight="1">
      <c r="A5848" s="4" t="str">
        <f ca="1">IFERROR(__xludf.DUMMYFUNCTION("""COMPUTED_VALUE"""),"स भोगसंघः शमं उग्रधाम्नां सैन्येन निन्ये विनतासुतानां । महाध्वरे विध्यपचारदोषः कर्मान्तरेणेव महोदयेन ||")</f>
        <v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||</v>
      </c>
      <c r="B5848" s="4" t="s">
        <v>1</v>
      </c>
      <c r="C5848" s="4"/>
    </row>
    <row r="5849" spans="1:3" ht="24" customHeight="1">
      <c r="A5849" s="4" t="str">
        <f ca="1">IFERROR(__xludf.DUMMYFUNCTION("""COMPUTED_VALUE"""),"साफल्यं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||")</f>
        <v>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||</v>
      </c>
      <c r="B5849" s="4" t="s">
        <v>7</v>
      </c>
      <c r="C5849" s="4"/>
    </row>
    <row r="5850" spans="1:3" ht="24" customHeight="1">
      <c r="A5850" s="4" t="str">
        <f ca="1">IFERROR(__xludf.DUMMYFUNCTION("""COMPUTED_VALUE"""),"ऊर्ध्वं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||")</f>
        <v>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||</v>
      </c>
      <c r="B5850" s="4" t="s">
        <v>17</v>
      </c>
      <c r="C5850" s="4"/>
    </row>
    <row r="5851" spans="1:3" ht="24" customHeight="1">
      <c r="A5851" s="4" t="str">
        <f ca="1">IFERROR(__xludf.DUMMYFUNCTION("""COMPUTED_VALUE"""),"भित्त्वेव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||")</f>
        <v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||</v>
      </c>
      <c r="B5851" s="4" t="s">
        <v>1</v>
      </c>
      <c r="C5851" s="4"/>
    </row>
    <row r="5852" spans="1:3" ht="24" customHeight="1">
      <c r="A5852" s="4" t="str">
        <f ca="1">IFERROR(__xludf.DUMMYFUNCTION("""COMPUTED_VALUE"""),"चयानिवाद्रीनिव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||")</f>
        <v>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||</v>
      </c>
      <c r="B5852" s="4" t="s">
        <v>5</v>
      </c>
      <c r="C5852" s="4"/>
    </row>
    <row r="5853" spans="1:3" ht="24" customHeight="1">
      <c r="A5853" s="4" t="str">
        <f ca="1">IFERROR(__xludf.DUMMYFUNCTION("""COMPUTED_VALUE"""),"मुहुश्चलत्पल्लवलोहिनीभिरुच्चैः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||")</f>
        <v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||</v>
      </c>
      <c r="B5853" s="4" t="s">
        <v>17</v>
      </c>
      <c r="C5853" s="4"/>
    </row>
    <row r="5854" spans="1:3" ht="24" customHeight="1">
      <c r="A5854" s="4" t="str">
        <f ca="1">IFERROR(__xludf.DUMMYFUNCTION("""COMPUTED_VALUE"""),"लिलिक्षतीव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||")</f>
        <v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||</v>
      </c>
      <c r="B5854" s="4" t="s">
        <v>5</v>
      </c>
      <c r="C5854" s="4"/>
    </row>
    <row r="5855" spans="1:3" ht="24" customHeight="1">
      <c r="A5855" s="4" t="str">
        <f ca="1">IFERROR(__xludf.DUMMYFUNCTION("""COMPUTED_VALUE"""),"ततो धरित्रीधरतुल्यरोधसस्तडिल्लतालिङ्गितनीलमूर्तयः । अध्ॐउखाकाशसरिन्निपातिनीरपः प्रसक्तं मुमुचुः पय्ॐउचः ||")</f>
        <v>ततो धरित्रीधरतुल्यरोधसस्तडिल्लतालिङ्गितनीलमूर्तयः । अध्ॐउखाकाशसरिन्निपातिनीरपः प्रसक्तं मुमुचुः पय्ॐउचः ||</v>
      </c>
      <c r="B5855" s="4" t="s">
        <v>16</v>
      </c>
      <c r="C5855" s="4"/>
    </row>
    <row r="5856" spans="1:3" ht="24" customHeight="1">
      <c r="A5856" s="4" t="str">
        <f ca="1">IFERROR(__xludf.DUMMYFUNCTION("""COMPUTED_VALUE"""),"पराहतध्वस्तशिखे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||")</f>
        <v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||</v>
      </c>
      <c r="B5856" s="4" t="s">
        <v>0</v>
      </c>
      <c r="C5856" s="4"/>
    </row>
    <row r="5857" spans="1:3" ht="24" customHeight="1">
      <c r="A5857" s="4" t="str">
        <f ca="1">IFERROR(__xludf.DUMMYFUNCTION("""COMPUTED_VALUE"""),"महानले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||")</f>
        <v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||</v>
      </c>
      <c r="B5857" s="4" t="s">
        <v>2</v>
      </c>
      <c r="C5857" s="4"/>
    </row>
    <row r="5858" spans="1:3" ht="24" customHeight="1">
      <c r="A5858" s="4" t="str">
        <f ca="1">IFERROR(__xludf.DUMMYFUNCTION("""COMPUTED_VALUE"""),"स्वकेतुभिः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||")</f>
        <v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||</v>
      </c>
      <c r="B5858" s="4" t="s">
        <v>13</v>
      </c>
      <c r="C5858" s="4"/>
    </row>
    <row r="5859" spans="1:3" ht="24" customHeight="1">
      <c r="A5859" s="4" t="str">
        <f ca="1">IFERROR(__xludf.DUMMYFUNCTION("""COMPUTED_VALUE"""),"जलौघसंमूर्छनमूर्छितस्वनः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||")</f>
        <v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||</v>
      </c>
      <c r="B5859" s="4" t="s">
        <v>19</v>
      </c>
      <c r="C5859" s="4"/>
    </row>
    <row r="5860" spans="1:3" ht="24" customHeight="1">
      <c r="A5860" s="4" t="str">
        <f ca="1">IFERROR(__xludf.DUMMYFUNCTION("""COMPUTED_VALUE"""),"प्रवृद्धसिन्धूर्मिचयस्थवीयसां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||")</f>
        <v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||</v>
      </c>
      <c r="B5860" s="4" t="s">
        <v>4</v>
      </c>
      <c r="C5860" s="4"/>
    </row>
    <row r="5861" spans="1:3" ht="24" customHeight="1">
      <c r="A5861" s="4" t="str">
        <f ca="1">IFERROR(__xludf.DUMMYFUNCTION("""COMPUTED_VALUE"""),"उपैत्यनन्तद्युतिरप्यसंशयं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||")</f>
        <v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||</v>
      </c>
      <c r="B5861" s="4" t="s">
        <v>4</v>
      </c>
      <c r="C5861" s="4"/>
    </row>
    <row r="5862" spans="1:3" ht="24" customHeight="1">
      <c r="A5862" s="4" t="str">
        <f ca="1">IFERROR(__xludf.DUMMYFUNCTION("""COMPUTED_VALUE"""),"अथ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||")</f>
        <v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||</v>
      </c>
      <c r="B5862" s="4" t="s">
        <v>5</v>
      </c>
      <c r="C5862" s="4"/>
    </row>
    <row r="5863" spans="1:3" ht="24" customHeight="1">
      <c r="A5863" s="4" t="str">
        <f ca="1">IFERROR(__xludf.DUMMYFUNCTION("""COMPUTED_VALUE"""),"इति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||")</f>
        <v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||</v>
      </c>
      <c r="B5863" s="4" t="s">
        <v>22</v>
      </c>
      <c r="C5863" s="4"/>
    </row>
    <row r="5864" spans="1:3" ht="24" customHeight="1">
      <c r="A5864" s="4" t="str">
        <f ca="1">IFERROR(__xludf.DUMMYFUNCTION("""COMPUTED_VALUE"""),"वीतप्रभावतनुरप्यतनुप्रभावः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||")</f>
        <v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||</v>
      </c>
      <c r="B5864" s="4" t="s">
        <v>19</v>
      </c>
      <c r="C5864" s="4"/>
    </row>
    <row r="5865" spans="1:3" ht="24" customHeight="1">
      <c r="A5865" s="4" t="str">
        <f ca="1">IFERROR(__xludf.DUMMYFUNCTION("""COMPUTED_VALUE"""),"अथापदां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||")</f>
        <v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||</v>
      </c>
      <c r="B5865" s="4" t="s">
        <v>1</v>
      </c>
      <c r="C5865" s="4"/>
    </row>
    <row r="5866" spans="1:3" ht="24" customHeight="1">
      <c r="A5866" s="4" t="str">
        <f ca="1">IFERROR(__xludf.DUMMYFUNCTION("""COMPUTED_VALUE"""),"भूरिप्रभावेण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||")</f>
        <v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||</v>
      </c>
      <c r="B5866" s="4" t="s">
        <v>1</v>
      </c>
      <c r="C5866" s="4"/>
    </row>
    <row r="5867" spans="1:3" ht="24" customHeight="1">
      <c r="A5867" s="4" t="str">
        <f ca="1">IFERROR(__xludf.DUMMYFUNCTION("""COMPUTED_VALUE"""),"तेजः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||")</f>
        <v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||</v>
      </c>
      <c r="B5867" s="4" t="s">
        <v>15</v>
      </c>
      <c r="C5867" s="4"/>
    </row>
    <row r="5868" spans="1:3" ht="24" customHeight="1">
      <c r="A5868" s="4" t="str">
        <f ca="1">IFERROR(__xludf.DUMMYFUNCTION("""COMPUTED_VALUE"""),"वंशोचितत्वादभिमानवत्या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||")</f>
        <v>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||</v>
      </c>
      <c r="B5868" s="4" t="s">
        <v>1</v>
      </c>
      <c r="C5868" s="4"/>
    </row>
    <row r="5869" spans="1:3" ht="24" customHeight="1">
      <c r="A5869" s="4" t="str">
        <f ca="1">IFERROR(__xludf.DUMMYFUNCTION("""COMPUTED_VALUE"""),"पतिं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||")</f>
        <v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||</v>
      </c>
      <c r="B5869" s="4" t="s">
        <v>7</v>
      </c>
      <c r="C5869" s="4"/>
    </row>
    <row r="5870" spans="1:3" ht="24" customHeight="1">
      <c r="A5870" s="4" t="str">
        <f ca="1">IFERROR(__xludf.DUMMYFUNCTION("""COMPUTED_VALUE"""),"संस्कारवत्त्वाद्रमयत्सु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||")</f>
        <v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||</v>
      </c>
      <c r="B5870" s="4" t="s">
        <v>18</v>
      </c>
      <c r="C5870" s="4"/>
    </row>
    <row r="5871" spans="1:3" ht="24" customHeight="1">
      <c r="A5871" s="4" t="str">
        <f ca="1">IFERROR(__xludf.DUMMYFUNCTION("""COMPUTED_VALUE"""),"भूयः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||")</f>
        <v>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||</v>
      </c>
      <c r="B5871" s="4" t="s">
        <v>5</v>
      </c>
      <c r="C5871" s="4"/>
    </row>
    <row r="5872" spans="1:3" ht="24" customHeight="1">
      <c r="A5872" s="4" t="str">
        <f ca="1">IFERROR(__xludf.DUMMYFUNCTION("""COMPUTED_VALUE"""),"तस्याहवायासविलोलमौलेः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||")</f>
        <v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||</v>
      </c>
      <c r="B5872" s="4" t="s">
        <v>28</v>
      </c>
      <c r="C5872" s="4"/>
    </row>
    <row r="5873" spans="1:3" ht="24" customHeight="1">
      <c r="A5873" s="4" t="str">
        <f ca="1">IFERROR(__xludf.DUMMYFUNCTION("""COMPUTED_VALUE"""),"क्रोधान्धकारान्तरितो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||")</f>
        <v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||</v>
      </c>
      <c r="B5873" s="4" t="s">
        <v>12</v>
      </c>
      <c r="C5873" s="4"/>
    </row>
    <row r="5874" spans="1:3" ht="24" customHeight="1">
      <c r="A5874" s="4" t="str">
        <f ca="1">IFERROR(__xludf.DUMMYFUNCTION("""COMPUTED_VALUE"""),"स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||")</f>
        <v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||</v>
      </c>
      <c r="B5874" s="4" t="s">
        <v>0</v>
      </c>
      <c r="C5874" s="4"/>
    </row>
    <row r="5875" spans="1:3" ht="24" customHeight="1">
      <c r="A5875" s="4" t="str">
        <f ca="1">IFERROR(__xludf.DUMMYFUNCTION("""COMPUTED_VALUE"""),"सद्वादितेवाभिनिविष्टबुद्धौ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||")</f>
        <v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||</v>
      </c>
      <c r="B5875" s="4" t="s">
        <v>5</v>
      </c>
      <c r="C5875" s="4"/>
    </row>
    <row r="5876" spans="1:3" ht="24" customHeight="1">
      <c r="A5876" s="4" t="str">
        <f ca="1">IFERROR(__xludf.DUMMYFUNCTION("""COMPUTED_VALUE"""),"उमापतिं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||")</f>
        <v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||</v>
      </c>
      <c r="B5876" s="4" t="s">
        <v>5</v>
      </c>
      <c r="C5876" s="4"/>
    </row>
    <row r="5877" spans="1:3" ht="24" customHeight="1">
      <c r="A5877" s="4" t="str">
        <f ca="1">IFERROR(__xludf.DUMMYFUNCTION("""COMPUTED_VALUE"""),"सम्प्रीयमाणोऽनुबभूव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||")</f>
        <v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||</v>
      </c>
      <c r="B5877" s="4" t="s">
        <v>5</v>
      </c>
      <c r="C5877" s="4"/>
    </row>
    <row r="5878" spans="1:3" ht="24" customHeight="1">
      <c r="A5878" s="4" t="str">
        <f ca="1">IFERROR(__xludf.DUMMYFUNCTION("""COMPUTED_VALUE"""),"तस्मै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||")</f>
        <v>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||</v>
      </c>
      <c r="B5878" s="4" t="s">
        <v>1</v>
      </c>
      <c r="C5878" s="4"/>
    </row>
    <row r="5879" spans="1:3" ht="24" customHeight="1">
      <c r="A5879" s="4" t="str">
        <f ca="1">IFERROR(__xludf.DUMMYFUNCTION("""COMPUTED_VALUE"""),"प्रत्याहतौजाः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||")</f>
        <v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||</v>
      </c>
      <c r="B5879" s="4" t="s">
        <v>5</v>
      </c>
      <c r="C5879" s="4"/>
    </row>
    <row r="5880" spans="1:3" ht="24" customHeight="1">
      <c r="A5880" s="4" t="str">
        <f ca="1">IFERROR(__xludf.DUMMYFUNCTION("""COMPUTED_VALUE"""),"दृष्टावदानाद्व्यथतेऽरिलोकः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||")</f>
        <v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||</v>
      </c>
      <c r="B5880" s="4" t="s">
        <v>8</v>
      </c>
      <c r="C5880" s="4"/>
    </row>
    <row r="5881" spans="1:3" ht="24" customHeight="1">
      <c r="A5881" s="4" t="str">
        <f ca="1">IFERROR(__xludf.DUMMYFUNCTION("""COMPUTED_VALUE"""),"ततः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||")</f>
        <v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||</v>
      </c>
      <c r="B5881" s="4" t="s">
        <v>28</v>
      </c>
      <c r="C5881" s="4"/>
    </row>
    <row r="5882" spans="1:3" ht="24" customHeight="1">
      <c r="A5882" s="4" t="str">
        <f ca="1">IFERROR(__xludf.DUMMYFUNCTION("""COMPUTED_VALUE"""),"एवं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||")</f>
        <v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||</v>
      </c>
      <c r="B5882" s="4" t="s">
        <v>7</v>
      </c>
      <c r="C5882" s="4"/>
    </row>
    <row r="5883" spans="1:3" ht="24" customHeight="1">
      <c r="A5883" s="4" t="str">
        <f ca="1">IFERROR(__xludf.DUMMYFUNCTION("""COMPUTED_VALUE"""),"मुनेर्विचित्रैरिषुभिः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||")</f>
        <v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||</v>
      </c>
      <c r="B5883" s="4" t="s">
        <v>19</v>
      </c>
      <c r="C5883" s="4"/>
    </row>
    <row r="5884" spans="1:3" ht="24" customHeight="1">
      <c r="A5884" s="4" t="str">
        <f ca="1">IFERROR(__xludf.DUMMYFUNCTION("""COMPUTED_VALUE"""),"वितन्वतस्तस्य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||")</f>
        <v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||</v>
      </c>
      <c r="B5884" s="4" t="s">
        <v>1</v>
      </c>
      <c r="C5884" s="4"/>
    </row>
    <row r="5885" spans="1:3" ht="24" customHeight="1">
      <c r="A5885" s="4" t="str">
        <f ca="1">IFERROR(__xludf.DUMMYFUNCTION("""COMPUTED_VALUE"""),"स सायकान्साध्वसविप्लुतानां क्षिपन्परेषां अतिसौष्ठवेन । शशीव दोषावृतलोचनानां विभिद्यमानः पृथगाबभासे ||")</f>
        <v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||</v>
      </c>
      <c r="B5885" s="4" t="s">
        <v>18</v>
      </c>
      <c r="C5885" s="4"/>
    </row>
    <row r="5886" spans="1:3" ht="24" customHeight="1">
      <c r="A5886" s="4" t="str">
        <f ca="1">IFERROR(__xludf.DUMMYFUNCTION("""COMPUTED_VALUE"""),"क्षोभेण तेनाथ गणाधिपानां भेदं ययवाकृतिरीश्वरस्य । तरङ्गकम्पेन महाह्रदानां छायामयस्येव दिनस्य कर्तुः ||")</f>
        <v>क्षोभेण तेनाथ गणाधिपानां भेदं ययवाकृतिरीश्वरस्य । तरङ्गकम्पेन महाह्रदानां छायामयस्येव दिनस्य कर्तुः ||</v>
      </c>
      <c r="B5886" s="4" t="s">
        <v>2</v>
      </c>
      <c r="C5886" s="4"/>
    </row>
    <row r="5887" spans="1:3" ht="24" customHeight="1">
      <c r="A5887" s="4" t="str">
        <f ca="1">IFERROR(__xludf.DUMMYFUNCTION("""COMPUTED_VALUE"""),"प्रसेदिवांसं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||")</f>
        <v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||</v>
      </c>
      <c r="B5887" s="4" t="s">
        <v>2</v>
      </c>
      <c r="C5887" s="4"/>
    </row>
    <row r="5888" spans="1:3" ht="24" customHeight="1">
      <c r="A5888" s="4" t="str">
        <f ca="1">IFERROR(__xludf.DUMMYFUNCTION("""COMPUTED_VALUE"""),"विस्फार्यमाणस्य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||")</f>
        <v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||</v>
      </c>
      <c r="B5888" s="4" t="s">
        <v>5</v>
      </c>
      <c r="C5888" s="4"/>
    </row>
    <row r="5889" spans="1:3" ht="24" customHeight="1">
      <c r="A5889" s="4" t="str">
        <f ca="1">IFERROR(__xludf.DUMMYFUNCTION("""COMPUTED_VALUE"""),"स्व्यापसव्यध्वनितोग्रचापं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||")</f>
        <v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||</v>
      </c>
      <c r="B5889" s="4" t="s">
        <v>20</v>
      </c>
      <c r="C5889" s="4"/>
    </row>
    <row r="5890" spans="1:3" ht="24" customHeight="1">
      <c r="A5890" s="4" t="str">
        <f ca="1">IFERROR(__xludf.DUMMYFUNCTION("""COMPUTED_VALUE"""),"निजघ्निरे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||")</f>
        <v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||</v>
      </c>
      <c r="B5890" s="4" t="s">
        <v>8</v>
      </c>
      <c r="C5890" s="4"/>
    </row>
    <row r="5891" spans="1:3" ht="24" customHeight="1">
      <c r="A5891" s="4" t="str">
        <f ca="1">IFERROR(__xludf.DUMMYFUNCTION("""COMPUTED_VALUE"""),"विभेदं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||")</f>
        <v>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||</v>
      </c>
      <c r="B5891" s="4" t="s">
        <v>6</v>
      </c>
      <c r="C5891" s="4"/>
    </row>
    <row r="5892" spans="1:3" ht="24" customHeight="1">
      <c r="A5892" s="4" t="str">
        <f ca="1">IFERROR(__xludf.DUMMYFUNCTION("""COMPUTED_VALUE"""),"सोढावगीतप्रथमायुधस्य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||")</f>
        <v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||</v>
      </c>
      <c r="B5892" s="4" t="s">
        <v>7</v>
      </c>
      <c r="C5892" s="4"/>
    </row>
    <row r="5893" spans="1:3" ht="24" customHeight="1">
      <c r="A5893" s="4" t="str">
        <f ca="1">IFERROR(__xludf.DUMMYFUNCTION("""COMPUTED_VALUE"""),"अलंकृतानां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||")</f>
        <v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||</v>
      </c>
      <c r="B5893" s="4" t="s">
        <v>10</v>
      </c>
      <c r="C5893" s="4"/>
    </row>
    <row r="5894" spans="1:3" ht="24" customHeight="1">
      <c r="A5894" s="4" t="str">
        <f ca="1">IFERROR(__xludf.DUMMYFUNCTION("""COMPUTED_VALUE"""),"बाणच्छिदस्ते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||")</f>
        <v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||</v>
      </c>
      <c r="B5894" s="4" t="s">
        <v>9</v>
      </c>
      <c r="C5894" s="4"/>
    </row>
    <row r="5895" spans="1:3" ht="24" customHeight="1">
      <c r="A5895" s="4" t="str">
        <f ca="1">IFERROR(__xludf.DUMMYFUNCTION("""COMPUTED_VALUE"""),"चित्रीयमाणानतिलाघवेन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||")</f>
        <v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||</v>
      </c>
      <c r="B5895" s="4" t="s">
        <v>2</v>
      </c>
      <c r="C5895" s="4"/>
    </row>
    <row r="5896" spans="1:3" ht="24" customHeight="1">
      <c r="A5896" s="4" t="str">
        <f ca="1">IFERROR(__xludf.DUMMYFUNCTION("""COMPUTED_VALUE"""),"तस्यातियत्नादतिरिच्यमाने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||")</f>
        <v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||</v>
      </c>
      <c r="B5896" s="4" t="s">
        <v>28</v>
      </c>
      <c r="C5896" s="4"/>
    </row>
    <row r="5897" spans="1:3" ht="24" customHeight="1">
      <c r="A5897" s="4" t="str">
        <f ca="1">IFERROR(__xludf.DUMMYFUNCTION("""COMPUTED_VALUE"""),"अनामृशन्तः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||")</f>
        <v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||</v>
      </c>
      <c r="B5897" s="4" t="s">
        <v>4</v>
      </c>
      <c r="C5897" s="4"/>
    </row>
    <row r="5898" spans="1:3" ht="24" customHeight="1">
      <c r="A5898" s="4" t="str">
        <f ca="1">IFERROR(__xludf.DUMMYFUNCTION("""COMPUTED_VALUE"""),"अस्त्रैः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||")</f>
        <v>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||</v>
      </c>
      <c r="B5898" s="4" t="s">
        <v>11</v>
      </c>
      <c r="C5898" s="4"/>
    </row>
    <row r="5899" spans="1:3" ht="24" customHeight="1">
      <c r="A5899" s="4" t="str">
        <f ca="1">IFERROR(__xludf.DUMMYFUNCTION("""COMPUTED_VALUE"""),"तपस्तपोवीर्यसमुद्धतस्य पारं यियासोः समरार्णवस्य । महेषुजालान्यखिलानि जिष्णोरर्कः पयांसीव समाचचाम ||")</f>
        <v>तपस्तपोवीर्यसमुद्धतस्य पारं यियासोः समरार्णवस्य । महेषुजालान्यखिलानि जिष्णोरर्कः पयांसीव समाचचाम ||</v>
      </c>
      <c r="B5899" s="4" t="s">
        <v>12</v>
      </c>
      <c r="C5899" s="4"/>
    </row>
    <row r="5900" spans="1:3" ht="24" customHeight="1">
      <c r="A5900" s="4" t="str">
        <f ca="1">IFERROR(__xludf.DUMMYFUNCTION("""COMPUTED_VALUE"""),"रिक्ते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||")</f>
        <v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||</v>
      </c>
      <c r="B5900" s="4" t="s">
        <v>0</v>
      </c>
      <c r="C5900" s="4"/>
    </row>
    <row r="5901" spans="1:3" ht="24" customHeight="1">
      <c r="A5901" s="4" t="str">
        <f ca="1">IFERROR(__xludf.DUMMYFUNCTION("""COMPUTED_VALUE"""),"च्युते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||")</f>
        <v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||</v>
      </c>
      <c r="B5901" s="4" t="s">
        <v>5</v>
      </c>
      <c r="C5901" s="4"/>
    </row>
    <row r="5902" spans="1:3" ht="24" customHeight="1">
      <c r="A5902" s="4" t="str">
        <f ca="1">IFERROR(__xludf.DUMMYFUNCTION("""COMPUTED_VALUE"""),"आघट्टयामास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||")</f>
        <v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||</v>
      </c>
      <c r="B5902" s="4" t="s">
        <v>13</v>
      </c>
      <c r="C5902" s="4"/>
    </row>
    <row r="5903" spans="1:3" ht="24" customHeight="1">
      <c r="A5903" s="4" t="str">
        <f ca="1">IFERROR(__xludf.DUMMYFUNCTION("""COMPUTED_VALUE"""),"बभार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||")</f>
        <v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||</v>
      </c>
      <c r="B5903" s="4" t="s">
        <v>8</v>
      </c>
      <c r="C5903" s="4"/>
    </row>
    <row r="5904" spans="1:3" ht="24" customHeight="1">
      <c r="A5904" s="4" t="str">
        <f ca="1">IFERROR(__xludf.DUMMYFUNCTION("""COMPUTED_VALUE"""),"तेनातिमित्तेन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||")</f>
        <v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||</v>
      </c>
      <c r="B5904" s="4" t="s">
        <v>13</v>
      </c>
      <c r="C5904" s="4"/>
    </row>
    <row r="5905" spans="1:3" ht="24" customHeight="1">
      <c r="A5905" s="4" t="str">
        <f ca="1">IFERROR(__xludf.DUMMYFUNCTION("""COMPUTED_VALUE"""),"प्रतिक्रियायै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||")</f>
        <v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||</v>
      </c>
      <c r="B5905" s="4" t="s">
        <v>5</v>
      </c>
      <c r="C5905" s="4"/>
    </row>
    <row r="5906" spans="1:3" ht="24" customHeight="1">
      <c r="A5906" s="4" t="str">
        <f ca="1">IFERROR(__xludf.DUMMYFUNCTION("""COMPUTED_VALUE"""),"पश्चात्क्रिया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||")</f>
        <v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||</v>
      </c>
      <c r="B5906" s="4" t="s">
        <v>5</v>
      </c>
      <c r="C5906" s="4"/>
    </row>
    <row r="5907" spans="1:3" ht="24" customHeight="1">
      <c r="A5907" s="4" t="str">
        <f ca="1">IFERROR(__xludf.DUMMYFUNCTION("""COMPUTED_VALUE"""),"तं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||")</f>
        <v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||</v>
      </c>
      <c r="B5907" s="4" t="s">
        <v>13</v>
      </c>
      <c r="C5907" s="4"/>
    </row>
    <row r="5908" spans="1:3" ht="24" customHeight="1">
      <c r="A5908" s="4" t="str">
        <f ca="1">IFERROR(__xludf.DUMMYFUNCTION("""COMPUTED_VALUE"""),"जहार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||")</f>
        <v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||</v>
      </c>
      <c r="B5908" s="4" t="s">
        <v>5</v>
      </c>
      <c r="C5908" s="4"/>
    </row>
    <row r="5909" spans="1:3" ht="24" customHeight="1">
      <c r="A5909" s="4" t="str">
        <f ca="1">IFERROR(__xludf.DUMMYFUNCTION("""COMPUTED_VALUE"""),"विकोशनिर्धौततनोर्महासेः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||")</f>
        <v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||</v>
      </c>
      <c r="B5909" s="4" t="s">
        <v>5</v>
      </c>
      <c r="C5909" s="4"/>
    </row>
    <row r="5910" spans="1:3" ht="24" customHeight="1">
      <c r="A5910" s="4" t="str">
        <f ca="1">IFERROR(__xludf.DUMMYFUNCTION("""COMPUTED_VALUE"""),"विबोधितस्य ध्वनिना घनानां हरेरपेतस्य च शैलरन्ध्राथ् । निरस्तधूमस्य च रात्रिवह्नेर्विना तनुत्रेण रुचिं स भेजे ||")</f>
        <v>विबोधितस्य ध्वनिना घनानां हरेरपेतस्य च शैलरन्ध्राथ् । निरस्तधूमस्य च रात्रिवह्नेर्विना तनुत्रेण रुचिं स भेजे ||</v>
      </c>
      <c r="B5910" s="4" t="s">
        <v>3</v>
      </c>
      <c r="C5910" s="4"/>
    </row>
    <row r="5911" spans="1:3" ht="24" customHeight="1">
      <c r="A5911" s="4" t="str">
        <f ca="1">IFERROR(__xludf.DUMMYFUNCTION("""COMPUTED_VALUE"""),"अचित्ततायां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||")</f>
        <v>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||</v>
      </c>
      <c r="B5911" s="4" t="s">
        <v>15</v>
      </c>
      <c r="C5911" s="4"/>
    </row>
    <row r="5912" spans="1:3" ht="24" customHeight="1">
      <c r="A5912" s="4" t="str">
        <f ca="1">IFERROR(__xludf.DUMMYFUNCTION("""COMPUTED_VALUE"""),"स्थितं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||")</f>
        <v>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||</v>
      </c>
      <c r="B5912" s="4" t="s">
        <v>14</v>
      </c>
      <c r="C5912" s="4"/>
    </row>
    <row r="5913" spans="1:3" ht="24" customHeight="1">
      <c r="A5913" s="4" t="str">
        <f ca="1">IFERROR(__xludf.DUMMYFUNCTION("""COMPUTED_VALUE"""),"संरम्भवेगोज्झितवेदनेषु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||")</f>
        <v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||</v>
      </c>
      <c r="B5913" s="4" t="s">
        <v>5</v>
      </c>
      <c r="C5913" s="4"/>
    </row>
    <row r="5914" spans="1:3" ht="24" customHeight="1">
      <c r="A5914" s="4" t="str">
        <f ca="1">IFERROR(__xludf.DUMMYFUNCTION("""COMPUTED_VALUE"""),"ततोऽनुपूर्वायतवृत्तबाहुः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||")</f>
        <v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||</v>
      </c>
      <c r="B5914" s="4" t="s">
        <v>2</v>
      </c>
      <c r="C5914" s="4"/>
    </row>
    <row r="5915" spans="1:3" ht="24" customHeight="1">
      <c r="A5915" s="4" t="str">
        <f ca="1">IFERROR(__xludf.DUMMYFUNCTION("""COMPUTED_VALUE"""),"साम्यं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||")</f>
        <v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||</v>
      </c>
      <c r="B5915" s="4" t="s">
        <v>6</v>
      </c>
      <c r="C5915" s="4"/>
    </row>
    <row r="5916" spans="1:3" ht="24" customHeight="1">
      <c r="A5916" s="4" t="str">
        <f ca="1">IFERROR(__xludf.DUMMYFUNCTION("""COMPUTED_VALUE"""),"रयेण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||")</f>
        <v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||</v>
      </c>
      <c r="B5916" s="4" t="s">
        <v>4</v>
      </c>
      <c r="C5916" s="4"/>
    </row>
    <row r="5917" spans="1:3" ht="24" customHeight="1">
      <c r="A5917" s="4" t="str">
        <f ca="1">IFERROR(__xludf.DUMMYFUNCTION("""COMPUTED_VALUE"""),"विकार्मुकः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||")</f>
        <v>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||</v>
      </c>
      <c r="B5917" s="4" t="s">
        <v>2</v>
      </c>
      <c r="C5917" s="4"/>
    </row>
    <row r="5918" spans="1:3" ht="24" customHeight="1">
      <c r="A5918" s="4" t="str">
        <f ca="1">IFERROR(__xludf.DUMMYFUNCTION("""COMPUTED_VALUE"""),"उपोढकल्याणफलोऽभिरक्षन्वीरव्रतं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||")</f>
        <v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||</v>
      </c>
      <c r="B5918" s="4" t="s">
        <v>5</v>
      </c>
      <c r="C5918" s="4"/>
    </row>
    <row r="5919" spans="1:3" ht="24" customHeight="1">
      <c r="A5919" s="4" t="str">
        <f ca="1">IFERROR(__xludf.DUMMYFUNCTION("""COMPUTED_VALUE"""),"ततोऽग्रभूमिं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||")</f>
        <v>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||</v>
      </c>
      <c r="B5919" s="4" t="s">
        <v>26</v>
      </c>
      <c r="C5919" s="4"/>
    </row>
    <row r="5920" spans="1:3" ht="24" customHeight="1">
      <c r="A5920" s="4" t="str">
        <f ca="1">IFERROR(__xludf.DUMMYFUNCTION("""COMPUTED_VALUE"""),"शरानवद्यन्ननवद्यकर्मा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||")</f>
        <v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||</v>
      </c>
      <c r="B5920" s="4" t="s">
        <v>4</v>
      </c>
      <c r="C5920" s="4"/>
    </row>
    <row r="5921" spans="1:3" ht="24" customHeight="1">
      <c r="A5921" s="4" t="str">
        <f ca="1">IFERROR(__xludf.DUMMYFUNCTION("""COMPUTED_VALUE"""),"यथा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||")</f>
        <v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||</v>
      </c>
      <c r="B5921" s="4" t="s">
        <v>2</v>
      </c>
      <c r="C5921" s="4"/>
    </row>
    <row r="5922" spans="1:3" ht="24" customHeight="1">
      <c r="A5922" s="4" t="str">
        <f ca="1">IFERROR(__xludf.DUMMYFUNCTION("""COMPUTED_VALUE"""),"शिवप्रणुन्नेन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||")</f>
        <v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||</v>
      </c>
      <c r="B5922" s="4" t="s">
        <v>1</v>
      </c>
      <c r="C5922" s="4"/>
    </row>
    <row r="5923" spans="1:3" ht="24" customHeight="1">
      <c r="A5923" s="4" t="str">
        <f ca="1">IFERROR(__xludf.DUMMYFUNCTION("""COMPUTED_VALUE"""),"आक्षिप्तचापावरणेषुजालश्छिन्नोत्तमासिः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||")</f>
        <v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||</v>
      </c>
      <c r="B5923" s="4" t="s">
        <v>8</v>
      </c>
      <c r="C5923" s="4"/>
    </row>
    <row r="5924" spans="1:3" ht="24" customHeight="1">
      <c r="A5924" s="4" t="str">
        <f ca="1">IFERROR(__xludf.DUMMYFUNCTION("""COMPUTED_VALUE"""),"स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||")</f>
        <v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||</v>
      </c>
      <c r="B5924" s="4" t="s">
        <v>1</v>
      </c>
      <c r="C5924" s="4"/>
    </row>
    <row r="5925" spans="1:3" ht="24" customHeight="1">
      <c r="A5925" s="4" t="str">
        <f ca="1">IFERROR(__xludf.DUMMYFUNCTION("""COMPUTED_VALUE"""),"नीरन्ध्रं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||")</f>
        <v>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||</v>
      </c>
      <c r="B5925" s="4" t="s">
        <v>1</v>
      </c>
      <c r="C5925" s="4"/>
    </row>
    <row r="5926" spans="1:3" ht="24" customHeight="1">
      <c r="A5926" s="4" t="str">
        <f ca="1">IFERROR(__xludf.DUMMYFUNCTION("""COMPUTED_VALUE"""),"निःशेषं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||")</f>
        <v>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||</v>
      </c>
      <c r="B5926" s="4" t="s">
        <v>5</v>
      </c>
      <c r="C5926" s="4"/>
    </row>
    <row r="5927" spans="1:3" ht="24" customHeight="1">
      <c r="A5927" s="4" t="str">
        <f ca="1">IFERROR(__xludf.DUMMYFUNCTION("""COMPUTED_VALUE"""),"उन्मज्जन्मकर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||")</f>
        <v>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||</v>
      </c>
      <c r="B5927" s="4" t="s">
        <v>13</v>
      </c>
      <c r="C5927" s="4"/>
    </row>
    <row r="5928" spans="1:3" ht="24" customHeight="1">
      <c r="A5928" s="4" t="str">
        <f ca="1">IFERROR(__xludf.DUMMYFUNCTION("""COMPUTED_VALUE"""),"अभिलषत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||")</f>
        <v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||</v>
      </c>
      <c r="B5928" s="4" t="s">
        <v>0</v>
      </c>
      <c r="C5928" s="4"/>
    </row>
    <row r="5929" spans="1:3" ht="24" customHeight="1">
      <c r="A5929" s="4" t="str">
        <f ca="1">IFERROR(__xludf.DUMMYFUNCTION("""COMPUTED_VALUE"""),"तत उदग्र इव द्विरदे मुनौ रणं उपेयुषि भीमभुजायुधे । धनुरपास्य सबाणधि शंकरः प्रतिजघान घनैरिव मुष्टिभिः ||")</f>
        <v>तत उदग्र इव द्विरदे मुनौ रणं उपेयुषि भीमभुजायुधे । धनुरपास्य सबाणधि शंकरः प्रतिजघान घनैरिव मुष्टिभिः ||</v>
      </c>
      <c r="B5929" s="4" t="s">
        <v>6</v>
      </c>
      <c r="C5929" s="4"/>
    </row>
    <row r="5930" spans="1:3" ht="24" customHeight="1">
      <c r="A5930" s="4" t="str">
        <f ca="1">IFERROR(__xludf.DUMMYFUNCTION("""COMPUTED_VALUE"""),"हरपृथासुतयोर्ध्वनिरुत्पतन्नमृदुसंवलिताङ्गुलिपाणिजः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||")</f>
        <v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||</v>
      </c>
      <c r="B5930" s="4" t="s">
        <v>2</v>
      </c>
      <c r="C5930" s="4"/>
    </row>
    <row r="5931" spans="1:3" ht="24" customHeight="1">
      <c r="A5931" s="4" t="str">
        <f ca="1">IFERROR(__xludf.DUMMYFUNCTION("""COMPUTED_VALUE"""),"शिवभुजाहतिभिन्नपृथुक्षतीः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||")</f>
        <v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||</v>
      </c>
      <c r="B5931" s="4" t="s">
        <v>12</v>
      </c>
      <c r="C5931" s="4"/>
    </row>
    <row r="5932" spans="1:3" ht="24" customHeight="1">
      <c r="A5932" s="4" t="str">
        <f ca="1">IFERROR(__xludf.DUMMYFUNCTION("""COMPUTED_VALUE"""),"व्रणमुखच्युतशोणितशीकर- स्थगितशैलतटाभभुजान्तरः । अभिनवौषसरागभृता बभौ जलधरेण समानं उमापतिः ||")</f>
        <v>व्रणमुखच्युतशोणितशीकर- स्थगितशैलतटाभभुजान्तरः । अभिनवौषसरागभृता बभौ जलधरेण समानं उमापतिः ||</v>
      </c>
      <c r="B5932" s="4" t="s">
        <v>2</v>
      </c>
      <c r="C5932" s="4"/>
    </row>
    <row r="5933" spans="1:3" ht="24" customHeight="1">
      <c r="A5933" s="4" t="str">
        <f ca="1">IFERROR(__xludf.DUMMYFUNCTION("""COMPUTED_VALUE"""),"उरसि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||")</f>
        <v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||</v>
      </c>
      <c r="B5933" s="4" t="s">
        <v>5</v>
      </c>
      <c r="C5933" s="4"/>
    </row>
    <row r="5934" spans="1:3" ht="24" customHeight="1">
      <c r="A5934" s="4" t="str">
        <f ca="1">IFERROR(__xludf.DUMMYFUNCTION("""COMPUTED_VALUE"""),"निपतितेऽधिशिरोधरं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||")</f>
        <v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||</v>
      </c>
      <c r="B5934" s="4" t="s">
        <v>11</v>
      </c>
      <c r="C5934" s="4"/>
    </row>
    <row r="5935" spans="1:3" ht="24" customHeight="1">
      <c r="A5935" s="4" t="str">
        <f ca="1">IFERROR(__xludf.DUMMYFUNCTION("""COMPUTED_VALUE"""),"अभिभवोदितमन्युविदीपितः समभिसृत्य भृशं जवं ओजसा । भुजयुगेन विभज्य समाददे शशिकलाभरणस्य भुजद्वयं ||")</f>
        <v>अभिभवोदितमन्युविदीपितः समभिसृत्य भृशं जवं ओजसा । भुजयुगेन विभज्य समाददे शशिकलाभरणस्य भुजद्वयं ||</v>
      </c>
      <c r="B5935" s="4" t="s">
        <v>5</v>
      </c>
      <c r="C5935" s="4"/>
    </row>
    <row r="5936" spans="1:3" ht="24" customHeight="1">
      <c r="A5936" s="4" t="str">
        <f ca="1">IFERROR(__xludf.DUMMYFUNCTION("""COMPUTED_VALUE"""),"प्रववृतेऽथ महाहवमल्लयोरचलसंचलनाहरणो रणः । करणशृङ्खलसंकलनागुरुर्गुरुभुजायुधगर्वितयोस्तयोः ||")</f>
        <v>प्रववृतेऽथ महाहवमल्लयोरचलसंचलनाहरणो रणः । करणशृङ्खलसंकलनागुरुर्गुरुभुजायुधगर्वितयोस्तयोः ||</v>
      </c>
      <c r="B5936" s="4" t="s">
        <v>5</v>
      </c>
      <c r="C5936" s="4"/>
    </row>
    <row r="5937" spans="1:3" ht="24" customHeight="1">
      <c r="A5937" s="4" t="str">
        <f ca="1">IFERROR(__xludf.DUMMYFUNCTION("""COMPUTED_VALUE"""),"अयं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||")</f>
        <v>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||</v>
      </c>
      <c r="B5937" s="4" t="s">
        <v>7</v>
      </c>
      <c r="C5937" s="4"/>
    </row>
    <row r="5938" spans="1:3" ht="24" customHeight="1">
      <c r="A5938" s="4" t="str">
        <f ca="1">IFERROR(__xludf.DUMMYFUNCTION("""COMPUTED_VALUE"""),"प्रचलिते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||")</f>
        <v>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||</v>
      </c>
      <c r="B5938" s="4" t="s">
        <v>2</v>
      </c>
      <c r="C5938" s="4"/>
    </row>
    <row r="5939" spans="1:3" ht="24" customHeight="1">
      <c r="A5939" s="4" t="str">
        <f ca="1">IFERROR(__xludf.DUMMYFUNCTION("""COMPUTED_VALUE"""),"करणशृङ्खलनिःसृतयोस्तयोः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||")</f>
        <v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||</v>
      </c>
      <c r="B5939" s="4" t="s">
        <v>11</v>
      </c>
      <c r="C5939" s="4"/>
    </row>
    <row r="5940" spans="1:3" ht="24" customHeight="1">
      <c r="A5940" s="4" t="str">
        <f ca="1">IFERROR(__xludf.DUMMYFUNCTION("""COMPUTED_VALUE"""),"वियति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||")</f>
        <v>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||</v>
      </c>
      <c r="B5940" s="4" t="s">
        <v>0</v>
      </c>
      <c r="C5940" s="4"/>
    </row>
    <row r="5941" spans="1:3" ht="24" customHeight="1">
      <c r="A5941" s="4" t="str">
        <f ca="1">IFERROR(__xludf.DUMMYFUNCTION("""COMPUTED_VALUE"""),"विस्मितः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||")</f>
        <v>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||</v>
      </c>
      <c r="B5941" s="4" t="s">
        <v>18</v>
      </c>
      <c r="C5941" s="4"/>
    </row>
    <row r="5942" spans="1:3" ht="24" customHeight="1">
      <c r="A5942" s="4" t="str">
        <f ca="1">IFERROR(__xludf.DUMMYFUNCTION("""COMPUTED_VALUE"""),"तपसा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||")</f>
        <v>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||</v>
      </c>
      <c r="B5942" s="4" t="s">
        <v>2</v>
      </c>
      <c r="C5942" s="4"/>
    </row>
    <row r="5943" spans="1:3" ht="24" customHeight="1">
      <c r="A5943" s="4" t="str">
        <f ca="1">IFERROR(__xludf.DUMMYFUNCTION("""COMPUTED_VALUE"""),"अथ हिमशुचिभस्मभूषितं शिरसि विराजितं इन्दुलेखया । स्ववपुरतिमनोहरं हरं दधतं उदीक्ष्य ननाम पाण्डवः ||")</f>
        <v>अथ हिमशुचिभस्मभूषितं शिरसि विराजितं इन्दुलेखया । स्ववपुरतिमनोहरं हरं दधतं उदीक्ष्य ननाम पाण्डवः ||</v>
      </c>
      <c r="B5943" s="4" t="s">
        <v>4</v>
      </c>
      <c r="C5943" s="4"/>
    </row>
    <row r="5944" spans="1:3" ht="24" customHeight="1">
      <c r="A5944" s="4" t="str">
        <f ca="1">IFERROR(__xludf.DUMMYFUNCTION("""COMPUTED_VALUE"""),"सहशरधि निजं तथा कार्मुकं वपुरतनु तथैव संवर्मितं । निहितं अपि तथैव पश्यन्नसिं वृषभगतिरुपाययौ विस्मयं ||")</f>
        <v>सहशरधि निजं तथा कार्मुकं वपुरतनु तथैव संवर्मितं । निहितं अपि तथैव पश्यन्नसिं वृषभगतिरुपाययौ विस्मयं ||</v>
      </c>
      <c r="B5944" s="4" t="s">
        <v>5</v>
      </c>
      <c r="C5944" s="4"/>
    </row>
    <row r="5945" spans="1:3" ht="24" customHeight="1">
      <c r="A5945" s="4" t="str">
        <f ca="1">IFERROR(__xludf.DUMMYFUNCTION("""COMPUTED_VALUE"""),"सिषिचुरवनिं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||")</f>
        <v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||</v>
      </c>
      <c r="B5945" s="4" t="s">
        <v>8</v>
      </c>
      <c r="C5945" s="4"/>
    </row>
    <row r="5946" spans="1:3" ht="24" customHeight="1">
      <c r="A5946" s="4" t="str">
        <f ca="1">IFERROR(__xludf.DUMMYFUNCTION("""COMPUTED_VALUE"""),"आसेदुषां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||")</f>
        <v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||</v>
      </c>
      <c r="B5946" s="4" t="s">
        <v>3</v>
      </c>
      <c r="C5946" s="4"/>
    </row>
    <row r="5947" spans="1:3" ht="24" customHeight="1">
      <c r="A5947" s="4" t="str">
        <f ca="1">IFERROR(__xludf.DUMMYFUNCTION("""COMPUTED_VALUE"""),"हंसा बृहन्तः सुरसद्मवाहाः संह्रादिकण्ठाभरणाः पतन्तः । चक्रुः प्रयत्नेन विकीर्यमाणैर्व्य्ॐनः परिष्वङ्गं इवाग्रपक्षैः ||")</f>
        <v>हंसा बृहन्तः सुरसद्मवाहाः संह्रादिकण्ठाभरणाः पतन्तः । चक्रुः प्रयत्नेन विकीर्यमाणैर्व्य्ॐनः परिष्वङ्गं इवाग्रपक्षैः ||</v>
      </c>
      <c r="B5947" s="4" t="s">
        <v>13</v>
      </c>
      <c r="C5947" s="4"/>
    </row>
    <row r="5948" spans="1:3" ht="24" customHeight="1">
      <c r="A5948" s="4" t="str">
        <f ca="1">IFERROR(__xludf.DUMMYFUNCTION("""COMPUTED_VALUE"""),"मुदितमधुलिहो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||")</f>
        <v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||</v>
      </c>
      <c r="B5948" s="4" t="s">
        <v>0</v>
      </c>
      <c r="C5948" s="4"/>
    </row>
    <row r="5949" spans="1:3" ht="24" customHeight="1">
      <c r="A5949" s="4" t="str">
        <f ca="1">IFERROR(__xludf.DUMMYFUNCTION("""COMPUTED_VALUE"""),"कृतधृति परिवन्दितेनोच्चकैर्गणपतिभिरभिन्नर्ॐओद्गमैः । तपसि कृतफले फलज्यायसी स्तुतिरिति जगदे हरेः सूनुना ||")</f>
        <v>कृतधृति परिवन्दितेनोच्चकैर्गणपतिभिरभिन्नर्ॐओद्गमैः । तपसि कृतफले फलज्यायसी स्तुतिरिति जगदे हरेः सूनुना ||</v>
      </c>
      <c r="B5949" s="4" t="s">
        <v>1</v>
      </c>
      <c r="C5949" s="4"/>
    </row>
    <row r="5950" spans="1:3" ht="24" customHeight="1">
      <c r="A5950" s="4" t="str">
        <f ca="1">IFERROR(__xludf.DUMMYFUNCTION("""COMPUTED_VALUE"""),"शरणं भवन्तं अतिकारुणिकं भव भक्तिगम्यं अधिगम्य जनाः । जितमृत्यवोऽजित भवन्ति भये ससुरासुरस्य जगतः शरणं ||")</f>
        <v>शरणं भवन्तं अतिकारुणिकं भव भक्तिगम्यं अधिगम्य जनाः । जितमृत्यवोऽजित भवन्ति भये ससुरासुरस्य जगतः शरणं ||</v>
      </c>
      <c r="B5950" s="4" t="s">
        <v>7</v>
      </c>
      <c r="C5950" s="4"/>
    </row>
    <row r="5951" spans="1:3" ht="24" customHeight="1">
      <c r="A5951" s="4" t="str">
        <f ca="1">IFERROR(__xludf.DUMMYFUNCTION("""COMPUTED_VALUE"""),"विपदेति तावदवसादकरी न च कामसम्पदभिकामयते । न नमन्ति चैकपुरुषं पुरुषास्तव यावदीश न नतिः क्रियते ||")</f>
        <v>विपदेति तावदवसादकरी न च कामसम्पदभिकामयते । न नमन्ति चैकपुरुषं पुरुषास्तव यावदीश न नतिः क्रियते ||</v>
      </c>
      <c r="B5951" s="4" t="s">
        <v>2</v>
      </c>
      <c r="C5951" s="4"/>
    </row>
    <row r="5952" spans="1:3" ht="24" customHeight="1">
      <c r="A5952" s="4" t="str">
        <f ca="1">IFERROR(__xludf.DUMMYFUNCTION("""COMPUTED_VALUE"""),"संसेवन्ते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||")</f>
        <v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||</v>
      </c>
      <c r="B5952" s="4" t="s">
        <v>5</v>
      </c>
      <c r="C5952" s="4"/>
    </row>
    <row r="5953" spans="1:3" ht="24" customHeight="1">
      <c r="A5953" s="4" t="str">
        <f ca="1">IFERROR(__xludf.DUMMYFUNCTION("""COMPUTED_VALUE"""),"प्राप्यते यदिह दूरं अगत्वा यत्फलत्यपरलोकगताय । तीर्थं अस्ति न भवार्णवबाह्यं सार्वकामिकं ऋते भवतस्तथ् ||")</f>
        <v>प्राप्यते यदिह दूरं अगत्वा यत्फलत्यपरलोकगताय । तीर्थं अस्ति न भवार्णवबाह्यं सार्वकामिकं ऋते भवतस्तथ् ||</v>
      </c>
      <c r="B5953" s="4" t="s">
        <v>2</v>
      </c>
      <c r="C5953" s="4"/>
    </row>
    <row r="5954" spans="1:3" ht="24" customHeight="1">
      <c r="A5954" s="4" t="str">
        <f ca="1">IFERROR(__xludf.DUMMYFUNCTION("""COMPUTED_VALUE"""),"व्रजति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क्वचिथ् ||")</f>
        <v>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क्वचिथ् ||</v>
      </c>
      <c r="B5954" s="4" t="s">
        <v>16</v>
      </c>
      <c r="C5954" s="4"/>
    </row>
    <row r="5955" spans="1:3" ht="24" customHeight="1">
      <c r="A5955" s="4" t="str">
        <f ca="1">IFERROR(__xludf.DUMMYFUNCTION("""COMPUTED_VALUE"""),"दक्षिणां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||")</f>
        <v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||</v>
      </c>
      <c r="B5955" s="4" t="s">
        <v>5</v>
      </c>
      <c r="C5955" s="4"/>
    </row>
    <row r="5956" spans="1:3" ht="24" customHeight="1">
      <c r="A5956" s="4" t="str">
        <f ca="1">IFERROR(__xludf.DUMMYFUNCTION("""COMPUTED_VALUE"""),"दृष्ट्वा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||")</f>
        <v>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||</v>
      </c>
      <c r="B5956" s="4" t="s">
        <v>2</v>
      </c>
      <c r="C5956" s="4"/>
    </row>
    <row r="5957" spans="1:3" ht="24" customHeight="1">
      <c r="A5957" s="4" t="str">
        <f ca="1">IFERROR(__xludf.DUMMYFUNCTION("""COMPUTED_VALUE"""),"युक्ताः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||")</f>
        <v>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||</v>
      </c>
      <c r="B5957" s="4" t="s">
        <v>7</v>
      </c>
      <c r="C5957" s="4"/>
    </row>
    <row r="5958" spans="1:3" ht="24" customHeight="1">
      <c r="A5958" s="4" t="str">
        <f ca="1">IFERROR(__xludf.DUMMYFUNCTION("""COMPUTED_VALUE"""),"संनिबद्धं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||")</f>
        <v>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||</v>
      </c>
      <c r="B5958" s="4" t="s">
        <v>5</v>
      </c>
      <c r="C5958" s="4"/>
    </row>
    <row r="5959" spans="1:3" ht="24" customHeight="1">
      <c r="A5959" s="4" t="str">
        <f ca="1">IFERROR(__xludf.DUMMYFUNCTION("""COMPUTED_VALUE"""),"न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||")</f>
        <v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||</v>
      </c>
      <c r="B5959" s="4" t="s">
        <v>2</v>
      </c>
      <c r="C5959" s="4"/>
    </row>
    <row r="5960" spans="1:3" ht="24" customHeight="1">
      <c r="A5960" s="4" t="str">
        <f ca="1">IFERROR(__xludf.DUMMYFUNCTION("""COMPUTED_VALUE"""),"तवोत्तरीयं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||")</f>
        <v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||</v>
      </c>
      <c r="B5960" s="4" t="s">
        <v>2</v>
      </c>
      <c r="C5960" s="4"/>
    </row>
    <row r="5961" spans="1:3" ht="24" customHeight="1">
      <c r="A5961" s="4" t="str">
        <f ca="1">IFERROR(__xludf.DUMMYFUNCTION("""COMPUTED_VALUE"""),"अविग्रहस्याप्यतुलेन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||")</f>
        <v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||</v>
      </c>
      <c r="B5961" s="4" t="s">
        <v>2</v>
      </c>
      <c r="C5961" s="4"/>
    </row>
    <row r="5962" spans="1:3" ht="24" customHeight="1">
      <c r="A5962" s="4" t="str">
        <f ca="1">IFERROR(__xludf.DUMMYFUNCTION("""COMPUTED_VALUE"""),"आत्मलाभपरिणामनिरोधैर्भूतसंघ इव न त्वं उपेतः । तेन सर्वभुवनातिग लोके नोपमानं असि नाप्युपेमयः ||")</f>
        <v>आत्मलाभपरिणामनिरोधैर्भूतसंघ इव न त्वं उपेतः । तेन सर्वभुवनातिग लोके नोपमानं असि नाप्युपेमयः ||</v>
      </c>
      <c r="B5962" s="4" t="s">
        <v>5</v>
      </c>
      <c r="C5962" s="4"/>
    </row>
    <row r="5963" spans="1:3" ht="24" customHeight="1">
      <c r="A5963" s="4" t="str">
        <f ca="1">IFERROR(__xludf.DUMMYFUNCTION("""COMPUTED_VALUE"""),"त्वं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||")</f>
        <v>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||</v>
      </c>
      <c r="B5963" s="4" t="s">
        <v>1</v>
      </c>
      <c r="C5963" s="4"/>
    </row>
    <row r="5964" spans="1:3" ht="24" customHeight="1">
      <c r="A5964" s="4" t="str">
        <f ca="1">IFERROR(__xludf.DUMMYFUNCTION("""COMPUTED_VALUE"""),"रक्षोभिः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||")</f>
        <v>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||</v>
      </c>
      <c r="B5964" s="4" t="s">
        <v>5</v>
      </c>
      <c r="C5964" s="4"/>
    </row>
    <row r="5965" spans="1:3" ht="24" customHeight="1">
      <c r="A5965" s="4" t="str">
        <f ca="1">IFERROR(__xludf.DUMMYFUNCTION("""COMPUTED_VALUE"""),"तरसा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||")</f>
        <v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||</v>
      </c>
      <c r="B5965" s="4" t="s">
        <v>2</v>
      </c>
      <c r="C5965" s="4"/>
    </row>
    <row r="5966" spans="1:3" ht="24" customHeight="1">
      <c r="A5966" s="4" t="str">
        <f ca="1">IFERROR(__xludf.DUMMYFUNCTION("""COMPUTED_VALUE"""),"भवतः स्मरतां सदासने जयिनि ब्रह्ममये निषेदुषां । दहते भवबीजसंततिं शिखिनेऽनेकशिखाय ते नमः ||")</f>
        <v>भवतः स्मरतां सदासने जयिनि ब्रह्ममये निषेदुषां । दहते भवबीजसंततिं शिखिनेऽनेकशिखाय ते नमः ||</v>
      </c>
      <c r="B5966" s="4" t="s">
        <v>12</v>
      </c>
      <c r="C5966" s="4"/>
    </row>
    <row r="5967" spans="1:3" ht="24" customHeight="1">
      <c r="A5967" s="4" t="str">
        <f ca="1">IFERROR(__xludf.DUMMYFUNCTION("""COMPUTED_VALUE"""),"आबाधामरणभयार्चिषा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||")</f>
        <v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||</v>
      </c>
      <c r="B5967" s="4" t="s">
        <v>5</v>
      </c>
      <c r="C5967" s="4"/>
    </row>
    <row r="5968" spans="1:3" ht="24" customHeight="1">
      <c r="A5968" s="4" t="str">
        <f ca="1">IFERROR(__xludf.DUMMYFUNCTION("""COMPUTED_VALUE"""),"यः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व्य्ॐअरूपाय तस्मै ||")</f>
        <v>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व्य्ॐअरूपाय तस्मै ||</v>
      </c>
      <c r="B5968" s="4" t="s">
        <v>12</v>
      </c>
      <c r="C5968" s="4"/>
    </row>
    <row r="5969" spans="1:3" ht="24" customHeight="1">
      <c r="A5969" s="4" t="str">
        <f ca="1">IFERROR(__xludf.DUMMYFUNCTION("""COMPUTED_VALUE"""),"अणीयसे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||")</f>
        <v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||</v>
      </c>
      <c r="B5969" s="4" t="s">
        <v>12</v>
      </c>
      <c r="C5969" s="4"/>
    </row>
    <row r="5970" spans="1:3" ht="24" customHeight="1">
      <c r="A5970" s="4" t="str">
        <f ca="1">IFERROR(__xludf.DUMMYFUNCTION("""COMPUTED_VALUE"""),"असंविदानस्य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||")</f>
        <v>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||</v>
      </c>
      <c r="B5970" s="4" t="s">
        <v>9</v>
      </c>
      <c r="C5970" s="4"/>
    </row>
    <row r="5971" spans="1:3" ht="24" customHeight="1">
      <c r="A5971" s="4" t="str">
        <f ca="1">IFERROR(__xludf.DUMMYFUNCTION("""COMPUTED_VALUE"""),"आस्तिक्यशुद्धं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||")</f>
        <v>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||</v>
      </c>
      <c r="B5971" s="4" t="s">
        <v>13</v>
      </c>
      <c r="C5971" s="4"/>
    </row>
    <row r="5972" spans="1:3" ht="24" customHeight="1">
      <c r="A5972" s="4" t="str">
        <f ca="1">IFERROR(__xludf.DUMMYFUNCTION("""COMPUTED_VALUE"""),"इति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||")</f>
        <v>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||</v>
      </c>
      <c r="B5972" s="4" t="s">
        <v>8</v>
      </c>
      <c r="C5972" s="4"/>
    </row>
    <row r="5973" spans="1:3" ht="24" customHeight="1">
      <c r="A5973" s="4" t="str">
        <f ca="1">IFERROR(__xludf.DUMMYFUNCTION("""COMPUTED_VALUE"""),"स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||")</f>
        <v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||</v>
      </c>
      <c r="B5973" s="4" t="s">
        <v>5</v>
      </c>
      <c r="C5973" s="4"/>
    </row>
    <row r="5974" spans="1:3" ht="24" customHeight="1">
      <c r="A5974" s="4" t="str">
        <f ca="1">IFERROR(__xludf.DUMMYFUNCTION("""COMPUTED_VALUE"""),"अथ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||")</f>
        <v>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||</v>
      </c>
      <c r="B5974" s="4" t="s">
        <v>0</v>
      </c>
      <c r="C5974" s="4"/>
    </row>
    <row r="5975" spans="1:3" ht="24" customHeight="1">
      <c r="A5975" s="4" t="str">
        <f ca="1">IFERROR(__xludf.DUMMYFUNCTION("""COMPUTED_VALUE"""),"असंहार्योत्साहं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||")</f>
        <v>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||</v>
      </c>
      <c r="B5975" s="4" t="s">
        <v>15</v>
      </c>
      <c r="C5975" s="4"/>
    </row>
    <row r="5976" spans="1:3" ht="24" customHeight="1">
      <c r="A5976" s="4" t="str">
        <f ca="1">IFERROR(__xludf.DUMMYFUNCTION("""COMPUTED_VALUE"""),"व्रज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||")</f>
        <v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||</v>
      </c>
      <c r="B5976" s="4" t="s">
        <v>12</v>
      </c>
      <c r="C5976" s="4"/>
    </row>
    <row r="5977" spans="1:3" ht="24" customHeight="1">
      <c r="A5977" s="4" t="str">
        <f ca="1">IFERROR(__xludf.DUMMYFUNCTION("""COMPUTED_VALUE"""),"श्रियः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१.१॥")</f>
        <v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</v>
      </c>
      <c r="B5977" s="4" t="s">
        <v>0</v>
      </c>
      <c r="C5977" s="4"/>
    </row>
    <row r="5978" spans="1:3" ht="24" customHeight="1">
      <c r="A5978" s="4" t="str">
        <f ca="1">IFERROR(__xludf.DUMMYFUNCTION("""COMPUTED_VALUE"""),"गतं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॥")</f>
        <v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</v>
      </c>
      <c r="B5978" s="4" t="s">
        <v>1</v>
      </c>
      <c r="C5978" s="4"/>
    </row>
    <row r="5979" spans="1:3" ht="24" customHeight="1">
      <c r="A5979" s="4" t="str">
        <f ca="1">IFERROR(__xludf.DUMMYFUNCTION("""COMPUTED_VALUE"""),"चयस्त्विषामित्यवधारितं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॥")</f>
        <v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</v>
      </c>
      <c r="B5979" s="4" t="s">
        <v>18</v>
      </c>
      <c r="C5979" s="4"/>
    </row>
    <row r="5980" spans="1:3" ht="24" customHeight="1">
      <c r="A5980" s="4" t="str">
        <f ca="1">IFERROR(__xludf.DUMMYFUNCTION("""COMPUTED_VALUE"""),"नवानधोsधो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॥")</f>
        <v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</v>
      </c>
      <c r="B5980" s="4" t="s">
        <v>1</v>
      </c>
      <c r="C5980" s="4"/>
    </row>
    <row r="5981" spans="1:3" ht="24" customHeight="1">
      <c r="A5981" s="4" t="str">
        <f ca="1">IFERROR(__xludf.DUMMYFUNCTION("""COMPUTED_VALUE"""),"दधानमम्भोरुहकेसरद्युती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॥")</f>
        <v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</v>
      </c>
      <c r="B5981" s="4" t="s">
        <v>4</v>
      </c>
      <c r="C5981" s="4"/>
    </row>
    <row r="5982" spans="1:3" ht="24" customHeight="1">
      <c r="A5982" s="4" t="str">
        <f ca="1">IFERROR(__xludf.DUMMYFUNCTION("""COMPUTED_VALUE"""),"पिशङ्गमौञ्जीयुजमर्जुनच्छविं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॥")</f>
        <v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</v>
      </c>
      <c r="B5982" s="4" t="s">
        <v>1</v>
      </c>
      <c r="C5982" s="4"/>
    </row>
    <row r="5983" spans="1:3" ht="24" customHeight="1">
      <c r="A5983" s="4" t="str">
        <f ca="1">IFERROR(__xludf.DUMMYFUNCTION("""COMPUTED_VALUE"""),"विहङ्गराजाङ्गरुहैरिवाततै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॥")</f>
        <v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</v>
      </c>
      <c r="B5983" s="4" t="s">
        <v>4</v>
      </c>
      <c r="C5983" s="4"/>
    </row>
    <row r="5984" spans="1:3" ht="24" customHeight="1">
      <c r="A5984" s="4" t="str">
        <f ca="1">IFERROR(__xludf.DUMMYFUNCTION("""COMPUTED_VALUE"""),"निसर्गचित्रोज्ज्वलसूक्ष्मपक्ष्म्णा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॥")</f>
        <v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</v>
      </c>
      <c r="B5984" s="4" t="s">
        <v>1</v>
      </c>
      <c r="C5984" s="4"/>
    </row>
    <row r="5985" spans="1:3" ht="24" customHeight="1">
      <c r="A5985" s="4" t="str">
        <f ca="1">IFERROR(__xludf.DUMMYFUNCTION("""COMPUTED_VALUE"""),"अजस्रमास्फालितवल्लकीगुण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॥")</f>
        <v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</v>
      </c>
      <c r="B5985" s="4" t="s">
        <v>5</v>
      </c>
      <c r="C5985" s="4"/>
    </row>
    <row r="5986" spans="1:3" ht="24" customHeight="1">
      <c r="A5986" s="4" t="str">
        <f ca="1">IFERROR(__xludf.DUMMYFUNCTION("""COMPUTED_VALUE"""),"रण्द्भिराघट्टनया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॥")</f>
        <v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</v>
      </c>
      <c r="B5986" s="4" t="s">
        <v>24</v>
      </c>
      <c r="C5986" s="4"/>
    </row>
    <row r="5987" spans="1:3" ht="24" customHeight="1">
      <c r="A5987" s="4" t="str">
        <f ca="1">IFERROR(__xludf.DUMMYFUNCTION("""COMPUTED_VALUE"""),"निवर्त्य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॥")</f>
        <v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</v>
      </c>
      <c r="B5987" s="4" t="s">
        <v>7</v>
      </c>
      <c r="C5987" s="4"/>
    </row>
    <row r="5988" spans="1:3" ht="24" customHeight="1">
      <c r="A5988" s="4" t="str">
        <f ca="1">IFERROR(__xludf.DUMMYFUNCTION("""COMPUTED_VALUE"""),"पतन्‌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॥")</f>
        <v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</v>
      </c>
      <c r="B5988" s="4" t="s">
        <v>2</v>
      </c>
      <c r="C5988" s="4"/>
    </row>
    <row r="5989" spans="1:3" ht="24" customHeight="1">
      <c r="A5989" s="4" t="str">
        <f ca="1">IFERROR(__xludf.DUMMYFUNCTION("""COMPUTED_VALUE"""),"अथ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॥")</f>
        <v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</v>
      </c>
      <c r="B5989" s="4" t="s">
        <v>11</v>
      </c>
      <c r="C5989" s="4"/>
    </row>
    <row r="5990" spans="1:3" ht="24" customHeight="1">
      <c r="A5990" s="4" t="str">
        <f ca="1">IFERROR(__xludf.DUMMYFUNCTION("""COMPUTED_VALUE"""),"तमर्घ्यमर्घ्यादिकयादिपूरुषः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॥")</f>
        <v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</v>
      </c>
      <c r="B5990" s="4" t="s">
        <v>7</v>
      </c>
      <c r="C5990" s="4"/>
    </row>
    <row r="5991" spans="1:3" ht="24" customHeight="1">
      <c r="A5991" s="4" t="str">
        <f ca="1">IFERROR(__xludf.DUMMYFUNCTION("""COMPUTED_VALUE"""),"न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॥")</f>
        <v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</v>
      </c>
      <c r="B5991" s="4" t="s">
        <v>8</v>
      </c>
      <c r="C5991" s="4"/>
    </row>
    <row r="5992" spans="1:3" ht="24" customHeight="1">
      <c r="A5992" s="4" t="str">
        <f ca="1">IFERROR(__xludf.DUMMYFUNCTION("""COMPUTED_VALUE"""),"महामहानीलशिलारुचः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॥")</f>
        <v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</v>
      </c>
      <c r="B5992" s="4" t="s">
        <v>2</v>
      </c>
      <c r="C5992" s="4"/>
    </row>
    <row r="5993" spans="1:3" ht="24" customHeight="1">
      <c r="A5993" s="4" t="str">
        <f ca="1">IFERROR(__xludf.DUMMYFUNCTION("""COMPUTED_VALUE"""),"विधाय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॥")</f>
        <v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</v>
      </c>
      <c r="B5993" s="4" t="s">
        <v>1</v>
      </c>
      <c r="C5993" s="4"/>
    </row>
    <row r="5994" spans="1:3" ht="24" customHeight="1">
      <c r="A5994" s="4" t="str">
        <f ca="1">IFERROR(__xludf.DUMMYFUNCTION("""COMPUTED_VALUE"""),"अशेषतीर्थीपहृताः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॥")</f>
        <v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</v>
      </c>
      <c r="B5994" s="4" t="s">
        <v>9</v>
      </c>
      <c r="C5994" s="4"/>
    </row>
    <row r="5995" spans="1:3" ht="24" customHeight="1">
      <c r="A5995" s="4" t="str">
        <f ca="1">IFERROR(__xludf.DUMMYFUNCTION("""COMPUTED_VALUE"""),"स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॥")</f>
        <v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</v>
      </c>
      <c r="B5995" s="4" t="s">
        <v>1</v>
      </c>
      <c r="C5995" s="4"/>
    </row>
    <row r="5996" spans="1:3" ht="24" customHeight="1">
      <c r="A5996" s="4" t="str">
        <f ca="1">IFERROR(__xludf.DUMMYFUNCTION("""COMPUTED_VALUE"""),"स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॥")</f>
        <v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</v>
      </c>
      <c r="B5996" s="4" t="s">
        <v>20</v>
      </c>
      <c r="C5996" s="4"/>
    </row>
    <row r="5997" spans="1:3" ht="24" customHeight="1">
      <c r="A5997" s="4" t="str">
        <f ca="1">IFERROR(__xludf.DUMMYFUNCTION("""COMPUTED_VALUE"""),"रथाङ्गपाणेः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॥")</f>
        <v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</v>
      </c>
      <c r="B5997" s="4" t="s">
        <v>4</v>
      </c>
      <c r="C5997" s="4"/>
    </row>
    <row r="5998" spans="1:3" ht="24" customHeight="1">
      <c r="A5998" s="4" t="str">
        <f ca="1">IFERROR(__xludf.DUMMYFUNCTION("""COMPUTED_VALUE"""),"प्रफुल्ततापिच्छनिभैरभीशुभिः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॥")</f>
        <v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</v>
      </c>
      <c r="B5998" s="4" t="s">
        <v>2</v>
      </c>
      <c r="C5998" s="4"/>
    </row>
    <row r="5999" spans="1:3" ht="24" customHeight="1">
      <c r="A5999" s="4" t="str">
        <f ca="1">IFERROR(__xludf.DUMMYFUNCTION("""COMPUTED_VALUE"""),"युगान्तकालप्रतिसंहृतात्मनो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॥")</f>
        <v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</v>
      </c>
      <c r="B5999" s="4" t="s">
        <v>17</v>
      </c>
      <c r="C5999" s="4"/>
    </row>
    <row r="6000" spans="1:3" ht="24" customHeight="1">
      <c r="A6000" s="4" t="str">
        <f ca="1">IFERROR(__xludf.DUMMYFUNCTION("""COMPUTED_VALUE"""),"निधाघधामानमिवाधिदीधितिं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॥")</f>
        <v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</v>
      </c>
      <c r="B6000" s="4" t="s">
        <v>4</v>
      </c>
      <c r="C6000" s="4"/>
    </row>
    <row r="6001" spans="1:3" ht="24" customHeight="1">
      <c r="A6001" s="4" t="str">
        <f ca="1">IFERROR(__xludf.DUMMYFUNCTION("""COMPUTED_VALUE"""),"सितं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॥")</f>
        <v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</v>
      </c>
      <c r="B6001" s="4" t="s">
        <v>2</v>
      </c>
      <c r="C6001" s="4"/>
    </row>
    <row r="6002" spans="1:3" ht="24" customHeight="1">
      <c r="A6002" s="4" t="str">
        <f ca="1">IFERROR(__xludf.DUMMYFUNCTION("""COMPUTED_VALUE"""),"हरत्ययं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॥")</f>
        <v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</v>
      </c>
      <c r="B6002" s="4" t="s">
        <v>2</v>
      </c>
      <c r="C6002" s="4"/>
    </row>
    <row r="6003" spans="1:3" ht="24" customHeight="1">
      <c r="A6003" s="4" t="str">
        <f ca="1">IFERROR(__xludf.DUMMYFUNCTION("""COMPUTED_VALUE"""),"जगत्यपर्याप्तसहस्रभानुना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॥")</f>
        <v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</v>
      </c>
      <c r="B6003" s="4" t="s">
        <v>12</v>
      </c>
      <c r="C6003" s="4"/>
    </row>
    <row r="6004" spans="1:3" ht="24" customHeight="1">
      <c r="A6004" s="4" t="str">
        <f ca="1">IFERROR(__xludf.DUMMYFUNCTION("""COMPUTED_VALUE"""),"कृतः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॥")</f>
        <v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</v>
      </c>
      <c r="B6004" s="4" t="s">
        <v>4</v>
      </c>
      <c r="C6004" s="4"/>
    </row>
    <row r="6005" spans="1:3" ht="24" customHeight="1">
      <c r="A6005" s="4" t="str">
        <f ca="1">IFERROR(__xludf.DUMMYFUNCTION("""COMPUTED_VALUE"""),"विलोकनेनैव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॥")</f>
        <v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</v>
      </c>
      <c r="B6005" s="4" t="s">
        <v>2</v>
      </c>
      <c r="C6005" s="4"/>
    </row>
    <row r="6006" spans="1:3" ht="24" customHeight="1">
      <c r="A6006" s="4" t="str">
        <f ca="1">IFERROR(__xludf.DUMMYFUNCTION("""COMPUTED_VALUE"""),"गतस्पृहो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॥")</f>
        <v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</v>
      </c>
      <c r="B6006" s="4" t="s">
        <v>2</v>
      </c>
      <c r="C6006" s="4"/>
    </row>
    <row r="6007" spans="1:3" ht="24" customHeight="1">
      <c r="A6007" s="4" t="str">
        <f ca="1">IFERROR(__xludf.DUMMYFUNCTION("""COMPUTED_VALUE"""),"इति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॥")</f>
        <v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</v>
      </c>
      <c r="B6007" s="4" t="s">
        <v>9</v>
      </c>
      <c r="C6007" s="4"/>
    </row>
    <row r="6008" spans="1:3" ht="24" customHeight="1">
      <c r="A6008" s="4" t="str">
        <f ca="1">IFERROR(__xludf.DUMMYFUNCTION("""COMPUTED_VALUE"""),"उदीर्णरागप्रतिरोधकं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॥")</f>
        <v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</v>
      </c>
      <c r="B6008" s="4" t="s">
        <v>5</v>
      </c>
      <c r="C6008" s="4"/>
    </row>
    <row r="6009" spans="1:3" ht="24" customHeight="1">
      <c r="A6009" s="4" t="str">
        <f ca="1">IFERROR(__xludf.DUMMYFUNCTION("""COMPUTED_VALUE"""),"उदासितारं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॥")</f>
        <v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</v>
      </c>
      <c r="B6009" s="4" t="s">
        <v>17</v>
      </c>
      <c r="C6009" s="4"/>
    </row>
    <row r="6010" spans="1:3" ht="24" customHeight="1">
      <c r="A6010" s="4" t="str">
        <f ca="1">IFERROR(__xludf.DUMMYFUNCTION("""COMPUTED_VALUE"""),"निवेशयामासिथ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॥")</f>
        <v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</v>
      </c>
      <c r="B6010" s="4" t="s">
        <v>11</v>
      </c>
      <c r="C6010" s="4"/>
    </row>
    <row r="6011" spans="1:3" ht="24" customHeight="1">
      <c r="A6011" s="4" t="str">
        <f ca="1">IFERROR(__xludf.DUMMYFUNCTION("""COMPUTED_VALUE"""),"अनन्यगुर्व्यास्तव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॥")</f>
        <v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</v>
      </c>
      <c r="B6011" s="4" t="s">
        <v>20</v>
      </c>
      <c r="C6011" s="4"/>
    </row>
    <row r="6012" spans="1:3" ht="24" customHeight="1">
      <c r="A6012" s="4" t="str">
        <f ca="1">IFERROR(__xludf.DUMMYFUNCTION("""COMPUTED_VALUE"""),"लघूकरिष्यन्नतिभारभङ्गुराममूं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॥")</f>
        <v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</v>
      </c>
      <c r="B6012" s="4" t="s">
        <v>5</v>
      </c>
      <c r="C6012" s="4"/>
    </row>
    <row r="6013" spans="1:3" ht="24" customHeight="1">
      <c r="A6013" s="4" t="str">
        <f ca="1">IFERROR(__xludf.DUMMYFUNCTION("""COMPUTED_VALUE"""),"निजौजसोज्जासयितुं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॥")</f>
        <v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</v>
      </c>
      <c r="B6013" s="4" t="s">
        <v>8</v>
      </c>
      <c r="C6013" s="4"/>
    </row>
    <row r="6014" spans="1:3" ht="24" customHeight="1">
      <c r="A6014" s="4" t="str">
        <f ca="1">IFERROR(__xludf.DUMMYFUNCTION("""COMPUTED_VALUE"""),"उपप्लुतं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॥")</f>
        <v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</v>
      </c>
      <c r="B6014" s="4" t="s">
        <v>6</v>
      </c>
      <c r="C6014" s="4"/>
    </row>
    <row r="6015" spans="1:3" ht="24" customHeight="1">
      <c r="A6015" s="4" t="str">
        <f ca="1">IFERROR(__xludf.DUMMYFUNCTION("""COMPUTED_VALUE"""),"करोति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॥")</f>
        <v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</v>
      </c>
      <c r="B6015" s="4" t="s">
        <v>5</v>
      </c>
      <c r="C6015" s="4"/>
    </row>
    <row r="6016" spans="1:3" ht="24" customHeight="1">
      <c r="A6016" s="4" t="str">
        <f ca="1">IFERROR(__xludf.DUMMYFUNCTION("""COMPUTED_VALUE"""),"प्रवृत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॥")</f>
        <v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</v>
      </c>
      <c r="B6016" s="4" t="s">
        <v>1</v>
      </c>
      <c r="C6016" s="4"/>
    </row>
    <row r="6017" spans="1:3" ht="24" customHeight="1">
      <c r="A6017" s="4" t="str">
        <f ca="1">IFERROR(__xludf.DUMMYFUNCTION("""COMPUTED_VALUE"""),"तदिन्द्रसंदिष्टमुपेन्द्र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॥")</f>
        <v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</v>
      </c>
      <c r="B6017" s="4" t="s">
        <v>2</v>
      </c>
      <c r="C6017" s="4"/>
    </row>
    <row r="6018" spans="1:3" ht="24" customHeight="1">
      <c r="A6018" s="4" t="str">
        <f ca="1">IFERROR(__xludf.DUMMYFUNCTION("""COMPUTED_VALUE"""),"अभूदभूमिः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॥")</f>
        <v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</v>
      </c>
      <c r="B6018" s="4" t="s">
        <v>2</v>
      </c>
      <c r="C6018" s="4"/>
    </row>
    <row r="6019" spans="1:3" ht="24" customHeight="1">
      <c r="A6019" s="4" t="str">
        <f ca="1">IFERROR(__xludf.DUMMYFUNCTION("""COMPUTED_VALUE"""),"समत्सरेणासुर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॥")</f>
        <v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</v>
      </c>
      <c r="B6019" s="4" t="s">
        <v>2</v>
      </c>
      <c r="C6019" s="4"/>
    </row>
    <row r="6020" spans="1:3" ht="24" customHeight="1">
      <c r="A6020" s="4" t="str">
        <f ca="1">IFERROR(__xludf.DUMMYFUNCTION("""COMPUTED_VALUE"""),"दिशामधीशांश्चतुरो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॥")</f>
        <v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</v>
      </c>
      <c r="B6020" s="4" t="s">
        <v>5</v>
      </c>
      <c r="C6020" s="4"/>
    </row>
    <row r="6021" spans="1:3" ht="24" customHeight="1">
      <c r="A6021" s="4" t="str">
        <f ca="1">IFERROR(__xludf.DUMMYFUNCTION("""COMPUTED_VALUE"""),"पुराणि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॥")</f>
        <v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</v>
      </c>
      <c r="B6021" s="4" t="s">
        <v>0</v>
      </c>
      <c r="C6021" s="4"/>
    </row>
    <row r="6022" spans="1:3" ht="24" customHeight="1">
      <c r="A6022" s="4" t="str">
        <f ca="1">IFERROR(__xludf.DUMMYFUNCTION("""COMPUTED_VALUE"""),"स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॥")</f>
        <v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</v>
      </c>
      <c r="B6022" s="4" t="s">
        <v>12</v>
      </c>
      <c r="C6022" s="4"/>
    </row>
    <row r="6023" spans="1:3" ht="24" customHeight="1">
      <c r="A6023" s="4" t="str">
        <f ca="1">IFERROR(__xludf.DUMMYFUNCTION("""COMPUTED_VALUE"""),"सटच्छटाभिन्नधनेन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॥")</f>
        <v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</v>
      </c>
      <c r="B6023" s="4" t="s">
        <v>14</v>
      </c>
      <c r="C6023" s="4"/>
    </row>
    <row r="6024" spans="1:3" ht="24" customHeight="1">
      <c r="A6024" s="4" t="str">
        <f ca="1">IFERROR(__xludf.DUMMYFUNCTION("""COMPUTED_VALUE"""),"विनोदनिच्छन्नथ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॥")</f>
        <v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</v>
      </c>
      <c r="B6024" s="4" t="s">
        <v>4</v>
      </c>
      <c r="C6024" s="4"/>
    </row>
    <row r="6025" spans="1:3" ht="24" customHeight="1">
      <c r="A6025" s="4" t="str">
        <f ca="1">IFERROR(__xludf.DUMMYFUNCTION("""COMPUTED_VALUE"""),"प्रभुर्बुभूषुर्भवनत्रयस्य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॥")</f>
        <v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</v>
      </c>
      <c r="B6025" s="4" t="s">
        <v>1</v>
      </c>
      <c r="C6025" s="4"/>
    </row>
    <row r="6026" spans="1:3" ht="24" customHeight="1">
      <c r="A6026" s="4" t="str">
        <f ca="1">IFERROR(__xludf.DUMMYFUNCTION("""COMPUTED_VALUE"""),"समुत्क्षिपन्‌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॥")</f>
        <v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</v>
      </c>
      <c r="B6026" s="4" t="s">
        <v>5</v>
      </c>
      <c r="C6026" s="4"/>
    </row>
    <row r="6027" spans="1:3" ht="24" customHeight="1">
      <c r="A6027" s="4" t="str">
        <f ca="1">IFERROR(__xludf.DUMMYFUNCTION("""COMPUTED_VALUE"""),"पुरीमवस्कन्द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॥")</f>
        <v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</v>
      </c>
      <c r="B6027" s="4" t="s">
        <v>4</v>
      </c>
      <c r="C6027" s="4"/>
    </row>
    <row r="6028" spans="1:3" ht="24" customHeight="1">
      <c r="A6028" s="4" t="str">
        <f ca="1">IFERROR(__xludf.DUMMYFUNCTION("""COMPUTED_VALUE"""),"सलीलयातानि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॥")</f>
        <v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</v>
      </c>
      <c r="B6028" s="4" t="s">
        <v>2</v>
      </c>
      <c r="C6028" s="4"/>
    </row>
    <row r="6029" spans="1:3" ht="24" customHeight="1">
      <c r="A6029" s="4" t="str">
        <f ca="1">IFERROR(__xludf.DUMMYFUNCTION("""COMPUTED_VALUE"""),"अश्क्नुवन्‌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॥")</f>
        <v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</v>
      </c>
      <c r="B6029" s="4" t="s">
        <v>19</v>
      </c>
      <c r="C6029" s="4"/>
    </row>
    <row r="6030" spans="1:3" ht="24" customHeight="1">
      <c r="A6030" s="4" t="str">
        <f ca="1">IFERROR(__xludf.DUMMYFUNCTION("""COMPUTED_VALUE"""),"बृहच्छिलानिष्ठुरकण्ठघट्टनाविकीर्णलोलाग्निकणं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॥")</f>
        <v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</v>
      </c>
      <c r="B6030" s="4" t="s">
        <v>0</v>
      </c>
      <c r="C6030" s="4"/>
    </row>
    <row r="6031" spans="1:3" ht="24" customHeight="1">
      <c r="A6031" s="4" t="str">
        <f ca="1">IFERROR(__xludf.DUMMYFUNCTION("""COMPUTED_VALUE"""),"विभिन्नशङ्खः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॥")</f>
        <v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</v>
      </c>
      <c r="B6031" s="4" t="s">
        <v>18</v>
      </c>
      <c r="C6031" s="4"/>
    </row>
    <row r="6032" spans="1:3" ht="24" customHeight="1">
      <c r="A6032" s="4" t="str">
        <f ca="1">IFERROR(__xludf.DUMMYFUNCTION("""COMPUTED_VALUE"""),"रणेषु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॥")</f>
        <v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</v>
      </c>
      <c r="B6032" s="4" t="s">
        <v>0</v>
      </c>
      <c r="C6032" s="4"/>
    </row>
    <row r="6033" spans="1:3" ht="24" customHeight="1">
      <c r="A6033" s="4" t="str">
        <f ca="1">IFERROR(__xludf.DUMMYFUNCTION("""COMPUTED_VALUE"""),"परेतभर्तुर्महिषो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॥")</f>
        <v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</v>
      </c>
      <c r="B6033" s="4" t="s">
        <v>0</v>
      </c>
      <c r="C6033" s="4"/>
    </row>
    <row r="6034" spans="1:3" ht="24" customHeight="1">
      <c r="A6034" s="4" t="str">
        <f ca="1">IFERROR(__xludf.DUMMYFUNCTION("""COMPUTED_VALUE"""),"स्पृशन्‌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॥")</f>
        <v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</v>
      </c>
      <c r="B6034" s="4" t="s">
        <v>0</v>
      </c>
      <c r="C6034" s="4"/>
    </row>
    <row r="6035" spans="1:3" ht="24" customHeight="1">
      <c r="A6035" s="4" t="str">
        <f ca="1">IFERROR(__xludf.DUMMYFUNCTION("""COMPUTED_VALUE"""),"कलासमग्रेणा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॥")</f>
        <v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</v>
      </c>
      <c r="B6035" s="4" t="s">
        <v>1</v>
      </c>
      <c r="C6035" s="4"/>
    </row>
    <row r="6036" spans="1:3" ht="24" customHeight="1">
      <c r="A6036" s="4" t="str">
        <f ca="1">IFERROR(__xludf.DUMMYFUNCTION("""COMPUTED_VALUE"""),"विदग्धलीलोचितदन्तपत्रिकाचिकीर्षय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॥")</f>
        <v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</v>
      </c>
      <c r="B6036" s="4" t="s">
        <v>2</v>
      </c>
      <c r="C6036" s="4"/>
    </row>
    <row r="6037" spans="1:3" ht="24" customHeight="1">
      <c r="A6037" s="4" t="str">
        <f ca="1">IFERROR(__xludf.DUMMYFUNCTION("""COMPUTED_VALUE"""),"निशान्तनारीपरिधानधूननस्फुटागसाप्यूरुषु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॥")</f>
        <v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</v>
      </c>
      <c r="B6037" s="4" t="s">
        <v>0</v>
      </c>
      <c r="C6037" s="4"/>
    </row>
    <row r="6038" spans="1:3" ht="24" customHeight="1">
      <c r="A6038" s="4" t="str">
        <f ca="1">IFERROR(__xludf.DUMMYFUNCTION("""COMPUTED_VALUE"""),"तिरस्कृतस्तस्य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॥")</f>
        <v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</v>
      </c>
      <c r="B6038" s="4" t="s">
        <v>3</v>
      </c>
      <c r="C6038" s="4"/>
    </row>
    <row r="6039" spans="1:3" ht="24" customHeight="1">
      <c r="A6039" s="4" t="str">
        <f ca="1">IFERROR(__xludf.DUMMYFUNCTION("""COMPUTED_VALUE"""),"तदीयमातङ्गघटाविघट्टितैः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॥")</f>
        <v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</v>
      </c>
      <c r="B6039" s="4" t="s">
        <v>3</v>
      </c>
      <c r="C6039" s="4"/>
    </row>
    <row r="6040" spans="1:3" ht="24" customHeight="1">
      <c r="A6040" s="4" t="str">
        <f ca="1">IFERROR(__xludf.DUMMYFUNCTION("""COMPUTED_VALUE"""),"परस्य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॥")</f>
        <v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</v>
      </c>
      <c r="B6040" s="4" t="s">
        <v>2</v>
      </c>
      <c r="C6040" s="4"/>
    </row>
    <row r="6041" spans="1:3" ht="24" customHeight="1">
      <c r="A6041" s="4" t="str">
        <f ca="1">IFERROR(__xludf.DUMMYFUNCTION("""COMPUTED_VALUE"""),"तपेन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॥")</f>
        <v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</v>
      </c>
      <c r="B6041" s="4" t="s">
        <v>20</v>
      </c>
      <c r="C6041" s="4"/>
    </row>
    <row r="6042" spans="1:3" ht="24" customHeight="1">
      <c r="A6042" s="4" t="str">
        <f ca="1">IFERROR(__xludf.DUMMYFUNCTION("""COMPUTED_VALUE"""),"अभीक्ष्णमुष्णैरपि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॥")</f>
        <v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</v>
      </c>
      <c r="B6042" s="4" t="s">
        <v>4</v>
      </c>
      <c r="C6042" s="4"/>
    </row>
    <row r="6043" spans="1:3" ht="24" customHeight="1">
      <c r="A6043" s="4" t="str">
        <f ca="1">IFERROR(__xludf.DUMMYFUNCTION("""COMPUTED_VALUE"""),"अमानवं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॥")</f>
        <v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</v>
      </c>
      <c r="B6043" s="4" t="s">
        <v>1</v>
      </c>
      <c r="C6043" s="4"/>
    </row>
    <row r="6044" spans="1:3" ht="24" customHeight="1">
      <c r="A6044" s="4" t="str">
        <f ca="1">IFERROR(__xludf.DUMMYFUNCTION("""COMPUTED_VALUE"""),"स्मरस्यदो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॥")</f>
        <v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</v>
      </c>
      <c r="B6044" s="4" t="s">
        <v>2</v>
      </c>
      <c r="C6044" s="4"/>
    </row>
    <row r="6045" spans="1:3" ht="24" customHeight="1">
      <c r="A6045" s="4" t="str">
        <f ca="1">IFERROR(__xludf.DUMMYFUNCTION("""COMPUTED_VALUE"""),"अथोपपत्तिं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॥")</f>
        <v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</v>
      </c>
      <c r="B6045" s="4" t="s">
        <v>0</v>
      </c>
      <c r="C6045" s="4"/>
    </row>
    <row r="6046" spans="1:3" ht="24" customHeight="1">
      <c r="A6046" s="4" t="str">
        <f ca="1">IFERROR(__xludf.DUMMYFUNCTION("""COMPUTED_VALUE"""),"स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॥")</f>
        <v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</v>
      </c>
      <c r="B6046" s="4" t="s">
        <v>4</v>
      </c>
      <c r="C6046" s="4"/>
    </row>
    <row r="6047" spans="1:3" ht="24" customHeight="1">
      <c r="A6047" s="4" t="str">
        <f ca="1">IFERROR(__xludf.DUMMYFUNCTION("""COMPUTED_VALUE"""),"स्वयं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॥")</f>
        <v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</v>
      </c>
      <c r="B6047" s="4" t="s">
        <v>18</v>
      </c>
      <c r="C6047" s="4"/>
    </row>
    <row r="6048" spans="1:3" ht="24" customHeight="1">
      <c r="A6048" s="4" t="str">
        <f ca="1">IFERROR(__xludf.DUMMYFUNCTION("""COMPUTED_VALUE"""),"बलावलेपादधुनापि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॥")</f>
        <v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</v>
      </c>
      <c r="B6048" s="4" t="s">
        <v>9</v>
      </c>
      <c r="C6048" s="4"/>
    </row>
    <row r="6049" spans="1:3" ht="24" customHeight="1">
      <c r="A6049" s="4" t="str">
        <f ca="1">IFERROR(__xludf.DUMMYFUNCTION("""COMPUTED_VALUE"""),"तदेनमुल्लङ्घितशासनं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॥")</f>
        <v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</v>
      </c>
      <c r="B6049" s="4" t="s">
        <v>4</v>
      </c>
      <c r="C6049" s="4"/>
    </row>
    <row r="6050" spans="1:3" ht="24" customHeight="1">
      <c r="A6050" s="4" t="str">
        <f ca="1">IFERROR(__xludf.DUMMYFUNCTION("""COMPUTED_VALUE"""),"हृदयमरिवधोदयादुपोढद्रढिम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॥")</f>
        <v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</v>
      </c>
      <c r="B6050" s="4" t="s">
        <v>4</v>
      </c>
      <c r="C6050" s="4"/>
    </row>
    <row r="6051" spans="1:3" ht="24" customHeight="1">
      <c r="A6051" s="4" t="str">
        <f ca="1">IFERROR(__xludf.DUMMYFUNCTION("""COMPUTED_VALUE"""),"ओमित्युक्तवतो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॥")</f>
        <v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</v>
      </c>
      <c r="B6051" s="4" t="s">
        <v>17</v>
      </c>
      <c r="C6051" s="4"/>
    </row>
    <row r="6052" spans="1:3" ht="24" customHeight="1">
      <c r="A6052" s="4" t="str">
        <f ca="1">IFERROR(__xludf.DUMMYFUNCTION("""COMPUTED_VALUE"""),"यियक्षमाणेनाहूतः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॥")</f>
        <v>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</v>
      </c>
      <c r="B6052" s="4" t="s">
        <v>11</v>
      </c>
      <c r="C6052" s="4"/>
    </row>
    <row r="6053" spans="1:3" ht="24" customHeight="1">
      <c r="A6053" s="4" t="str">
        <f ca="1">IFERROR(__xludf.DUMMYFUNCTION("""COMPUTED_VALUE"""),"सार्धमुद्धवसीरिभ्यामथासावासदत्सदः । गुरूकाव्यानुगां बिभ्रच्चान्द्रीमभिनभः श्रियम्‌ ॥ शिशुपाल  २.२ ॥")</f>
        <v>सार्धमुद्धवसीरिभ्यामथासावासदत्सदः । गुरूकाव्यानुगां बिभ्रच्चान्द्रीमभिनभः श्रियम्‌ ॥ शिशुपाल  २.२ ॥</v>
      </c>
      <c r="B6053" s="4" t="s">
        <v>5</v>
      </c>
      <c r="C6053" s="4"/>
    </row>
    <row r="6054" spans="1:3" ht="24" customHeight="1">
      <c r="A6054" s="4" t="str">
        <f ca="1">IFERROR(__xludf.DUMMYFUNCTION("""COMPUTED_VALUE"""),"जाज्वल्यमाना जगतः शान्तये समुपेयुषी । व्यद्योतिष्ट सभावेद्यामसौ नरशिखित्रयी ॥ शिशुपाल  २.३ ॥")</f>
        <v>जाज्वल्यमाना जगतः शान्तये समुपेयुषी । व्यद्योतिष्ट सभावेद्यामसौ नरशिखित्रयी ॥ शिशुपाल  २.३ ॥</v>
      </c>
      <c r="B6054" s="4" t="s">
        <v>5</v>
      </c>
      <c r="C6054" s="4"/>
    </row>
    <row r="6055" spans="1:3" ht="24" customHeight="1">
      <c r="A6055" s="4" t="str">
        <f ca="1">IFERROR(__xludf.DUMMYFUNCTION("""COMPUTED_VALUE"""),"रत्नस्तम्भेषु संक्रान्तप्रतिमास्ते चकाशिरे । एकाकिनो पि परितः पौरुषेयवृता इव ॥ शिशुपाल  २.४ ॥")</f>
        <v>रत्नस्तम्भेषु संक्रान्तप्रतिमास्ते चकाशिरे । एकाकिनो पि परितः पौरुषेयवृता इव ॥ शिशुपाल  २.४ ॥</v>
      </c>
      <c r="B6055" s="4" t="s">
        <v>4</v>
      </c>
      <c r="C6055" s="4"/>
    </row>
    <row r="6056" spans="1:3" ht="24" customHeight="1">
      <c r="A6056" s="4" t="str">
        <f ca="1">IFERROR(__xludf.DUMMYFUNCTION("""COMPUTED_VALUE"""),"अध्यासामासुरुत्तुङ्गहेमपीठानि यान्यमी । तैरुहे केसरिक्रान्तत्रिकूटशिखरोपमा ॥ शिशुपाल  २.५ ॥")</f>
        <v>अध्यासामासुरुत्तुङ्गहेमपीठानि यान्यमी । तैरुहे केसरिक्रान्तत्रिकूटशिखरोपमा ॥ शिशुपाल  २.५ ॥</v>
      </c>
      <c r="B6056" s="4" t="s">
        <v>12</v>
      </c>
      <c r="C6056" s="4"/>
    </row>
    <row r="6057" spans="1:3" ht="24" customHeight="1">
      <c r="A6057" s="4" t="str">
        <f ca="1">IFERROR(__xludf.DUMMYFUNCTION("""COMPUTED_VALUE"""),"गुरूभयस्मै गुरुणोरुभयोरथ कार्ययोः । हरिर्विप्रतिषेधं तमाचचक्षे विचक्षणः ॥ शिशुपाल  २.६ ॥")</f>
        <v>गुरूभयस्मै गुरुणोरुभयोरथ कार्ययोः । हरिर्विप्रतिषेधं तमाचचक्षे विचक्षणः ॥ शिशुपाल  २.६ ॥</v>
      </c>
      <c r="B6057" s="4" t="s">
        <v>7</v>
      </c>
      <c r="C6057" s="4"/>
    </row>
    <row r="6058" spans="1:3" ht="24" customHeight="1">
      <c r="A6058" s="4" t="str">
        <f ca="1">IFERROR(__xludf.DUMMYFUNCTION("""COMPUTED_VALUE"""),"द्योतितान्तःसभैः कुन्दकुड्मलाग्रदतः स्मितः । स्नपितेवाभवत्‌ तस्य शुद्धवर्णा सरस्वती ॥ शिशुपाल  २.७ ॥")</f>
        <v>द्योतितान्तःसभैः कुन्दकुड्मलाग्रदतः स्मितः । स्नपितेवाभवत्‌ तस्य शुद्धवर्णा सरस्वती ॥ शिशुपाल  २.७ ॥</v>
      </c>
      <c r="B6058" s="4" t="s">
        <v>2</v>
      </c>
      <c r="C6058" s="4"/>
    </row>
    <row r="6059" spans="1:3" ht="24" customHeight="1">
      <c r="A6059" s="4" t="str">
        <f ca="1">IFERROR(__xludf.DUMMYFUNCTION("""COMPUTED_VALUE"""),"भवद्गिरामवसरप्रदानाय वचांसि नः । पूर्वरङ्गः प्रसङ्गाय नाटकीयस्य वस्तुनः ॥ शिशुपाल  २.८ ॥")</f>
        <v>भवद्गिरामवसरप्रदानाय वचांसि नः । पूर्वरङ्गः प्रसङ्गाय नाटकीयस्य वस्तुनः ॥ शिशुपाल  २.८ ॥</v>
      </c>
      <c r="B6059" s="4" t="s">
        <v>1</v>
      </c>
      <c r="C6059" s="4"/>
    </row>
    <row r="6060" spans="1:3" ht="24" customHeight="1">
      <c r="A6060" s="4" t="str">
        <f ca="1">IFERROR(__xludf.DUMMYFUNCTION("""COMPUTED_VALUE"""),"करदीकृतभूपालो भ्रातृभिर्जित्वरैर्दिशाम्‌ । विनाप्यस्मदलंभूष्णुरिज्यायै तपसः सुतः ॥ शिशुपाल  २.९ ॥")</f>
        <v>करदीकृतभूपालो भ्रातृभिर्जित्वरैर्दिशाम्‌ । विनाप्यस्मदलंभूष्णुरिज्यायै तपसः सुतः ॥ शिशुपाल  २.९ ॥</v>
      </c>
      <c r="B6060" s="4" t="s">
        <v>2</v>
      </c>
      <c r="C6060" s="4"/>
    </row>
    <row r="6061" spans="1:3" ht="24" customHeight="1">
      <c r="A6061" s="4" t="str">
        <f ca="1">IFERROR(__xludf.DUMMYFUNCTION("""COMPUTED_VALUE"""),"उत्तिष्ठमानस्तु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॥")</f>
        <v>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</v>
      </c>
      <c r="B6061" s="4" t="s">
        <v>16</v>
      </c>
      <c r="C6061" s="4"/>
    </row>
    <row r="6062" spans="1:3" ht="24" customHeight="1">
      <c r="A6062" s="4" t="str">
        <f ca="1">IFERROR(__xludf.DUMMYFUNCTION("""COMPUTED_VALUE"""),"न दूये सात्वतीसूनुर्यन्मह्यमपराध्यति । यतु ददह्यते लोकमतो दुःखाकरोति माम्‌ ॥ शिशुपाल  २.११ ॥")</f>
        <v>न दूये सात्वतीसूनुर्यन्मह्यमपराध्यति । यतु ददह्यते लोकमतो दुःखाकरोति माम्‌ ॥ शिशुपाल  २.११ ॥</v>
      </c>
      <c r="B6062" s="4" t="s">
        <v>12</v>
      </c>
      <c r="C6062" s="4"/>
    </row>
    <row r="6063" spans="1:3" ht="24" customHeight="1">
      <c r="A6063" s="4" t="str">
        <f ca="1">IFERROR(__xludf.DUMMYFUNCTION("""COMPUTED_VALUE"""),"मम तावन्मतमदः श्रूयतामङ्ग वामपि” । ज्ञातसारे पि खल्वेकः संदिग्धे कार्यवस्तुनि ॥ शिशुपाल  २.१२ ॥")</f>
        <v>मम तावन्मतमदः श्रूयतामङ्ग वामपि” । ज्ञातसारे पि खल्वेकः संदिग्धे कार्यवस्तुनि ॥ शिशुपाल  २.१२ ॥</v>
      </c>
      <c r="B6063" s="4" t="s">
        <v>1</v>
      </c>
      <c r="C6063" s="4"/>
    </row>
    <row r="6064" spans="1:3" ht="24" customHeight="1">
      <c r="A6064" s="4" t="str">
        <f ca="1">IFERROR(__xludf.DUMMYFUNCTION("""COMPUTED_VALUE"""),"यावदर्थपदां वाचमेवमादाय माधवः । विरराम महीयांसः प्रकृत्या मितभाषिणः ॥ शिशुपाल  २.१३ ॥")</f>
        <v>यावदर्थपदां वाचमेवमादाय माधवः । विरराम महीयांसः प्रकृत्या मितभाषिणः ॥ शिशुपाल  २.१३ ॥</v>
      </c>
      <c r="B6064" s="4" t="s">
        <v>7</v>
      </c>
      <c r="C6064" s="4"/>
    </row>
    <row r="6065" spans="1:3" ht="24" customHeight="1">
      <c r="A6065" s="4" t="str">
        <f ca="1">IFERROR(__xludf.DUMMYFUNCTION("""COMPUTED_VALUE"""),"ततः सपत्नापनयस्मरणानुशयस्फुरा । ओष्ठेन रामो रामौष्ठबिम्बचुम्बनचुञ्चुना ॥ शिशुपाल  २.१४ ॥")</f>
        <v>ततः सपत्नापनयस्मरणानुशयस्फुरा । ओष्ठेन रामो रामौष्ठबिम्बचुम्बनचुञ्चुना ॥ शिशुपाल  २.१४ ॥</v>
      </c>
      <c r="B6065" s="4" t="s">
        <v>1</v>
      </c>
      <c r="C6065" s="4"/>
    </row>
    <row r="6066" spans="1:3" ht="24" customHeight="1">
      <c r="A6066" s="4" t="str">
        <f ca="1">IFERROR(__xludf.DUMMYFUNCTION("""COMPUTED_VALUE"""),"विवक्षितामर्थविदस्तत्क्षणं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॥")</f>
        <v>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</v>
      </c>
      <c r="B6066" s="4" t="s">
        <v>2</v>
      </c>
      <c r="C6066" s="4"/>
    </row>
    <row r="6067" spans="1:3" ht="24" customHeight="1">
      <c r="A6067" s="4" t="str">
        <f ca="1">IFERROR(__xludf.DUMMYFUNCTION("""COMPUTED_VALUE"""),"घूर्णयन्‌ मदिरास्वादमदपाटलितद्युती । रेवतीदशनोच्छिष्टपरिपूतपुटे दृशौ ॥ शिशुपाल  २.१६ ॥")</f>
        <v>घूर्णयन्‌ मदिरास्वादमदपाटलितद्युती । रेवतीदशनोच्छिष्टपरिपूतपुटे दृशौ ॥ शिशुपाल  २.१६ ॥</v>
      </c>
      <c r="B6067" s="4" t="s">
        <v>8</v>
      </c>
      <c r="C6067" s="4"/>
    </row>
    <row r="6068" spans="1:3" ht="24" customHeight="1">
      <c r="A6068" s="4" t="str">
        <f ca="1">IFERROR(__xludf.DUMMYFUNCTION("""COMPUTED_VALUE"""),"आश्लेषलोलुपवधूस्तनकार्कश्यसाक्षिनीम्‌ । म्लापयन्नभिमानोष्णैर्वनमालां मुखानिलैः ॥ शिशुपाल  २.१७ ॥")</f>
        <v>आश्लेषलोलुपवधूस्तनकार्कश्यसाक्षिनीम्‌ । म्लापयन्नभिमानोष्णैर्वनमालां मुखानिलैः ॥ शिशुपाल  २.१७ ॥</v>
      </c>
      <c r="B6068" s="4" t="s">
        <v>11</v>
      </c>
      <c r="C6068" s="4"/>
    </row>
    <row r="6069" spans="1:3" ht="24" customHeight="1">
      <c r="A6069" s="4" t="str">
        <f ca="1">IFERROR(__xludf.DUMMYFUNCTION("""COMPUTED_VALUE"""),"दधत्‌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॥")</f>
        <v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</v>
      </c>
      <c r="B6069" s="4" t="s">
        <v>13</v>
      </c>
      <c r="C6069" s="4"/>
    </row>
    <row r="6070" spans="1:3" ht="24" customHeight="1">
      <c r="A6070" s="4" t="str">
        <f ca="1">IFERROR(__xludf.DUMMYFUNCTION("""COMPUTED_VALUE"""),"प्रोल्लसत्कूण्डलप्रोतपद्मरागदलत्विषा । कृष्णोत्तरासङ्गरुचिं विदधच्चूतपल्लवीम्‌ ॥ शिशुपाल  २.१९ ॥")</f>
        <v>प्रोल्लसत्कूण्डलप्रोतपद्मरागदलत्विषा । कृष्णोत्तरासङ्गरुचिं विदधच्चूतपल्लवीम्‌ ॥ शिशुपाल  २.१९ ॥</v>
      </c>
      <c r="B6070" s="4" t="s">
        <v>4</v>
      </c>
      <c r="C6070" s="4"/>
    </row>
    <row r="6071" spans="1:3" ht="24" customHeight="1">
      <c r="A6071" s="4" t="str">
        <f ca="1">IFERROR(__xludf.DUMMYFUNCTION("""COMPUTED_VALUE"""),"ककुद्मिकन्यावक्तान्तर्वासलब्धाधिवासया । मुखामोदं मदिरया कृतानुव्याधमुद्वम‌न्‌ ॥ शिशुपाल  २.२० ॥")</f>
        <v>ककुद्मिकन्यावक्तान्तर्वासलब्धाधिवासया । मुखामोदं मदिरया कृतानुव्याधमुद्वम‌न्‌ ॥ शिशुपाल  २.२० ॥</v>
      </c>
      <c r="B6071" s="4" t="s">
        <v>12</v>
      </c>
      <c r="C6071" s="4"/>
    </row>
    <row r="6072" spans="1:3" ht="24" customHeight="1">
      <c r="A6072" s="4" t="str">
        <f ca="1">IFERROR(__xludf.DUMMYFUNCTION("""COMPUTED_VALUE"""),"जगादवदनच्छद्मपद्मपर्अन्तपातिनः । नयन्‌ मधुलिहः श्वैत्यमुदंशुदशनांशुभिः ॥ शिशुपाल  २.२१ ॥")</f>
        <v>जगादवदनच्छद्मपद्मपर्अन्तपातिनः । नयन्‌ मधुलिहः श्वैत्यमुदंशुदशनांशुभिः ॥ शिशुपाल  २.२१ ॥</v>
      </c>
      <c r="B6072" s="4" t="s">
        <v>6</v>
      </c>
      <c r="C6072" s="4"/>
    </row>
    <row r="6073" spans="1:3" ht="24" customHeight="1">
      <c r="A6073" s="4" t="str">
        <f ca="1">IFERROR(__xludf.DUMMYFUNCTION("""COMPUTED_VALUE"""),"यद्वासुदेवेनादीनामनादीनवमीरितम्‌ । वचस्तस्य सपदि क्रिया केवलमुत्तरम्‌ ॥ शिशुपाल  २.२२ ॥")</f>
        <v>यद्वासुदेवेनादीनामनादीनवमीरितम्‌ । वचस्तस्य सपदि क्रिया केवलमुत्तरम्‌ ॥ शिशुपाल  २.२२ ॥</v>
      </c>
      <c r="B6073" s="4" t="s">
        <v>0</v>
      </c>
      <c r="C6073" s="4"/>
    </row>
    <row r="6074" spans="1:3" ht="24" customHeight="1">
      <c r="A6074" s="4" t="str">
        <f ca="1">IFERROR(__xludf.DUMMYFUNCTION("""COMPUTED_VALUE"""),"नैतल्लघ्वपि भूयस्या वचो वाचातिशय्यते । इन्धनौधधगप्यग्निस्त्विषा नात्येति पूषण‌म्‌ ॥ शिशुपाल  २.२३ ॥")</f>
        <v>नैतल्लघ्वपि भूयस्या वचो वाचातिशय्यते । इन्धनौधधगप्यग्निस्त्विषा नात्येति पूषण‌म्‌ ॥ शिशुपाल  २.२३ ॥</v>
      </c>
      <c r="B6074" s="4" t="s">
        <v>7</v>
      </c>
      <c r="C6074" s="4"/>
    </row>
    <row r="6075" spans="1:3" ht="24" customHeight="1">
      <c r="A6075" s="4" t="str">
        <f ca="1">IFERROR(__xludf.DUMMYFUNCTION("""COMPUTED_VALUE"""),"विरोधवचसो मूकान्‌ वागीशानपि कुर्वते । जडानप्यनुलोमार्थप्रवाचः कृतिनां गिरः ॥ शिशुपाल  २.२४ ॥")</f>
        <v>विरोधवचसो मूकान्‌ वागीशानपि कुर्वते । जडानप्यनुलोमार्थप्रवाचः कृतिनां गिरः ॥ शिशुपाल  २.२४ ॥</v>
      </c>
      <c r="B6075" s="4" t="s">
        <v>0</v>
      </c>
      <c r="C6075" s="4"/>
    </row>
    <row r="6076" spans="1:3" ht="24" customHeight="1">
      <c r="A6076" s="4" t="str">
        <f ca="1">IFERROR(__xludf.DUMMYFUNCTION("""COMPUTED_VALUE"""),"संक्षिप्तस्याओयतो स्यैव वाक्यस्यार्थगरीयसः । सुविस्तरतरा वाचो भाष्यभूता भवन्तु मे ॥ शिशुपाल  २.२५ ॥")</f>
        <v>संक्षिप्तस्याओयतो स्यैव वाक्यस्यार्थगरीयसः । सुविस्तरतरा वाचो भाष्यभूता भवन्तु मे ॥ शिशुपाल  २.२५ ॥</v>
      </c>
      <c r="B6076" s="4" t="s">
        <v>12</v>
      </c>
      <c r="C6076" s="4"/>
    </row>
    <row r="6077" spans="1:3" ht="24" customHeight="1">
      <c r="A6077" s="4" t="str">
        <f ca="1">IFERROR(__xludf.DUMMYFUNCTION("""COMPUTED_VALUE"""),"सर्वकार्यशरीरेषु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॥")</f>
        <v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</v>
      </c>
      <c r="B6077" s="4" t="s">
        <v>2</v>
      </c>
      <c r="C6077" s="4"/>
    </row>
    <row r="6078" spans="1:3" ht="24" customHeight="1">
      <c r="A6078" s="4" t="str">
        <f ca="1">IFERROR(__xludf.DUMMYFUNCTION("""COMPUTED_VALUE"""),"षड्गुणाः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॥")</f>
        <v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</v>
      </c>
      <c r="B6078" s="4" t="s">
        <v>11</v>
      </c>
      <c r="C6078" s="4"/>
    </row>
    <row r="6079" spans="1:3" ht="24" customHeight="1">
      <c r="A6079" s="4" t="str">
        <f ca="1">IFERROR(__xludf.DUMMYFUNCTION("""COMPUTED_VALUE"""),"अनिर्लोठितकार्य्यस्य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॥")</f>
        <v>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</v>
      </c>
      <c r="B6079" s="4" t="s">
        <v>2</v>
      </c>
      <c r="C6079" s="4"/>
    </row>
    <row r="6080" spans="1:3" ht="24" customHeight="1">
      <c r="A6080" s="4" t="str">
        <f ca="1">IFERROR(__xludf.DUMMYFUNCTION("""COMPUTED_VALUE"""),"मन्त्रो योध इवाधीरः सर्वाङ्गैः कल्पितैरपि । चिरं न सहते स्थातुं परेभ्यो भेदशङ्कया ॥ शिशुपाल  २.२९ ॥")</f>
        <v>मन्त्रो योध इवाधीरः सर्वाङ्गैः कल्पितैरपि । चिरं न सहते स्थातुं परेभ्यो भेदशङ्कया ॥ शिशुपाल  २.२९ ॥</v>
      </c>
      <c r="B6080" s="4" t="s">
        <v>5</v>
      </c>
      <c r="C6080" s="4"/>
    </row>
    <row r="6081" spans="1:3" ht="24" customHeight="1">
      <c r="A6081" s="4" t="str">
        <f ca="1">IFERROR(__xludf.DUMMYFUNCTION("""COMPUTED_VALUE"""),"आत्मोदयः अरज्यानिर्द्वयं नीतिरितीआटि । तदूरीकृत्य कृतिभिर्वाचस्पत्यं प्रतायते ॥ शिशुपाल  २.३० ॥")</f>
        <v>आत्मोदयः अरज्यानिर्द्वयं नीतिरितीआटि । तदूरीकृत्य कृतिभिर्वाचस्पत्यं प्रतायते ॥ शिशुपाल  २.३० ॥</v>
      </c>
      <c r="B6081" s="4" t="s">
        <v>2</v>
      </c>
      <c r="C6081" s="4"/>
    </row>
    <row r="6082" spans="1:3" ht="24" customHeight="1">
      <c r="A6082" s="4" t="str">
        <f ca="1">IFERROR(__xludf.DUMMYFUNCTION("""COMPUTED_VALUE"""),"तृप्तियोगः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॥")</f>
        <v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</v>
      </c>
      <c r="B6082" s="4" t="s">
        <v>4</v>
      </c>
      <c r="C6082" s="4"/>
    </row>
    <row r="6083" spans="1:3" ht="24" customHeight="1">
      <c r="A6083" s="4" t="str">
        <f ca="1">IFERROR(__xludf.DUMMYFUNCTION("""COMPUTED_VALUE"""),"संपदा सुस्थितमन्यो भवति स्वल्पयापि यः । कृततुल्यो विधिर्मन्ये न वर्धयति तस्य ताम् ॥ शिशुपाल  २.३२ ॥")</f>
        <v>संपदा सुस्थितमन्यो भवति स्वल्पयापि यः । कृततुल्यो विधिर्मन्ये न वर्धयति तस्य ताम् ॥ शिशुपाल  २.३२ ॥</v>
      </c>
      <c r="B6083" s="4" t="s">
        <v>2</v>
      </c>
      <c r="C6083" s="4"/>
    </row>
    <row r="6084" spans="1:3" ht="24" customHeight="1">
      <c r="A6084" s="4" t="str">
        <f ca="1">IFERROR(__xludf.DUMMYFUNCTION("""COMPUTED_VALUE"""),"समूलघातमघ्नन्तः परान्‌ नोद्यन्ति मानिनः । प्रध्वंसितान्धतमसस्तत्रोदाहरणं रविः ॥ शिशुपाल  २.३३ ॥")</f>
        <v>समूलघातमघ्नन्तः परान्‌ नोद्यन्ति मानिनः । प्रध्वंसितान्धतमसस्तत्रोदाहरणं रविः ॥ शिशुपाल  २.३३ ॥</v>
      </c>
      <c r="B6084" s="4" t="s">
        <v>4</v>
      </c>
      <c r="C6084" s="4"/>
    </row>
    <row r="6085" spans="1:3" ht="24" customHeight="1">
      <c r="A6085" s="4" t="str">
        <f ca="1">IFERROR(__xludf.DUMMYFUNCTION("""COMPUTED_VALUE"""),"विपक्षमखिलीकृत्य प्रतिष्ठा खलु दुर्लभा । अनीत्वा पङ्कतां धूलिमुदकं नावतिष्ठते ॥ शिशुपाल  २.३४ ॥")</f>
        <v>विपक्षमखिलीकृत्य प्रतिष्ठा खलु दुर्लभा । अनीत्वा पङ्कतां धूलिमुदकं नावतिष्ठते ॥ शिशुपाल  २.३४ ॥</v>
      </c>
      <c r="B6085" s="4" t="s">
        <v>2</v>
      </c>
      <c r="C6085" s="4"/>
    </row>
    <row r="6086" spans="1:3" ht="24" customHeight="1">
      <c r="A6086" s="4" t="str">
        <f ca="1">IFERROR(__xludf.DUMMYFUNCTION("""COMPUTED_VALUE"""),"ध्रियते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")</f>
        <v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</v>
      </c>
      <c r="B6086" s="4" t="s">
        <v>24</v>
      </c>
      <c r="C6086" s="4"/>
    </row>
    <row r="6087" spans="1:3" ht="24" customHeight="1">
      <c r="A6087" s="4" t="str">
        <f ca="1">IFERROR(__xludf.DUMMYFUNCTION("""COMPUTED_VALUE"""),"सखा गरीयान् शत्रुश्च कृत्रिमस्तौ हि कार्य्यतः । स्याताममित्रौ मित्रे च सहजप्राकृतावै ॥ शिशुपाल  २.३६ ॥")</f>
        <v>सखा गरीयान् शत्रुश्च कृत्रिमस्तौ हि कार्य्यतः । स्याताममित्रौ मित्रे च सहजप्राकृतावै ॥ शिशुपाल  २.३६ ॥</v>
      </c>
      <c r="B6087" s="4" t="s">
        <v>4</v>
      </c>
      <c r="C6087" s="4"/>
    </row>
    <row r="6088" spans="1:3" ht="24" customHeight="1">
      <c r="A6088" s="4" t="str">
        <f ca="1">IFERROR(__xludf.DUMMYFUNCTION("""COMPUTED_VALUE"""),"उपकर्त्ररिणा संधिर्न मित्रेणापकारिणा । उपकारापकारौ हि लक्ष्यं लक्षणमेतयोः ॥ शिशुपाल  २.३७ ॥")</f>
        <v>उपकर्त्ररिणा संधिर्न मित्रेणापकारिणा । उपकारापकारौ हि लक्ष्यं लक्षणमेतयोः ॥ शिशुपाल  २.३७ ॥</v>
      </c>
      <c r="B6088" s="4" t="s">
        <v>5</v>
      </c>
      <c r="C6088" s="4"/>
    </row>
    <row r="6089" spans="1:3" ht="24" customHeight="1">
      <c r="A6089" s="4" t="str">
        <f ca="1">IFERROR(__xludf.DUMMYFUNCTION("""COMPUTED_VALUE"""),"त्वया विप्रकृतश्चैध्यो रुक्मिणीं हरता हरे । बद्धमूलस्य मूलं हि महद्वैरतरोः स्त्रियः ||")</f>
        <v>त्वया विप्रकृतश्चैध्यो रुक्मिणीं हरता हरे । बद्धमूलस्य मूलं हि महद्वैरतरोः स्त्रियः ||</v>
      </c>
      <c r="B6089" s="4" t="s">
        <v>5</v>
      </c>
      <c r="C6089" s="4"/>
    </row>
    <row r="6090" spans="1:3" ht="24" customHeight="1">
      <c r="A6090" s="4" t="str">
        <f ca="1">IFERROR(__xludf.DUMMYFUNCTION("""COMPUTED_VALUE"""),"त्वयि भौमं गते जेतुमसोत्सीत्‌ स पुरीमिमाम्‌ । प्रोषितार्यमणं मेरोरन्धकारस्तटीमिव ॥ शिशुपाल  २.३९ ॥")</f>
        <v>त्वयि भौमं गते जेतुमसोत्सीत्‌ स पुरीमिमाम्‌ । प्रोषितार्यमणं मेरोरन्धकारस्तटीमिव ॥ शिशुपाल  २.३९ ॥</v>
      </c>
      <c r="B6090" s="4" t="s">
        <v>4</v>
      </c>
      <c r="C6090" s="4"/>
    </row>
    <row r="6091" spans="1:3" ht="24" customHeight="1">
      <c r="A6091" s="4" t="str">
        <f ca="1">IFERROR(__xludf.DUMMYFUNCTION("""COMPUTED_VALUE"""),"आलप्यालमिदं बभ्रोर्यत्‌ स दारानपाहरत्‌ । कथापि खलु पापानामलमश्रेयसे यतः ॥ शिशुपाल  २.४० ॥")</f>
        <v>आलप्यालमिदं बभ्रोर्यत्‌ स दारानपाहरत्‌ । कथापि खलु पापानामलमश्रेयसे यतः ॥ शिशुपाल  २.४० ॥</v>
      </c>
      <c r="B6091" s="4" t="s">
        <v>2</v>
      </c>
      <c r="C6091" s="4"/>
    </row>
    <row r="6092" spans="1:3" ht="24" customHeight="1">
      <c r="A6092" s="4" t="str">
        <f ca="1">IFERROR(__xludf.DUMMYFUNCTION("""COMPUTED_VALUE"""),"चिराद्ध एवं भवता विराद्धा बहुधा च नः । निर्वर्त्यते रिः क्रियया स श्रुतश्रवसः सुतः ॥ शिशुपाल  २.४१ ॥")</f>
        <v>चिराद्ध एवं भवता विराद्धा बहुधा च नः । निर्वर्त्यते रिः क्रियया स श्रुतश्रवसः सुतः ॥ शिशुपाल  २.४१ ॥</v>
      </c>
      <c r="B6092" s="4" t="s">
        <v>2</v>
      </c>
      <c r="C6092" s="4"/>
    </row>
    <row r="6093" spans="1:3" ht="24" customHeight="1">
      <c r="A6093" s="4" t="str">
        <f ca="1">IFERROR(__xludf.DUMMYFUNCTION("""COMPUTED_VALUE"""),"विधाय वैरं सामर्षे नरो रौ य उदासते । प्रक्षिप्योदर्चिर्षं कक्षे शेरते ते भिमारुतम्‌ ||")</f>
        <v>विधाय वैरं सामर्षे नरो रौ य उदासते । प्रक्षिप्योदर्चिर्षं कक्षे शेरते ते भिमारुतम्‌ ||</v>
      </c>
      <c r="B6093" s="4" t="s">
        <v>2</v>
      </c>
      <c r="C6093" s="4"/>
    </row>
    <row r="6094" spans="1:3" ht="24" customHeight="1">
      <c r="A6094" s="4" t="str">
        <f ca="1">IFERROR(__xludf.DUMMYFUNCTION("""COMPUTED_VALUE"""),"मनागनभ्यावृत्या वा कामं क्षाम्यतु यः क्षमी । क्रियासमभिहारेणा विराध्यन्तं क्षमेत कः ॥ शिशुपाल  २.४३ ॥")</f>
        <v>मनागनभ्यावृत्या वा कामं क्षाम्यतु यः क्षमी । क्रियासमभिहारेणा विराध्यन्तं क्षमेत कः ॥ शिशुपाल  २.४३ ॥</v>
      </c>
      <c r="B6094" s="4" t="s">
        <v>19</v>
      </c>
      <c r="C6094" s="4"/>
    </row>
    <row r="6095" spans="1:3" ht="24" customHeight="1">
      <c r="A6095" s="4" t="str">
        <f ca="1">IFERROR(__xludf.DUMMYFUNCTION("""COMPUTED_VALUE"""),"अन्यदा भूषणं पुंसः शमो लज्जेव योषितः । पराक्रमः परिव्हवे वैयात्यं सुरतेष्विव ॥ शिशुपाल  २.४४ ॥")</f>
        <v>अन्यदा भूषणं पुंसः शमो लज्जेव योषितः । पराक्रमः परिव्हवे वैयात्यं सुरतेष्विव ॥ शिशुपाल  २.४४ ॥</v>
      </c>
      <c r="B6095" s="4" t="s">
        <v>4</v>
      </c>
      <c r="C6095" s="4"/>
    </row>
    <row r="6096" spans="1:3" ht="24" customHeight="1">
      <c r="A6096" s="4" t="str">
        <f ca="1">IFERROR(__xludf.DUMMYFUNCTION("""COMPUTED_VALUE"""),"मा जीवन्‌ यः परावज्ञादुःखदग्धो पि जीवति । तस्याजननिरेवास्तु जननीक्लशकारिणः ॥ शिशुपाल  २.४५ ॥")</f>
        <v>मा जीवन्‌ यः परावज्ञादुःखदग्धो पि जीवति । तस्याजननिरेवास्तु जननीक्लशकारिणः ॥ शिशुपाल  २.४५ ॥</v>
      </c>
      <c r="B6096" s="4" t="s">
        <v>7</v>
      </c>
      <c r="C6096" s="4"/>
    </row>
    <row r="6097" spans="1:3" ht="24" customHeight="1">
      <c r="A6097" s="4" t="str">
        <f ca="1">IFERROR(__xludf.DUMMYFUNCTION("""COMPUTED_VALUE"""),"पादाहतं यतुत्थाय मूर्धानमधिरोहति । स्वस्थादेवापमाने इ देहिनस्तद्वरं रजः ॥ शिशुपाल  २.४६ ॥")</f>
        <v>पादाहतं यतुत्थाय मूर्धानमधिरोहति । स्वस्थादेवापमाने इ देहिनस्तद्वरं रजः ॥ शिशुपाल  २.४६ ॥</v>
      </c>
      <c r="B6097" s="4" t="s">
        <v>3</v>
      </c>
      <c r="C6097" s="4"/>
    </row>
    <row r="6098" spans="1:3" ht="24" customHeight="1">
      <c r="A6098" s="4" t="str">
        <f ca="1">IFERROR(__xludf.DUMMYFUNCTION("""COMPUTED_VALUE"""),"असंपादयतः कञ्चिदर्थं जतिक्रियागुणैः । यदृच्छाश्ब्दवत्‌ पुंसः संज्ञाहै जन्म केवलम्‌ ॥ शिशुपाल  २.४७ ॥")</f>
        <v>असंपादयतः कञ्चिदर्थं जतिक्रियागुणैः । यदृच्छाश्ब्दवत्‌ पुंसः संज्ञाहै जन्म केवलम्‌ ॥ शिशुपाल  २.४७ ॥</v>
      </c>
      <c r="B6098" s="4" t="s">
        <v>11</v>
      </c>
      <c r="C6098" s="4"/>
    </row>
    <row r="6099" spans="1:3" ht="24" customHeight="1">
      <c r="A6099" s="4" t="str">
        <f ca="1">IFERROR(__xludf.DUMMYFUNCTION("""COMPUTED_VALUE"""),"तुङ्गत्वमितरा नाद्रौ नेदं सिन्धावगाधता । अलङ्घनीयताहेतुरुभयं तन्मनस्विनि ॥ शिशुपाल  २.४८ ॥")</f>
        <v>तुङ्गत्वमितरा नाद्रौ नेदं सिन्धावगाधता । अलङ्घनीयताहेतुरुभयं तन्मनस्विनि ॥ शिशुपाल  २.४८ ॥</v>
      </c>
      <c r="B6099" s="4" t="s">
        <v>1</v>
      </c>
      <c r="C6099" s="4"/>
    </row>
    <row r="6100" spans="1:3" ht="24" customHeight="1">
      <c r="A6100" s="4" t="str">
        <f ca="1">IFERROR(__xludf.DUMMYFUNCTION("""COMPUTED_VALUE"""),"तुल्ये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॥")</f>
        <v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</v>
      </c>
      <c r="B6100" s="4" t="s">
        <v>11</v>
      </c>
      <c r="C6100" s="4"/>
    </row>
    <row r="6101" spans="1:3" ht="24" customHeight="1">
      <c r="A6101" s="4" t="str">
        <f ca="1">IFERROR(__xludf.DUMMYFUNCTION("""COMPUTED_VALUE"""),"स्वयं प्रणमते ल्पे पि परवायावुपेयुषि । निदर्शनमसाराणां लघुर्बहुतृणं नरः ॥ शिशुपाल  २.५० ॥")</f>
        <v>स्वयं प्रणमते ल्पे पि परवायावुपेयुषि । निदर्शनमसाराणां लघुर्बहुतृणं नरः ॥ शिशुपाल  २.५० ॥</v>
      </c>
      <c r="B6101" s="4" t="s">
        <v>0</v>
      </c>
      <c r="C6101" s="4"/>
    </row>
    <row r="6102" spans="1:3" ht="24" customHeight="1">
      <c r="A6102" s="4" t="str">
        <f ca="1">IFERROR(__xludf.DUMMYFUNCTION("""COMPUTED_VALUE"""),"तेजस्वीमध्ये तेजस्वी दवीयानपि गण्यते । पञ्चमः पञ्धतपसस्तपनो जातवेदसाम्‌ ॥ शिशुपाल  २.५१ ॥")</f>
        <v>तेजस्वीमध्ये तेजस्वी दवीयानपि गण्यते । पञ्चमः पञ्धतपसस्तपनो जातवेदसाम्‌ ॥ शिशुपाल  २.५१ ॥</v>
      </c>
      <c r="B6102" s="4" t="s">
        <v>18</v>
      </c>
      <c r="C6102" s="4"/>
    </row>
    <row r="6103" spans="1:3" ht="24" customHeight="1">
      <c r="A6103" s="4" t="str">
        <f ca="1">IFERROR(__xludf.DUMMYFUNCTION("""COMPUTED_VALUE"""),"अकृत्वा हेलया पादमु्च्चैर्मूर्धसु विद्विषाम्‌ । कथंकारमनालम्बा कीर्तिर्द्यामधिरोहति ॥ शिशुपाल  २.५२ ॥")</f>
        <v>अकृत्वा हेलया पादमु्च्चैर्मूर्धसु विद्विषाम्‌ । कथंकारमनालम्बा कीर्तिर्द्यामधिरोहति ॥ शिशुपाल  २.५२ ॥</v>
      </c>
      <c r="B6103" s="4" t="s">
        <v>2</v>
      </c>
      <c r="C6103" s="4"/>
    </row>
    <row r="6104" spans="1:3" ht="24" customHeight="1">
      <c r="A6104" s="4" t="str">
        <f ca="1">IFERROR(__xludf.DUMMYFUNCTION("""COMPUTED_VALUE"""),"अङ्काधिरोपितमृगश्चन्द्रमा मृगलाञ्छनः । केसरी निष्ठुरक्षुण्ण्मृगपूगो मृगाधिपः ॥ शिशुपाल  २.५३ ॥")</f>
        <v>अङ्काधिरोपितमृगश्चन्द्रमा मृगलाञ्छनः । केसरी निष्ठुरक्षुण्ण्मृगपूगो मृगाधिपः ॥ शिशुपाल  २.५३ ॥</v>
      </c>
      <c r="B6104" s="4" t="s">
        <v>9</v>
      </c>
      <c r="C6104" s="4"/>
    </row>
    <row r="6105" spans="1:3" ht="24" customHeight="1">
      <c r="A6105" s="4" t="str">
        <f ca="1">IFERROR(__xludf.DUMMYFUNCTION("""COMPUTED_VALUE"""),"चतुर्थोपायसाद्ये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॥")</f>
        <v>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</v>
      </c>
      <c r="B6105" s="4" t="s">
        <v>2</v>
      </c>
      <c r="C6105" s="4"/>
    </row>
    <row r="6106" spans="1:3" ht="24" customHeight="1">
      <c r="A6106" s="4" t="str">
        <f ca="1">IFERROR(__xludf.DUMMYFUNCTION("""COMPUTED_VALUE"""),"सामवादाः सकोपस्य तस्य प्रत्युत दीपकाः । प्रतप्तस्येव सहसा सर्पिषस्तोयबिन्दवः ॥ शिशुपाल  २.५५ ॥")</f>
        <v>सामवादाः सकोपस्य तस्य प्रत्युत दीपकाः । प्रतप्तस्येव सहसा सर्पिषस्तोयबिन्दवः ॥ शिशुपाल  २.५५ ॥</v>
      </c>
      <c r="B6106" s="4" t="s">
        <v>4</v>
      </c>
      <c r="C6106" s="4"/>
    </row>
    <row r="6107" spans="1:3" ht="24" customHeight="1">
      <c r="A6107" s="4" t="str">
        <f ca="1">IFERROR(__xludf.DUMMYFUNCTION("""COMPUTED_VALUE"""),"गुणानामायथातथ्यादर्थं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॥")</f>
        <v>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</v>
      </c>
      <c r="B6107" s="4" t="s">
        <v>2</v>
      </c>
      <c r="C6107" s="4"/>
    </row>
    <row r="6108" spans="1:3" ht="24" customHeight="1">
      <c r="A6108" s="4" t="str">
        <f ca="1">IFERROR(__xludf.DUMMYFUNCTION("""COMPUTED_VALUE"""),"स्वशक्त्युपचये केचित्‌ परस्य व्यसने परे । यात्रामाहुरुदासीनं त्वामुत्थापयति द्वयम्‌ ॥ शिशुपाल  २.५७ ॥")</f>
        <v>स्वशक्त्युपचये केचित्‌ परस्य व्यसने परे । यात्रामाहुरुदासीनं त्वामुत्थापयति द्वयम्‌ ॥ शिशुपाल  २.५७ ॥</v>
      </c>
      <c r="B6108" s="4" t="s">
        <v>5</v>
      </c>
      <c r="C6108" s="4"/>
    </row>
    <row r="6109" spans="1:3" ht="24" customHeight="1">
      <c r="A6109" s="4" t="str">
        <f ca="1">IFERROR(__xludf.DUMMYFUNCTION("""COMPUTED_VALUE"""),"लिलङ्घयिषतो लोकानलङ्घ्यानलघीयसः । यादवाम्भोनिधीन्‌ रुन्धे वेलेव भवतः क्षमा ॥ शिशुपाल  २.५८ ॥")</f>
        <v>लिलङ्घयिषतो लोकानलङ्घ्यानलघीयसः । यादवाम्भोनिधीन्‌ रुन्धे वेलेव भवतः क्षमा ॥ शिशुपाल  २.५८ ॥</v>
      </c>
      <c r="B6109" s="4" t="s">
        <v>12</v>
      </c>
      <c r="C6109" s="4"/>
    </row>
    <row r="6110" spans="1:3" ht="24" customHeight="1">
      <c r="A6110" s="4" t="str">
        <f ca="1">IFERROR(__xludf.DUMMYFUNCTION("""COMPUTED_VALUE"""),"विजयस्त्वयि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॥")</f>
        <v>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</v>
      </c>
      <c r="B6110" s="4" t="s">
        <v>1</v>
      </c>
      <c r="C6110" s="4"/>
    </row>
    <row r="6111" spans="1:3" ht="24" customHeight="1">
      <c r="A6111" s="4" t="str">
        <f ca="1">IFERROR(__xludf.DUMMYFUNCTION("""COMPUTED_VALUE"""),"हते हिडीम्बरिपुणा राज्ञि द्वैमातुरे युधि । चिरस्य मित्रव्यसनी सुदमो दमघोषजः ॥ शिशुपाल  २.६० ॥")</f>
        <v>हते हिडीम्बरिपुणा राज्ञि द्वैमातुरे युधि । चिरस्य मित्रव्यसनी सुदमो दमघोषजः ॥ शिशुपाल  २.६० ॥</v>
      </c>
      <c r="B6111" s="4" t="s">
        <v>3</v>
      </c>
      <c r="C6111" s="4"/>
    </row>
    <row r="6112" spans="1:3" ht="24" customHeight="1">
      <c r="A6112" s="4" t="str">
        <f ca="1">IFERROR(__xludf.DUMMYFUNCTION("""COMPUTED_VALUE"""),"नीतिरापदि यद्गम्यः परस्तन्मानिनो हिये । विधुर्विधुंतुदस्येव पूर्णस्तस्योत्सवाय सः ॥ शिशुपाल  २.६१ ॥")</f>
        <v>नीतिरापदि यद्गम्यः परस्तन्मानिनो हिये । विधुर्विधुंतुदस्येव पूर्णस्तस्योत्सवाय सः ॥ शिशुपाल  २.६१ ॥</v>
      </c>
      <c r="B6112" s="4" t="s">
        <v>18</v>
      </c>
      <c r="C6112" s="4"/>
    </row>
    <row r="6113" spans="1:3" ht="24" customHeight="1">
      <c r="A6113" s="4" t="str">
        <f ca="1">IFERROR(__xludf.DUMMYFUNCTION("""COMPUTED_VALUE"""),"अन्यदुच्छृङ्खलं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॥")</f>
        <v>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</v>
      </c>
      <c r="B6113" s="4" t="s">
        <v>2</v>
      </c>
      <c r="C6113" s="4"/>
    </row>
    <row r="6114" spans="1:3" ht="24" customHeight="1">
      <c r="A6114" s="4" t="str">
        <f ca="1">IFERROR(__xludf.DUMMYFUNCTION("""COMPUTED_VALUE"""),"इन्द्रप्रस्थगमस्तावत्‌ कारि मा सन्तु चेदयः । आस्माकदन्तिसांनिध्यवामनीभूतभूरुहः ॥ शिशुपाल  २.६३ ॥")</f>
        <v>इन्द्रप्रस्थगमस्तावत्‌ कारि मा सन्तु चेदयः । आस्माकदन्तिसांनिध्यवामनीभूतभूरुहः ॥ शिशुपाल  २.६३ ॥</v>
      </c>
      <c r="B6114" s="4" t="s">
        <v>24</v>
      </c>
      <c r="C6114" s="4"/>
    </row>
    <row r="6115" spans="1:3" ht="24" customHeight="1">
      <c r="A6115" s="4" t="str">
        <f ca="1">IFERROR(__xludf.DUMMYFUNCTION("""COMPUTED_VALUE"""),"निरुद्धवीवश्वासारप्रसारां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॥")</f>
        <v>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</v>
      </c>
      <c r="B6115" s="4" t="s">
        <v>13</v>
      </c>
      <c r="C6115" s="4"/>
    </row>
    <row r="6116" spans="1:3" ht="24" customHeight="1">
      <c r="A6116" s="4" t="str">
        <f ca="1">IFERROR(__xludf.DUMMYFUNCTION("""COMPUTED_VALUE"""),"यजतां पाण्डवः स्वर्गमवत्विन्द्रस्तपस्विनः । वयं हनाम द्विषतः सर्वः स्वार्थं प्रतीहते ॥ शिशुपाल  २.६५ ॥")</f>
        <v>यजतां पाण्डवः स्वर्गमवत्विन्द्रस्तपस्विनः । वयं हनाम द्विषतः सर्वः स्वार्थं प्रतीहते ॥ शिशुपाल  २.६५ ॥</v>
      </c>
      <c r="B6116" s="4" t="s">
        <v>2</v>
      </c>
      <c r="C6116" s="4"/>
    </row>
    <row r="6117" spans="1:3" ht="24" customHeight="1">
      <c r="A6117" s="4" t="str">
        <f ca="1">IFERROR(__xludf.DUMMYFUNCTION("""COMPUTED_VALUE"""),"प्राप्यतां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॥")</f>
        <v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</v>
      </c>
      <c r="B6117" s="4" t="s">
        <v>2</v>
      </c>
      <c r="C6117" s="4"/>
    </row>
    <row r="6118" spans="1:3" ht="24" customHeight="1">
      <c r="A6118" s="4" t="str">
        <f ca="1">IFERROR(__xludf.DUMMYFUNCTION("""COMPUTED_VALUE"""),"इति संरम्भिणो वाणीर्बलस्यालेख्यदेवताः । सभाभित्तिप्रतिध्वानैर्भयादन्ववदन्निव ॥ शिशुपाल  २.६७ ॥")</f>
        <v>इति संरम्भिणो वाणीर्बलस्यालेख्यदेवताः । सभाभित्तिप्रतिध्वानैर्भयादन्ववदन्निव ॥ शिशुपाल  २.६७ ॥</v>
      </c>
      <c r="B6118" s="4" t="s">
        <v>4</v>
      </c>
      <c r="C6118" s="4"/>
    </row>
    <row r="6119" spans="1:3" ht="24" customHeight="1">
      <c r="A6119" s="4" t="str">
        <f ca="1">IFERROR(__xludf.DUMMYFUNCTION("""COMPUTED_VALUE"""),"निशम्य ताः शेषगवीरभिधातुमधोक्षजः । शिष्याय बृहतां पत्युः प्रस्तावमदिशद्‌ दृशा ॥ शिशुपाल  २.६८ ॥")</f>
        <v>निशम्य ताः शेषगवीरभिधातुमधोक्षजः । शिष्याय बृहतां पत्युः प्रस्तावमदिशद्‌ दृशा ॥ शिशुपाल  २.६८ ॥</v>
      </c>
      <c r="B6119" s="4" t="s">
        <v>8</v>
      </c>
      <c r="C6119" s="4"/>
    </row>
    <row r="6120" spans="1:3" ht="24" customHeight="1">
      <c r="A6120" s="4" t="str">
        <f ca="1">IFERROR(__xludf.DUMMYFUNCTION("""COMPUTED_VALUE"""),"भारतीमाहितभरामथानुद्धतमुद्धवः । तथ्यामुतथ्याउजवज्जगादाग्रे गदाग्रजम्‌ ॥ शिशुपाल  २.६९ ॥")</f>
        <v>भारतीमाहितभरामथानुद्धतमुद्धवः । तथ्यामुतथ्याउजवज्जगादाग्रे गदाग्रजम्‌ ॥ शिशुपाल  २.६९ ॥</v>
      </c>
      <c r="B6120" s="4" t="s">
        <v>3</v>
      </c>
      <c r="C6120" s="4"/>
    </row>
    <row r="6121" spans="1:3" ht="24" customHeight="1">
      <c r="A6121" s="4" t="str">
        <f ca="1">IFERROR(__xludf.DUMMYFUNCTION("""COMPUTED_VALUE"""),"संप्रत्यसांप्रतं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॥")</f>
        <v>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</v>
      </c>
      <c r="B6121" s="4" t="s">
        <v>19</v>
      </c>
      <c r="C6121" s="4"/>
    </row>
    <row r="6122" spans="1:3" ht="24" customHeight="1">
      <c r="A6122" s="4" t="str">
        <f ca="1">IFERROR(__xludf.DUMMYFUNCTION("""COMPUTED_VALUE"""),"तथापि यन्मय्यपि ते गुरुरित्येव गौरवम्‌ । तत्‌ प्रयोजककर्तउत्वमुपैति मम जल्पतः ॥ शिशुपाल  २.७१ ॥")</f>
        <v>तथापि यन्मय्यपि ते गुरुरित्येव गौरवम्‌ । तत्‌ प्रयोजककर्तउत्वमुपैति मम जल्पतः ॥ शिशुपाल  २.७१ ॥</v>
      </c>
      <c r="B6122" s="4" t="s">
        <v>2</v>
      </c>
      <c r="C6122" s="4"/>
    </row>
    <row r="6123" spans="1:3" ht="24" customHeight="1">
      <c r="A6123" s="4" t="str">
        <f ca="1">IFERROR(__xludf.DUMMYFUNCTION("""COMPUTED_VALUE"""),"वर्णेः कतिपयैरेव ग्रथितस्य स्वरैरिव । अनन्ता वाङ्मयस्याहो गेयस्येव विचित्रता ॥ शिशुपाल  २.७२ ॥")</f>
        <v>वर्णेः कतिपयैरेव ग्रथितस्य स्वरैरिव । अनन्ता वाङ्मयस्याहो गेयस्येव विचित्रता ॥ शिशुपाल  २.७२ ॥</v>
      </c>
      <c r="B6123" s="4" t="s">
        <v>2</v>
      </c>
      <c r="C6123" s="4"/>
    </row>
    <row r="6124" spans="1:3" ht="24" customHeight="1">
      <c r="A6124" s="4" t="str">
        <f ca="1">IFERROR(__xludf.DUMMYFUNCTION("""COMPUTED_VALUE"""),"बह्वपि स्वच्छया कामं प्रकीर्णमभिधीयते । अनुञ्झिताभिसंबन्धः प्रबन्धो दुरुदाहरः ॥ शिशुपाल  २.७३ ॥")</f>
        <v>बह्वपि स्वच्छया कामं प्रकीर्णमभिधीयते । अनुञ्झिताभिसंबन्धः प्रबन्धो दुरुदाहरः ॥ शिशुपाल  २.७३ ॥</v>
      </c>
      <c r="B6124" s="4" t="s">
        <v>0</v>
      </c>
      <c r="C6124" s="4"/>
    </row>
    <row r="6125" spans="1:3" ht="24" customHeight="1">
      <c r="A6125" s="4" t="str">
        <f ca="1">IFERROR(__xludf.DUMMYFUNCTION("""COMPUTED_VALUE"""),"भ्रदीयसीमपि धनामनल्पगुणकल्पिताम्‌ । प्रसारयन्ति कुशलश्चित्रां वाचं पटीमिव ॥ शिशुपाल  २.७४ ॥")</f>
        <v>भ्रदीयसीमपि धनामनल्पगुणकल्पिताम्‌ । प्रसारयन्ति कुशलश्चित्रां वाचं पटीमिव ॥ शिशुपाल  २.७४ ॥</v>
      </c>
      <c r="B6125" s="4" t="s">
        <v>4</v>
      </c>
      <c r="C6125" s="4"/>
    </row>
    <row r="6126" spans="1:3" ht="24" customHeight="1">
      <c r="A6126" s="4" t="str">
        <f ca="1">IFERROR(__xludf.DUMMYFUNCTION("""COMPUTED_VALUE"""),"विशेषविदुषः शस्त्रं यत्‌ तदोद्ग्राह्यते पुरः । हेतुः परिचयस्थैर्ये वक्तुर्गुणनिकैव सा ॥ शिशुपाल  २.७५ ॥")</f>
        <v>विशेषविदुषः शस्त्रं यत्‌ तदोद्ग्राह्यते पुरः । हेतुः परिचयस्थैर्ये वक्तुर्गुणनिकैव सा ॥ शिशुपाल  २.७५ ॥</v>
      </c>
      <c r="B6126" s="4" t="s">
        <v>18</v>
      </c>
      <c r="C6126" s="4"/>
    </row>
    <row r="6127" spans="1:3" ht="24" customHeight="1">
      <c r="A6127" s="4" t="str">
        <f ca="1">IFERROR(__xludf.DUMMYFUNCTION("""COMPUTED_VALUE"""),"प्रज्ञोत्साहावतः स्वामी यतेताधातुमात्मनि । तौ हि मूलमुदेष्यन्त्या जिगीषोरात्मसंपदः ॥ शिशुपाल  २.७६ ॥")</f>
        <v>प्रज्ञोत्साहावतः स्वामी यतेताधातुमात्मनि । तौ हि मूलमुदेष्यन्त्या जिगीषोरात्मसंपदः ॥ शिशुपाल  २.७६ ॥</v>
      </c>
      <c r="B6127" s="4" t="s">
        <v>17</v>
      </c>
      <c r="C6127" s="4"/>
    </row>
    <row r="6128" spans="1:3" ht="24" customHeight="1">
      <c r="A6128" s="4" t="str">
        <f ca="1">IFERROR(__xludf.DUMMYFUNCTION("""COMPUTED_VALUE"""),"सोपधानां धियं धीराः स्थेयसीं खट्वयन्ति ये । तत्रानिशं निषण्णास्ते जानते जातु न श्रमम्‌ ॥ शिशुपाल  २.७७ ॥")</f>
        <v>सोपधानां धियं धीराः स्थेयसीं खट्वयन्ति ये । तत्रानिशं निषण्णास्ते जानते जातु न श्रमम्‌ ॥ शिशुपाल  २.७७ ॥</v>
      </c>
      <c r="B6128" s="4" t="s">
        <v>12</v>
      </c>
      <c r="C6128" s="4"/>
    </row>
    <row r="6129" spans="1:3" ht="24" customHeight="1">
      <c r="A6129" s="4" t="str">
        <f ca="1">IFERROR(__xludf.DUMMYFUNCTION("""COMPUTED_VALUE"""),"स्पृशन्ति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॥")</f>
        <v>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</v>
      </c>
      <c r="B6129" s="4" t="s">
        <v>4</v>
      </c>
      <c r="C6129" s="4"/>
    </row>
    <row r="6130" spans="1:3" ht="24" customHeight="1">
      <c r="A6130" s="4" t="str">
        <f ca="1">IFERROR(__xludf.DUMMYFUNCTION("""COMPUTED_VALUE"""),"आरभन्ते ल्पमेवाज्ञाः कामं व्यग्रा भवन्ति च । महारम्भाः कृतधियस्तिष्ठन्ति च निराकुलाः ॥ शिशुपाल  २.७९ ॥")</f>
        <v>आरभन्ते ल्पमेवाज्ञाः कामं व्यग्रा भवन्ति च । महारम्भाः कृतधियस्तिष्ठन्ति च निराकुलाः ॥ शिशुपाल  २.७९ ॥</v>
      </c>
      <c r="B6130" s="4" t="s">
        <v>11</v>
      </c>
      <c r="C6130" s="4"/>
    </row>
    <row r="6131" spans="1:3" ht="24" customHeight="1">
      <c r="A6131" s="4" t="str">
        <f ca="1">IFERROR(__xludf.DUMMYFUNCTION("""COMPUTED_VALUE"""),"उपायमास्थितस्यापि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॥")</f>
        <v>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</v>
      </c>
      <c r="B6131" s="4" t="s">
        <v>15</v>
      </c>
      <c r="C6131" s="4"/>
    </row>
    <row r="6132" spans="1:3" ht="24" customHeight="1">
      <c r="A6132" s="4" t="str">
        <f ca="1">IFERROR(__xludf.DUMMYFUNCTION("""COMPUTED_VALUE"""),"उदेतुमत्यजन्नीहां राजसु द्वादशस्वपि । जिगीषुरेको दिनकृदादित्येष्विव कल्पते ॥ शिशुपाल  २.८१ ॥")</f>
        <v>उदेतुमत्यजन्नीहां राजसु द्वादशस्वपि । जिगीषुरेको दिनकृदादित्येष्विव कल्पते ॥ शिशुपाल  २.८१ ॥</v>
      </c>
      <c r="B6132" s="4" t="s">
        <v>2</v>
      </c>
      <c r="C6132" s="4"/>
    </row>
    <row r="6133" spans="1:3" ht="24" customHeight="1">
      <c r="A6133" s="4" t="str">
        <f ca="1">IFERROR(__xludf.DUMMYFUNCTION("""COMPUTED_VALUE"""),"तन्त्रावापविदा योगैर्मण्डलान्यधिष्ठिता । सुनिग्रहा नरेन्द्रेण फणीन्द्रा इव शत्रवः ॥ शिशुपाल  २.८२ ॥")</f>
        <v>तन्त्रावापविदा योगैर्मण्डलान्यधिष्ठिता । सुनिग्रहा नरेन्द्रेण फणीन्द्रा इव शत्रवः ॥ शिशुपाल  २.८२ ॥</v>
      </c>
      <c r="B6133" s="4" t="s">
        <v>4</v>
      </c>
      <c r="C6133" s="4"/>
    </row>
    <row r="6134" spans="1:3" ht="24" customHeight="1">
      <c r="A6134" s="4" t="str">
        <f ca="1">IFERROR(__xludf.DUMMYFUNCTION("""COMPUTED_VALUE"""),"करप्रचेयामुत्तुङ्गः प्रभुशक्तिं प्रथीयसीम्‌ । प्रज्ञाबलबृहन्मूलः फलत्युत्साहपादपः ॥ शिशुपाल  २.८३ ॥")</f>
        <v>करप्रचेयामुत्तुङ्गः प्रभुशक्तिं प्रथीयसीम्‌ । प्रज्ञाबलबृहन्मूलः फलत्युत्साहपादपः ॥ शिशुपाल  २.८३ ॥</v>
      </c>
      <c r="B6134" s="4" t="s">
        <v>9</v>
      </c>
      <c r="C6134" s="4"/>
    </row>
    <row r="6135" spans="1:3" ht="24" customHeight="1">
      <c r="A6135" s="4" t="str">
        <f ca="1">IFERROR(__xludf.DUMMYFUNCTION("""COMPUTED_VALUE"""),"बुद्धिशस्त्रः प्रकृत्यङ्गो धनसंवृतिकञ्चुकः । चारेक्षणो दूतमुखः पुरूषः को पि पार्थिवः ॥ शिशुपाल  २.८४ ॥")</f>
        <v>बुद्धिशस्त्रः प्रकृत्यङ्गो धनसंवृतिकञ्चुकः । चारेक्षणो दूतमुखः पुरूषः को पि पार्थिवः ॥ शिशुपाल  २.८४ ॥</v>
      </c>
      <c r="B6135" s="4" t="s">
        <v>4</v>
      </c>
      <c r="C6135" s="4"/>
    </row>
    <row r="6136" spans="1:3" ht="24" customHeight="1">
      <c r="A6136" s="4" t="str">
        <f ca="1">IFERROR(__xludf.DUMMYFUNCTION("""COMPUTED_VALUE"""),"तेजः क्षमा वा नैकान्तः कालज्ञस्य महीपतेः । नैकमोजः प्रसादो वा रसभागविदः कवेः ॥ शिशुपाल  २.८५ ॥")</f>
        <v>तेजः क्षमा वा नैकान्तः कालज्ञस्य महीपतेः । नैकमोजः प्रसादो वा रसभागविदः कवेः ॥ शिशुपाल  २.८५ ॥</v>
      </c>
      <c r="B6136" s="4" t="s">
        <v>4</v>
      </c>
      <c r="C6136" s="4"/>
    </row>
    <row r="6137" spans="1:3" ht="24" customHeight="1">
      <c r="A6137" s="4" t="str">
        <f ca="1">IFERROR(__xludf.DUMMYFUNCTION("""COMPUTED_VALUE"""),"कृतापचारो पि परैरनाविष्कृतविक्रियः । असाध्यः कुरूते कोपं प्राप्ते काले गदो यथा ॥ शिशुपाल  २.८६ ॥")</f>
        <v>कृतापचारो पि परैरनाविष्कृतविक्रियः । असाध्यः कुरूते कोपं प्राप्ते काले गदो यथा ॥ शिशुपाल  २.८६ ॥</v>
      </c>
      <c r="B6137" s="4" t="s">
        <v>10</v>
      </c>
      <c r="C6137" s="4"/>
    </row>
    <row r="6138" spans="1:3" ht="24" customHeight="1">
      <c r="A6138" s="4" t="str">
        <f ca="1">IFERROR(__xludf.DUMMYFUNCTION("""COMPUTED_VALUE"""),"मृदुव्यवहितं तेजो भोक्तुमर्था‌न्‌ प्रकल्पते । प्रदीपः स्नेहमादत्ते दशया ह्यन्तरस्थया ॥ शिशुपाल  २.८७ ॥")</f>
        <v>मृदुव्यवहितं तेजो भोक्तुमर्था‌न्‌ प्रकल्पते । प्रदीपः स्नेहमादत्ते दशया ह्यन्तरस्थया ॥ शिशुपाल  २.८७ ॥</v>
      </c>
      <c r="B6138" s="4" t="s">
        <v>5</v>
      </c>
      <c r="C6138" s="4"/>
    </row>
    <row r="6139" spans="1:3" ht="24" customHeight="1">
      <c r="A6139" s="4" t="str">
        <f ca="1">IFERROR(__xludf.DUMMYFUNCTION("""COMPUTED_VALUE"""),"नालम्बते दैष्टिकतां न निषीदति पौरुषे । शब्दार्थौ सत्कविरिव द्वयं विद्वानपेक्षते ॥ शिशुपाल  २.८८ ॥")</f>
        <v>नालम्बते दैष्टिकतां न निषीदति पौरुषे । शब्दार्थौ सत्कविरिव द्वयं विद्वानपेक्षते ॥ शिशुपाल  २.८८ ॥</v>
      </c>
      <c r="B6139" s="4" t="s">
        <v>2</v>
      </c>
      <c r="C6139" s="4"/>
    </row>
    <row r="6140" spans="1:3" ht="24" customHeight="1">
      <c r="A6140" s="4" t="str">
        <f ca="1">IFERROR(__xludf.DUMMYFUNCTION("""COMPUTED_VALUE"""),"स्थायिनो र्थे प्रवर्तन्ते भावाः संचारिणो यथा । रसस्यैकस्य भूयांसस्तथा नेतुर्महीभृतः ॥ शिशुपाल  २.८९ ॥")</f>
        <v>स्थायिनो र्थे प्रवर्तन्ते भावाः संचारिणो यथा । रसस्यैकस्य भूयांसस्तथा नेतुर्महीभृतः ॥ शिशुपाल  २.८९ ॥</v>
      </c>
      <c r="B6140" s="4" t="s">
        <v>2</v>
      </c>
      <c r="C6140" s="4"/>
    </row>
    <row r="6141" spans="1:3" ht="24" customHeight="1">
      <c r="A6141" s="4" t="str">
        <f ca="1">IFERROR(__xludf.DUMMYFUNCTION("""COMPUTED_VALUE"""),"अनल्पत्वात्‌ प्रधानत्वादंशस्येवेतरे स्वराः । विजिगीषोर्नृपतयः प्रयान्ति परिवारताम्‌ ॥ शिशुपाल  २.९० ॥")</f>
        <v>अनल्पत्वात्‌ प्रधानत्वादंशस्येवेतरे स्वराः । विजिगीषोर्नृपतयः प्रयान्ति परिवारताम्‌ ॥ शिशुपाल  २.९० ॥</v>
      </c>
      <c r="B6141" s="4" t="s">
        <v>2</v>
      </c>
      <c r="C6141" s="4"/>
    </row>
    <row r="6142" spans="1:3" ht="24" customHeight="1">
      <c r="A6142" s="4" t="str">
        <f ca="1">IFERROR(__xludf.DUMMYFUNCTION("""COMPUTED_VALUE"""),"अप्यनारभमाणस्य विनोरुत्पादिताः परैः । व्रजन्ति गुणतामर्थाः शब्दा इव विहायसः ॥ शिशुपाल  २.९१ ॥")</f>
        <v>अप्यनारभमाणस्य विनोरुत्पादिताः परैः । व्रजन्ति गुणतामर्थाः शब्दा इव विहायसः ॥ शिशुपाल  २.९१ ॥</v>
      </c>
      <c r="B6142" s="4" t="s">
        <v>18</v>
      </c>
      <c r="C6142" s="4"/>
    </row>
    <row r="6143" spans="1:3" ht="24" customHeight="1">
      <c r="A6143" s="4" t="str">
        <f ca="1">IFERROR(__xludf.DUMMYFUNCTION("""COMPUTED_VALUE"""),"यातव्यपार्ष्णिग्राहादिमालायामधिकद्युतिः । एकार्थतन्तुप्रोतायां नायको नायकायते ॥ शिशुपाल  २.९२ ॥")</f>
        <v>यातव्यपार्ष्णिग्राहादिमालायामधिकद्युतिः । एकार्थतन्तुप्रोतायां नायको नायकायते ॥ शिशुपाल  २.९२ ॥</v>
      </c>
      <c r="B6143" s="4" t="s">
        <v>2</v>
      </c>
      <c r="C6143" s="4"/>
    </row>
    <row r="6144" spans="1:3" ht="24" customHeight="1">
      <c r="A6144" s="4" t="str">
        <f ca="1">IFERROR(__xludf.DUMMYFUNCTION("""COMPUTED_VALUE"""),"षाड्गुण्यमुपयुञ्जीत शक्त्यपेक्षं रसायनम्‌ । वन्त्यस्यैवमङ्गानि स्थास्नूनि बलवन्ति च ॥ शिशुपाल  २.९३ ॥")</f>
        <v>षाड्गुण्यमुपयुञ्जीत शक्त्यपेक्षं रसायनम्‌ । वन्त्यस्यैवमङ्गानि स्थास्नूनि बलवन्ति च ॥ शिशुपाल  २.९३ ॥</v>
      </c>
      <c r="B6144" s="4" t="s">
        <v>16</v>
      </c>
      <c r="C6144" s="4"/>
    </row>
    <row r="6145" spans="1:3" ht="24" customHeight="1">
      <c r="A6145" s="4" t="str">
        <f ca="1">IFERROR(__xludf.DUMMYFUNCTION("""COMPUTED_VALUE"""),"स्थाने शमवतां शक्त्या व्यायामे वृद्धिरङ्गिनाम्‌ । अयथाबलमारम्भो निदानं क्षयसंपदः ॥ शिशुपाल  २.९४ ॥")</f>
        <v>स्थाने शमवतां शक्त्या व्यायामे वृद्धिरङ्गिनाम्‌ । अयथाबलमारम्भो निदानं क्षयसंपदः ॥ शिशुपाल  २.९४ ॥</v>
      </c>
      <c r="B6145" s="4" t="s">
        <v>17</v>
      </c>
      <c r="C6145" s="4"/>
    </row>
    <row r="6146" spans="1:3" ht="24" customHeight="1">
      <c r="A6146" s="4" t="str">
        <f ca="1">IFERROR(__xludf.DUMMYFUNCTION("""COMPUTED_VALUE"""),"तदीशितारं चेदीनां भवांस्तमवमंस्त मा । निहन्त्यरीनेकपदे स उदात्तः स्वरानिव ॥ शिशुपाल  २.९५ ॥")</f>
        <v>तदीशितारं चेदीनां भवांस्तमवमंस्त मा । निहन्त्यरीनेकपदे स उदात्तः स्वरानिव ॥ शिशुपाल  २.९५ ॥</v>
      </c>
      <c r="B6146" s="4" t="s">
        <v>4</v>
      </c>
      <c r="C6146" s="4"/>
    </row>
    <row r="6147" spans="1:3" ht="24" customHeight="1">
      <c r="A6147" s="4" t="str">
        <f ca="1">IFERROR(__xludf.DUMMYFUNCTION("""COMPUTED_VALUE"""),"मा वेदि यदसावेको जेतव्यश्चेदिराडिति । राजयक्ष्मेव रोगाणां समूहः स महीभृताम्‌ ॥ शिशुपाल  २.९६ ॥")</f>
        <v>मा वेदि यदसावेको जेतव्यश्चेदिराडिति । राजयक्ष्मेव रोगाणां समूहः स महीभृताम्‌ ॥ शिशुपाल  २.९६ ॥</v>
      </c>
      <c r="B6147" s="4" t="s">
        <v>2</v>
      </c>
      <c r="C6147" s="4"/>
    </row>
    <row r="6148" spans="1:3" ht="24" customHeight="1">
      <c r="A6148" s="4" t="str">
        <f ca="1">IFERROR(__xludf.DUMMYFUNCTION("""COMPUTED_VALUE"""),"संपादितफलस्तेन सपक्षः परभेदतः । कार्मुकेणेव गुणिना बाणः संधानमेष्यति ॥ शिशुपाल  २.९७ ॥")</f>
        <v>संपादितफलस्तेन सपक्षः परभेदतः । कार्मुकेणेव गुणिना बाणः संधानमेष्यति ॥ शिशुपाल  २.९७ ॥</v>
      </c>
      <c r="B6148" s="4" t="s">
        <v>2</v>
      </c>
      <c r="C6148" s="4"/>
    </row>
    <row r="6149" spans="1:3" ht="24" customHeight="1">
      <c r="A6149" s="4" t="str">
        <f ca="1">IFERROR(__xludf.DUMMYFUNCTION("""COMPUTED_VALUE"""),"ये चान्ये कालयवनसाल्वरुक्मिद्रुमादयः । तमःस्वभावास्ते प्येनं प्रदोषमनुयायिनः ॥ शिशुपाल  २.९८ ॥")</f>
        <v>ये चान्ये कालयवनसाल्वरुक्मिद्रुमादयः । तमःस्वभावास्ते प्येनं प्रदोषमनुयायिनः ॥ शिशुपाल  २.९८ ॥</v>
      </c>
      <c r="B6149" s="4" t="s">
        <v>1</v>
      </c>
      <c r="C6149" s="4"/>
    </row>
    <row r="6150" spans="1:3" ht="24" customHeight="1">
      <c r="A6150" s="4" t="str">
        <f ca="1">IFERROR(__xludf.DUMMYFUNCTION("""COMPUTED_VALUE"""),"उपजापः कृतस्तेन तानाकोपवतस्त्वयि । आशु दीपयिताल्पो पि साग्नीनेधानिवानिलः ॥ शिशुपाल  २.९९ ॥")</f>
        <v>उपजापः कृतस्तेन तानाकोपवतस्त्वयि । आशु दीपयिताल्पो पि साग्नीनेधानिवानिलः ॥ शिशुपाल  २.९९ ॥</v>
      </c>
      <c r="B6150" s="4" t="s">
        <v>11</v>
      </c>
      <c r="C6150" s="4"/>
    </row>
    <row r="6151" spans="1:3" ht="24" customHeight="1">
      <c r="A6151" s="4" t="str">
        <f ca="1">IFERROR(__xludf.DUMMYFUNCTION("""COMPUTED_VALUE"""),"बृहत्सहायः कार्यान्तं क्षोदीयानपि गच्छति । संभूयाम्भोधिमभ्येति महानद्या नगापगा ॥ शिशुपाल  २.१०० ॥")</f>
        <v>बृहत्सहायः कार्यान्तं क्षोदीयानपि गच्छति । संभूयाम्भोधिमभ्येति महानद्या नगापगा ॥ शिशुपाल  २.१०० ॥</v>
      </c>
      <c r="B6151" s="4" t="s">
        <v>15</v>
      </c>
      <c r="C6151" s="4"/>
    </row>
    <row r="6152" spans="1:3" ht="24" customHeight="1">
      <c r="A6152" s="4" t="str">
        <f ca="1">IFERROR(__xludf.DUMMYFUNCTION("""COMPUTED_VALUE"""),"तस्य मित्राण्यमित्रास्ते ये च ये चोभये नृपाः । अभियुक्तं त्वयैनं गन्तारस्त्वामतः पते ॥ शिशुपाल  २.१०१ ॥")</f>
        <v>तस्य मित्राण्यमित्रास्ते ये च ये चोभये नृपाः । अभियुक्तं त्वयैनं गन्तारस्त्वामतः पते ॥ शिशुपाल  २.१०१ ॥</v>
      </c>
      <c r="B6152" s="4" t="s">
        <v>2</v>
      </c>
      <c r="C6152" s="4"/>
    </row>
    <row r="6153" spans="1:3" ht="24" customHeight="1">
      <c r="A6153" s="4" t="str">
        <f ca="1">IFERROR(__xludf.DUMMYFUNCTION("""COMPUTED_VALUE"""),"मखविघ्नाय सकलमित्थमुत्थाप्य राजकम्‌ । हन्त जातमजातारेः प्रथमेन त्वयारिणा ॥ शिशुपाल  २.१०२ ॥")</f>
        <v>मखविघ्नाय सकलमित्थमुत्थाप्य राजकम्‌ । हन्त जातमजातारेः प्रथमेन त्वयारिणा ॥ शिशुपाल  २.१०२ ॥</v>
      </c>
      <c r="B6153" s="4" t="s">
        <v>7</v>
      </c>
      <c r="C6153" s="4"/>
    </row>
    <row r="6154" spans="1:3" ht="24" customHeight="1">
      <c r="A6154" s="4" t="str">
        <f ca="1">IFERROR(__xludf.DUMMYFUNCTION("""COMPUTED_VALUE"""),"संभाष्य त्वामतिभ्रक्षमस्कन्धं सुबान्धवः । सहायमध्वरधुरं धर्मराजो विवक्षते ॥ शिशुपाल  २.१०३ ॥")</f>
        <v>संभाष्य त्वामतिभ्रक्षमस्कन्धं सुबान्धवः । सहायमध्वरधुरं धर्मराजो विवक्षते ॥ शिशुपाल  २.१०३ ॥</v>
      </c>
      <c r="B6154" s="4" t="s">
        <v>2</v>
      </c>
      <c r="C6154" s="4"/>
    </row>
    <row r="6155" spans="1:3" ht="24" customHeight="1">
      <c r="A6155" s="4" t="str">
        <f ca="1">IFERROR(__xludf.DUMMYFUNCTION("""COMPUTED_VALUE"""),"महात्मानो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॥")</f>
        <v>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</v>
      </c>
      <c r="B6155" s="4" t="s">
        <v>15</v>
      </c>
      <c r="C6155" s="4"/>
    </row>
    <row r="6156" spans="1:3" ht="24" customHeight="1">
      <c r="A6156" s="4" t="str">
        <f ca="1">IFERROR(__xludf.DUMMYFUNCTION("""COMPUTED_VALUE"""),"चिरादपि बलात्कारो बलिनः सिद्ध्ये रिषु । छन्दानुवृत्तिदुःसाधाः सुहृदो विमनीकृताः ॥ शिशुपाल  २.१०५ ॥")</f>
        <v>चिरादपि बलात्कारो बलिनः सिद्ध्ये रिषु । छन्दानुवृत्तिदुःसाधाः सुहृदो विमनीकृताः ॥ शिशुपाल  २.१०५ ॥</v>
      </c>
      <c r="B6156" s="4" t="s">
        <v>2</v>
      </c>
      <c r="C6156" s="4"/>
    </row>
    <row r="6157" spans="1:3" ht="24" customHeight="1">
      <c r="A6157" s="4" t="str">
        <f ca="1">IFERROR(__xludf.DUMMYFUNCTION("""COMPUTED_VALUE"""),"मन्यसे रिवधः श्रेयान्‌ प्रीतये नाकिनामिति । पुरोडाशभुजामिष्टमिष्टं कर्तुमलन्तराम्‌ ॥ शिशुपाल  २.१०६ ॥")</f>
        <v>मन्यसे रिवधः श्रेयान्‌ प्रीतये नाकिनामिति । पुरोडाशभुजामिष्टमिष्टं कर्तुमलन्तराम्‌ ॥ शिशुपाल  २.१०६ ॥</v>
      </c>
      <c r="B6157" s="4" t="s">
        <v>0</v>
      </c>
      <c r="C6157" s="4"/>
    </row>
    <row r="6158" spans="1:3" ht="24" customHeight="1">
      <c r="A6158" s="4" t="str">
        <f ca="1">IFERROR(__xludf.DUMMYFUNCTION("""COMPUTED_VALUE"""),"अमृतं नाम यत्सन्तो मन्त्रजिह्वेषु जुह्वति । शोभैव मन्दरक्षुब्धक्षुभिताम्भोधिवर्णना ॥ शिशुपाल  २.१०७ ॥")</f>
        <v>अमृतं नाम यत्सन्तो मन्त्रजिह्वेषु जुह्वति । शोभैव मन्दरक्षुब्धक्षुभिताम्भोधिवर्णना ॥ शिशुपाल  २.१०७ ॥</v>
      </c>
      <c r="B6158" s="4" t="s">
        <v>1</v>
      </c>
      <c r="C6158" s="4"/>
    </row>
    <row r="6159" spans="1:3" ht="24" customHeight="1">
      <c r="A6159" s="4" t="str">
        <f ca="1">IFERROR(__xludf.DUMMYFUNCTION("""COMPUTED_VALUE"""),"प्रतीक्ष्यं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॥")</f>
        <v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</v>
      </c>
      <c r="B6159" s="4" t="s">
        <v>5</v>
      </c>
      <c r="C6159" s="4"/>
    </row>
    <row r="6160" spans="1:3" ht="24" customHeight="1">
      <c r="A6160" s="4" t="str">
        <f ca="1">IFERROR(__xludf.DUMMYFUNCTION("""COMPUTED_VALUE"""),"तीक्ष्णा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॥")</f>
        <v>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</v>
      </c>
      <c r="B6160" s="4" t="s">
        <v>2</v>
      </c>
      <c r="C6160" s="4"/>
    </row>
    <row r="6161" spans="1:3" ht="24" customHeight="1">
      <c r="A6161" s="4" t="str">
        <f ca="1">IFERROR(__xludf.DUMMYFUNCTION("""COMPUTED_VALUE"""),"स्वयंकृतेप्रसादस्य तस्याह्रो भानुमानिव । समयावधिमप्राप्य नान्तायालं भवानपि ॥ शिशुपाल  २.११० ॥")</f>
        <v>स्वयंकृतेप्रसादस्य तस्याह्रो भानुमानिव । समयावधिमप्राप्य नान्तायालं भवानपि ॥ शिशुपाल  २.११० ॥</v>
      </c>
      <c r="B6161" s="4" t="s">
        <v>9</v>
      </c>
      <c r="C6161" s="4"/>
    </row>
    <row r="6162" spans="1:3" ht="24" customHeight="1">
      <c r="A6162" s="4" t="str">
        <f ca="1">IFERROR(__xludf.DUMMYFUNCTION("""COMPUTED_VALUE"""),"कृत्वा कृत्यविदस्तीर्थैरतः प्रणिधयः पदम्‌ । विदांकुवन्तु महतस्तलं विद्विषदम्भसः ॥ शिशुपाल  २.१११ ॥")</f>
        <v>कृत्वा कृत्यविदस्तीर्थैरतः प्रणिधयः पदम्‌ । विदांकुवन्तु महतस्तलं विद्विषदम्भसः ॥ शिशुपाल  २.१११ ॥</v>
      </c>
      <c r="B6162" s="4" t="s">
        <v>18</v>
      </c>
      <c r="C6162" s="4"/>
    </row>
    <row r="6163" spans="1:3" ht="24" customHeight="1">
      <c r="A6163" s="4" t="str">
        <f ca="1">IFERROR(__xludf.DUMMYFUNCTION("""COMPUTED_VALUE"""),"अनुत्सूत्रपदन्यासा सद्वृत्तिः सन्निबन्धना । शब्दविद्येव नाभाति राजनीतिरपस्पशा ॥ शिशुपाल  २.११२ ॥")</f>
        <v>अनुत्सूत्रपदन्यासा सद्वृत्तिः सन्निबन्धना । शब्दविद्येव नाभाति राजनीतिरपस्पशा ॥ शिशुपाल  २.११२ ॥</v>
      </c>
      <c r="B6163" s="4" t="s">
        <v>8</v>
      </c>
      <c r="C6163" s="4"/>
    </row>
    <row r="6164" spans="1:3" ht="24" customHeight="1">
      <c r="A6164" s="4" t="str">
        <f ca="1">IFERROR(__xludf.DUMMYFUNCTION("""COMPUTED_VALUE"""),"अज्ञातदोषैर्दोषज्ञैरूद्दूष्यो भयवेतनैः । भेद्याः शत्रोरभिव्यक्तशासनैः सामवायिकाः ॥ शिशुपाल  २.११३ ॥")</f>
        <v>अज्ञातदोषैर्दोषज्ञैरूद्दूष्यो भयवेतनैः । भेद्याः शत्रोरभिव्यक्तशासनैः सामवायिकाः ॥ शिशुपाल  २.११३ ॥</v>
      </c>
      <c r="B6164" s="4" t="s">
        <v>19</v>
      </c>
      <c r="C6164" s="4"/>
    </row>
    <row r="6165" spans="1:3" ht="24" customHeight="1">
      <c r="A6165" s="4" t="str">
        <f ca="1">IFERROR(__xludf.DUMMYFUNCTION("""COMPUTED_VALUE"""),"उपेयिवांसि कर्तारः पुरीमाजातशास्त्रवीन्‌ । राजन्यकान्युपायज्ञैरेकार्थानि चरैस्तव ॥ शिशुपाल  २.११४ ॥")</f>
        <v>उपेयिवांसि कर्तारः पुरीमाजातशास्त्रवीन्‌ । राजन्यकान्युपायज्ञैरेकार्थानि चरैस्तव ॥ शिशुपाल  २.११४ ॥</v>
      </c>
      <c r="B6165" s="4" t="s">
        <v>4</v>
      </c>
      <c r="C6165" s="4"/>
    </row>
    <row r="6166" spans="1:3" ht="24" customHeight="1">
      <c r="A6166" s="4" t="str">
        <f ca="1">IFERROR(__xludf.DUMMYFUNCTION("""COMPUTED_VALUE"""),"सविशेषं सुते पाण्डोर्भक्तिं भवति तन्वति । वैरायितास्तरलाः स्वयं मत्सरिणः परे ॥ शिशुपाल  २.११५ ॥")</f>
        <v>सविशेषं सुते पाण्डोर्भक्तिं भवति तन्वति । वैरायितास्तरलाः स्वयं मत्सरिणः परे ॥ शिशुपाल  २.११५ ॥</v>
      </c>
      <c r="B6166" s="4" t="s">
        <v>0</v>
      </c>
      <c r="C6166" s="4"/>
    </row>
    <row r="6167" spans="1:3" ht="24" customHeight="1">
      <c r="A6167" s="4" t="str">
        <f ca="1">IFERROR(__xludf.DUMMYFUNCTION("""COMPUTED_VALUE"""),"य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॥")</f>
        <v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</v>
      </c>
      <c r="B6167" s="4" t="s">
        <v>2</v>
      </c>
      <c r="C6167" s="4"/>
    </row>
    <row r="6168" spans="1:3" ht="24" customHeight="1">
      <c r="A6168" s="4" t="str">
        <f ca="1">IFERROR(__xludf.DUMMYFUNCTION("""COMPUTED_VALUE"""),"सहजचापलदोषसमुद्धत-श्चलितदुर्बलपक्षपरिग्रहः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॥")</f>
        <v>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</v>
      </c>
      <c r="B6168" s="4" t="s">
        <v>7</v>
      </c>
      <c r="C6168" s="4"/>
    </row>
    <row r="6169" spans="1:3" ht="24" customHeight="1">
      <c r="A6169" s="4" t="str">
        <f ca="1">IFERROR(__xludf.DUMMYFUNCTION("""COMPUTED_VALUE"""),"इति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॥")</f>
        <v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</v>
      </c>
      <c r="B6169" s="4" t="s">
        <v>18</v>
      </c>
      <c r="C6169" s="4"/>
    </row>
    <row r="6170" spans="1:3" ht="24" customHeight="1">
      <c r="A6170" s="4" t="str">
        <f ca="1">IFERROR(__xludf.DUMMYFUNCTION("""COMPUTED_VALUE"""),"कौबीरदिग्भागमपास्य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॥")</f>
        <v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</v>
      </c>
      <c r="B6170" s="4" t="s">
        <v>10</v>
      </c>
      <c r="C6170" s="4"/>
    </row>
    <row r="6171" spans="1:3" ht="24" customHeight="1">
      <c r="A6171" s="4" t="str">
        <f ca="1">IFERROR(__xludf.DUMMYFUNCTION("""COMPUTED_VALUE"""),"जगत्पवितैरपि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॥")</f>
        <v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</v>
      </c>
      <c r="B6171" s="4" t="s">
        <v>4</v>
      </c>
      <c r="C6171" s="4"/>
    </row>
    <row r="6172" spans="1:3" ht="24" customHeight="1">
      <c r="A6172" s="4" t="str">
        <f ca="1">IFERROR(__xludf.DUMMYFUNCTION("""COMPUTED_VALUE"""),"मृणालसूत्रामलमन्तरेण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॥")</f>
        <v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</v>
      </c>
      <c r="B6172" s="4" t="s">
        <v>8</v>
      </c>
      <c r="C6172" s="4"/>
    </row>
    <row r="6173" spans="1:3" ht="24" customHeight="1">
      <c r="A6173" s="4" t="str">
        <f ca="1">IFERROR(__xludf.DUMMYFUNCTION("""COMPUTED_VALUE"""),"चित्राभिरस्योपरि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॥")</f>
        <v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</v>
      </c>
      <c r="B6173" s="4" t="s">
        <v>0</v>
      </c>
      <c r="C6173" s="4"/>
    </row>
    <row r="6174" spans="1:3" ht="24" customHeight="1">
      <c r="A6174" s="4" t="str">
        <f ca="1">IFERROR(__xludf.DUMMYFUNCTION("""COMPUTED_VALUE"""),"तस्योल्लसत्काञ्चनकुण्डलाग्रप्रत्युप्तगारुत्मतरत्नभासा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॥")</f>
        <v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</v>
      </c>
      <c r="B6174" s="4" t="s">
        <v>0</v>
      </c>
      <c r="C6174" s="4"/>
    </row>
    <row r="6175" spans="1:3" ht="24" customHeight="1">
      <c r="A6175" s="4" t="str">
        <f ca="1">IFERROR(__xludf.DUMMYFUNCTION("""COMPUTED_VALUE"""),"तमङ्गदे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॥")</f>
        <v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</v>
      </c>
      <c r="B6175" s="4" t="s">
        <v>2</v>
      </c>
      <c r="C6175" s="4"/>
    </row>
    <row r="6176" spans="1:3" ht="24" customHeight="1">
      <c r="A6176" s="4" t="str">
        <f ca="1">IFERROR(__xludf.DUMMYFUNCTION("""COMPUTED_VALUE"""),"निसर्गरक्तैर्वलयावबद्दहताम्राश्मरश्मिच्छुरितैर्नखाग्रैः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॥")</f>
        <v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</v>
      </c>
      <c r="B6176" s="4" t="s">
        <v>18</v>
      </c>
      <c r="C6176" s="4"/>
    </row>
    <row r="6177" spans="1:3" ht="24" customHeight="1">
      <c r="A6177" s="4" t="str">
        <f ca="1">IFERROR(__xludf.DUMMYFUNCTION("""COMPUTED_VALUE"""),"उभौ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॥")</f>
        <v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</v>
      </c>
      <c r="B6177" s="4" t="s">
        <v>13</v>
      </c>
      <c r="C6177" s="4"/>
    </row>
    <row r="6178" spans="1:3" ht="24" customHeight="1">
      <c r="A6178" s="4" t="str">
        <f ca="1">IFERROR(__xludf.DUMMYFUNCTION("""COMPUTED_VALUE"""),"तेनाम्भसां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॥")</f>
        <v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</v>
      </c>
      <c r="B6178" s="4" t="s">
        <v>19</v>
      </c>
      <c r="C6178" s="4"/>
    </row>
    <row r="6179" spans="1:3" ht="24" customHeight="1">
      <c r="A6179" s="4" t="str">
        <f ca="1">IFERROR(__xludf.DUMMYFUNCTION("""COMPUTED_VALUE"""),"सुक्तामयं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॥")</f>
        <v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</v>
      </c>
      <c r="B6179" s="4" t="s">
        <v>6</v>
      </c>
      <c r="C6179" s="4"/>
    </row>
    <row r="6180" spans="1:3" ht="24" customHeight="1">
      <c r="A6180" s="4" t="str">
        <f ca="1">IFERROR(__xludf.DUMMYFUNCTION("""COMPUTED_VALUE"""),"स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॥")</f>
        <v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</v>
      </c>
      <c r="B6180" s="4" t="s">
        <v>0</v>
      </c>
      <c r="C6180" s="4"/>
    </row>
    <row r="6181" spans="1:3" ht="24" customHeight="1">
      <c r="A6181" s="4" t="str">
        <f ca="1">IFERROR(__xludf.DUMMYFUNCTION("""COMPUTED_VALUE"""),"प्रसाधितस्याथ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॥")</f>
        <v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</v>
      </c>
      <c r="B6181" s="4" t="s">
        <v>2</v>
      </c>
      <c r="C6181" s="4"/>
    </row>
    <row r="6182" spans="1:3" ht="24" customHeight="1">
      <c r="A6182" s="4" t="str">
        <f ca="1">IFERROR(__xludf.DUMMYFUNCTION("""COMPUTED_VALUE"""),"कपाटविस्तीर्णमनोरमोरःस्थलश्रीललनस्य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॥")</f>
        <v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</v>
      </c>
      <c r="B6182" s="4" t="s">
        <v>12</v>
      </c>
      <c r="C6182" s="4"/>
    </row>
    <row r="6183" spans="1:3" ht="24" customHeight="1">
      <c r="A6183" s="4" t="str">
        <f ca="1">IFERROR(__xludf.DUMMYFUNCTION("""COMPUTED_VALUE"""),"प्राणच्छिदा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॥")</f>
        <v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</v>
      </c>
      <c r="B6183" s="4" t="s">
        <v>1</v>
      </c>
      <c r="C6183" s="4"/>
    </row>
    <row r="6184" spans="1:3" ht="24" customHeight="1">
      <c r="A6184" s="4" t="str">
        <f ca="1">IFERROR(__xludf.DUMMYFUNCTION("""COMPUTED_VALUE"""),"आकर्षतेवोर्ध्वमपि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॥")</f>
        <v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</v>
      </c>
      <c r="B6184" s="4" t="s">
        <v>1</v>
      </c>
      <c r="C6184" s="4"/>
    </row>
    <row r="6185" spans="1:3" ht="24" customHeight="1">
      <c r="A6185" s="4" t="str">
        <f ca="1">IFERROR(__xludf.DUMMYFUNCTION("""COMPUTED_VALUE"""),"यां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॥")</f>
        <v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</v>
      </c>
      <c r="B6185" s="4" t="s">
        <v>13</v>
      </c>
      <c r="C6185" s="4"/>
    </row>
    <row r="6186" spans="1:3" ht="24" customHeight="1">
      <c r="A6186" s="4" t="str">
        <f ca="1">IFERROR(__xludf.DUMMYFUNCTION("""COMPUTED_VALUE"""),"तस्यातसीसूनसमानभासो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॥")</f>
        <v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</v>
      </c>
      <c r="B6186" s="4" t="s">
        <v>24</v>
      </c>
      <c r="C6186" s="4"/>
    </row>
    <row r="6187" spans="1:3" ht="24" customHeight="1">
      <c r="A6187" s="4" t="str">
        <f ca="1">IFERROR(__xludf.DUMMYFUNCTION("""COMPUTED_VALUE"""),"विरोधिनां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॥")</f>
        <v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</v>
      </c>
      <c r="B6187" s="4" t="s">
        <v>2</v>
      </c>
      <c r="C6187" s="4"/>
    </row>
    <row r="6188" spans="1:3" ht="24" customHeight="1">
      <c r="A6188" s="4" t="str">
        <f ca="1">IFERROR(__xludf.DUMMYFUNCTION("""COMPUTED_VALUE"""),"न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॥")</f>
        <v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</v>
      </c>
      <c r="B6188" s="4" t="s">
        <v>6</v>
      </c>
      <c r="C6188" s="4"/>
    </row>
    <row r="6189" spans="1:3" ht="24" customHeight="1">
      <c r="A6189" s="4" t="str">
        <f ca="1">IFERROR(__xludf.DUMMYFUNCTION("""COMPUTED_VALUE"""),"न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॥")</f>
        <v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</v>
      </c>
      <c r="B6189" s="4" t="s">
        <v>5</v>
      </c>
      <c r="C6189" s="4"/>
    </row>
    <row r="6190" spans="1:3" ht="24" customHeight="1">
      <c r="A6190" s="4" t="str">
        <f ca="1">IFERROR(__xludf.DUMMYFUNCTION("""COMPUTED_VALUE"""),"प्रवद्धमन्द्राम्बुदनादधीरं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॥")</f>
        <v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</v>
      </c>
      <c r="B6190" s="4" t="s">
        <v>5</v>
      </c>
      <c r="C6190" s="4"/>
    </row>
    <row r="6191" spans="1:3" ht="24" customHeight="1">
      <c r="A6191" s="4" t="str">
        <f ca="1">IFERROR(__xludf.DUMMYFUNCTION("""COMPUTED_VALUE"""),"रराज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॥")</f>
        <v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</v>
      </c>
      <c r="B6191" s="4" t="s">
        <v>30</v>
      </c>
      <c r="C6191" s="4"/>
    </row>
    <row r="6192" spans="1:3" ht="24" customHeight="1">
      <c r="A6192" s="4" t="str">
        <f ca="1">IFERROR(__xludf.DUMMYFUNCTION("""COMPUTED_VALUE"""),"द्वजाग्रधामा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॥")</f>
        <v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</v>
      </c>
      <c r="B6192" s="4" t="s">
        <v>0</v>
      </c>
      <c r="C6192" s="4"/>
    </row>
    <row r="6193" spans="1:3" ht="24" customHeight="1">
      <c r="A6193" s="4" t="str">
        <f ca="1">IFERROR(__xludf.DUMMYFUNCTION("""COMPUTED_VALUE"""),"यियासतस्तस्य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॥")</f>
        <v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</v>
      </c>
      <c r="B6193" s="4" t="s">
        <v>0</v>
      </c>
      <c r="C6193" s="4"/>
    </row>
    <row r="6194" spans="1:3" ht="24" customHeight="1">
      <c r="A6194" s="4" t="str">
        <f ca="1">IFERROR(__xludf.DUMMYFUNCTION("""COMPUTED_VALUE"""),"यतः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॥")</f>
        <v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</v>
      </c>
      <c r="B6194" s="4" t="s">
        <v>0</v>
      </c>
      <c r="C6194" s="4"/>
    </row>
    <row r="6195" spans="1:3" ht="24" customHeight="1">
      <c r="A6195" s="4" t="str">
        <f ca="1">IFERROR(__xludf.DUMMYFUNCTION("""COMPUTED_VALUE"""),"अथोच्चकैस्तोरणसङ्गभङ्गभयावनम्रीकृतकेतनानि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॥")</f>
        <v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</v>
      </c>
      <c r="B6195" s="4" t="s">
        <v>2</v>
      </c>
      <c r="C6195" s="4"/>
    </row>
    <row r="6196" spans="1:3" ht="24" customHeight="1">
      <c r="A6196" s="4" t="str">
        <f ca="1">IFERROR(__xludf.DUMMYFUNCTION("""COMPUTED_VALUE"""),"श्यामारुणैर्वारणदानतोयैरालोडिताः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॥")</f>
        <v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</v>
      </c>
      <c r="B6196" s="4" t="s">
        <v>28</v>
      </c>
      <c r="C6196" s="4"/>
    </row>
    <row r="6197" spans="1:3" ht="24" customHeight="1">
      <c r="A6197" s="4" t="str">
        <f ca="1">IFERROR(__xludf.DUMMYFUNCTION("""COMPUTED_VALUE"""),"न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॥")</f>
        <v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</v>
      </c>
      <c r="B6197" s="4" t="s">
        <v>7</v>
      </c>
      <c r="C6197" s="4"/>
    </row>
    <row r="6198" spans="1:3" ht="24" customHeight="1">
      <c r="A6198" s="4" t="str">
        <f ca="1">IFERROR(__xludf.DUMMYFUNCTION("""COMPUTED_VALUE"""),"निरुध्यमाना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॥")</f>
        <v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</v>
      </c>
      <c r="B6198" s="4" t="s">
        <v>13</v>
      </c>
      <c r="C6198" s="4"/>
    </row>
    <row r="6199" spans="1:3" ht="24" customHeight="1">
      <c r="A6199" s="4" t="str">
        <f ca="1">IFERROR(__xludf.DUMMYFUNCTION("""COMPUTED_VALUE"""),"अवेक्षितानायतवल्गमग्रे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॥")</f>
        <v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</v>
      </c>
      <c r="B6199" s="4" t="s">
        <v>5</v>
      </c>
      <c r="C6199" s="4"/>
    </row>
    <row r="6200" spans="1:3" ht="24" customHeight="1">
      <c r="A6200" s="4" t="str">
        <f ca="1">IFERROR(__xludf.DUMMYFUNCTION("""COMPUTED_VALUE"""),"दिदृक्षमाणाः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॥")</f>
        <v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</v>
      </c>
      <c r="B6200" s="4" t="s">
        <v>2</v>
      </c>
      <c r="C6200" s="4"/>
    </row>
    <row r="6201" spans="1:3" ht="24" customHeight="1">
      <c r="A6201" s="4" t="str">
        <f ca="1">IFERROR(__xludf.DUMMYFUNCTION("""COMPUTED_VALUE"""),"उपेयुषो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॥")</f>
        <v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</v>
      </c>
      <c r="B6201" s="4" t="s">
        <v>2</v>
      </c>
      <c r="C6201" s="4"/>
    </row>
    <row r="6202" spans="1:3" ht="24" customHeight="1">
      <c r="A6202" s="4" t="str">
        <f ca="1">IFERROR(__xludf.DUMMYFUNCTION("""COMPUTED_VALUE"""),"मध्येसमुद्रं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॥")</f>
        <v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</v>
      </c>
      <c r="B6202" s="4" t="s">
        <v>18</v>
      </c>
      <c r="C6202" s="4"/>
    </row>
    <row r="6203" spans="1:3" ht="24" customHeight="1">
      <c r="A6203" s="4" t="str">
        <f ca="1">IFERROR(__xludf.DUMMYFUNCTION("""COMPUTED_VALUE"""),"कृतास्पदा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॥")</f>
        <v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</v>
      </c>
      <c r="B6203" s="4" t="s">
        <v>4</v>
      </c>
      <c r="C6203" s="4"/>
    </row>
    <row r="6204" spans="1:3" ht="24" customHeight="1">
      <c r="A6204" s="4" t="str">
        <f ca="1">IFERROR(__xludf.DUMMYFUNCTION("""COMPUTED_VALUE"""),"त्वष्टुः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॥")</f>
        <v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</v>
      </c>
      <c r="B6204" s="4" t="s">
        <v>13</v>
      </c>
      <c r="C6204" s="4"/>
    </row>
    <row r="6205" spans="1:3" ht="24" customHeight="1">
      <c r="A6205" s="4" t="str">
        <f ca="1">IFERROR(__xludf.DUMMYFUNCTION("""COMPUTED_VALUE"""),"रथाङ्गभर्त्रे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॥")</f>
        <v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</v>
      </c>
      <c r="B6205" s="4" t="s">
        <v>20</v>
      </c>
      <c r="C6205" s="4"/>
    </row>
    <row r="6206" spans="1:3" ht="24" customHeight="1">
      <c r="A6206" s="4" t="str">
        <f ca="1">IFERROR(__xludf.DUMMYFUNCTION("""COMPUTED_VALUE"""),"यस्याश्चलद्वारिधिवारिवीचिच्छटोच्छलच्छङ्खक्युलाकुलेन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॥")</f>
        <v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</v>
      </c>
      <c r="B6206" s="4" t="s">
        <v>0</v>
      </c>
      <c r="C6206" s="4"/>
    </row>
    <row r="6207" spans="1:3" ht="24" customHeight="1">
      <c r="A6207" s="4" t="str">
        <f ca="1">IFERROR(__xludf.DUMMYFUNCTION("""COMPUTED_VALUE"""),"वणिक्पथे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॥")</f>
        <v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</v>
      </c>
      <c r="B6207" s="4" t="s">
        <v>9</v>
      </c>
      <c r="C6207" s="4"/>
    </row>
    <row r="6208" spans="1:3" ht="24" customHeight="1">
      <c r="A6208" s="4" t="str">
        <f ca="1">IFERROR(__xludf.DUMMYFUNCTION("""COMPUTED_VALUE"""),"अम्भश्च्युतः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॥")</f>
        <v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</v>
      </c>
      <c r="B6208" s="4" t="s">
        <v>2</v>
      </c>
      <c r="C6208" s="4"/>
    </row>
    <row r="6209" spans="1:3" ht="24" customHeight="1">
      <c r="A6209" s="4" t="str">
        <f ca="1">IFERROR(__xludf.DUMMYFUNCTION("""COMPUTED_VALUE"""),"यत्सालमुत्तुङ्गतया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॥")</f>
        <v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</v>
      </c>
      <c r="B6209" s="4" t="s">
        <v>5</v>
      </c>
      <c r="C6209" s="4"/>
    </row>
    <row r="6210" spans="1:3" ht="24" customHeight="1">
      <c r="A6210" s="4" t="str">
        <f ca="1">IFERROR(__xludf.DUMMYFUNCTION("""COMPUTED_VALUE"""),"कुतूहलेनेव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॥")</f>
        <v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</v>
      </c>
      <c r="B6210" s="4" t="s">
        <v>24</v>
      </c>
      <c r="C6210" s="4"/>
    </row>
    <row r="6211" spans="1:3" ht="24" customHeight="1">
      <c r="A6211" s="4" t="str">
        <f ca="1">IFERROR(__xludf.DUMMYFUNCTION("""COMPUTED_VALUE"""),"यदङ्गनारुपसरुपतायाः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॥")</f>
        <v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</v>
      </c>
      <c r="B6211" s="4" t="s">
        <v>1</v>
      </c>
      <c r="C6211" s="4"/>
    </row>
    <row r="6212" spans="1:3" ht="24" customHeight="1">
      <c r="A6212" s="4" t="str">
        <f ca="1">IFERROR(__xludf.DUMMYFUNCTION("""COMPUTED_VALUE"""),"स्फुरत्तुषारंशुमरीचिजालविनिह्नुताः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")</f>
        <v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</v>
      </c>
      <c r="B6212" s="4" t="s">
        <v>3</v>
      </c>
      <c r="C6212" s="4"/>
    </row>
    <row r="6213" spans="1:3" ht="24" customHeight="1">
      <c r="A6213" s="4" t="str">
        <f ca="1">IFERROR(__xludf.DUMMYFUNCTION("""COMPUTED_VALUE"""),"कान्तेन्दुकान्तोपलदुट्टिमेषु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॥")</f>
        <v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</v>
      </c>
      <c r="B6213" s="4" t="s">
        <v>5</v>
      </c>
      <c r="C6213" s="4"/>
    </row>
    <row r="6214" spans="1:3" ht="24" customHeight="1">
      <c r="A6214" s="4" t="str">
        <f ca="1">IFERROR(__xludf.DUMMYFUNCTION("""COMPUTED_VALUE"""),"रतौ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॥")</f>
        <v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</v>
      </c>
      <c r="B6214" s="4" t="s">
        <v>5</v>
      </c>
      <c r="C6214" s="4"/>
    </row>
    <row r="6215" spans="1:3" ht="24" customHeight="1">
      <c r="A6215" s="4" t="str">
        <f ca="1">IFERROR(__xludf.DUMMYFUNCTION("""COMPUTED_VALUE"""),"यस्यामतिश्लक्ष्णतया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॥")</f>
        <v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</v>
      </c>
      <c r="B6215" s="4" t="s">
        <v>2</v>
      </c>
      <c r="C6215" s="4"/>
    </row>
    <row r="6216" spans="1:3" ht="24" customHeight="1">
      <c r="A6216" s="4" t="str">
        <f ca="1">IFERROR(__xludf.DUMMYFUNCTION("""COMPUTED_VALUE"""),"सावर्ण्यभाजः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॥")</f>
        <v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</v>
      </c>
      <c r="B6216" s="4" t="s">
        <v>0</v>
      </c>
      <c r="C6216" s="4"/>
    </row>
    <row r="6217" spans="1:3" ht="24" customHeight="1">
      <c r="A6217" s="4" t="str">
        <f ca="1">IFERROR(__xludf.DUMMYFUNCTION("""COMPUTED_VALUE"""),"शुकाङ्गनीलोपलनिर्मितानां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॥")</f>
        <v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</v>
      </c>
      <c r="B6217" s="4" t="s">
        <v>1</v>
      </c>
      <c r="C6217" s="4"/>
    </row>
    <row r="6218" spans="1:3" ht="24" customHeight="1">
      <c r="A6218" s="4" t="str">
        <f ca="1">IFERROR(__xludf.DUMMYFUNCTION("""COMPUTED_VALUE"""),"गोपानसीषु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॥")</f>
        <v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</v>
      </c>
      <c r="B6218" s="4" t="s">
        <v>3</v>
      </c>
      <c r="C6218" s="4"/>
    </row>
    <row r="6219" spans="1:3" ht="24" customHeight="1">
      <c r="A6219" s="4" t="str">
        <f ca="1">IFERROR(__xludf.DUMMYFUNCTION("""COMPUTED_VALUE"""),"बृहत्तुलैरप्यतुलैर्वितानमालावनद्धैरपि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॥")</f>
        <v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</v>
      </c>
      <c r="B6219" s="4" t="s">
        <v>11</v>
      </c>
      <c r="C6219" s="4"/>
    </row>
    <row r="6220" spans="1:3" ht="24" customHeight="1">
      <c r="A6220" s="4" t="str">
        <f ca="1">IFERROR(__xludf.DUMMYFUNCTION("""COMPUTED_VALUE"""),"चिक्रंसया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॥")</f>
        <v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</v>
      </c>
      <c r="B6220" s="4" t="s">
        <v>1</v>
      </c>
      <c r="C6220" s="4"/>
    </row>
    <row r="6221" spans="1:3" ht="24" customHeight="1">
      <c r="A6221" s="4" t="str">
        <f ca="1">IFERROR(__xludf.DUMMYFUNCTION("""COMPUTED_VALUE"""),"क्षितिप्रतिष्ठोऽपि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॥")</f>
        <v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</v>
      </c>
      <c r="B6221" s="4" t="s">
        <v>24</v>
      </c>
      <c r="C6221" s="4"/>
    </row>
    <row r="6222" spans="1:3" ht="24" customHeight="1">
      <c r="A6222" s="4" t="str">
        <f ca="1">IFERROR(__xludf.DUMMYFUNCTION("""COMPUTED_VALUE"""),"रम्या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॥")</f>
        <v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</v>
      </c>
      <c r="B6222" s="4" t="s">
        <v>1</v>
      </c>
      <c r="C6222" s="4"/>
    </row>
    <row r="6223" spans="1:3" ht="24" customHeight="1">
      <c r="A6223" s="4" t="str">
        <f ca="1">IFERROR(__xludf.DUMMYFUNCTION("""COMPUTED_VALUE"""),"सुगन्धितामप्रतियत्नपूर्वं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॥")</f>
        <v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</v>
      </c>
      <c r="B6223" s="4" t="s">
        <v>5</v>
      </c>
      <c r="C6223" s="4"/>
    </row>
    <row r="6224" spans="1:3" ht="24" customHeight="1">
      <c r="A6224" s="4" t="str">
        <f ca="1">IFERROR(__xludf.DUMMYFUNCTION("""COMPUTED_VALUE"""),"रतान्तरे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॥")</f>
        <v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</v>
      </c>
      <c r="B6224" s="4" t="s">
        <v>1</v>
      </c>
      <c r="C6224" s="4"/>
    </row>
    <row r="6225" spans="1:3" ht="24" customHeight="1">
      <c r="A6225" s="4" t="str">
        <f ca="1">IFERROR(__xludf.DUMMYFUNCTION("""COMPUTED_VALUE"""),"छन्नेष्वपि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॥")</f>
        <v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</v>
      </c>
      <c r="B6225" s="4" t="s">
        <v>9</v>
      </c>
      <c r="C6225" s="4"/>
    </row>
    <row r="6226" spans="1:3" ht="24" customHeight="1">
      <c r="A6226" s="4" t="str">
        <f ca="1">IFERROR(__xludf.DUMMYFUNCTION("""COMPUTED_VALUE"""),"यस्यामजिह्मा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॥")</f>
        <v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</v>
      </c>
      <c r="B6226" s="4" t="s">
        <v>15</v>
      </c>
      <c r="C6226" s="4"/>
    </row>
    <row r="6227" spans="1:3" ht="24" customHeight="1">
      <c r="A6227" s="4" t="str">
        <f ca="1">IFERROR(__xludf.DUMMYFUNCTION("""COMPUTED_VALUE"""),"परस्परर्द्धिपरार्ध्यरुपाः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॥")</f>
        <v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</v>
      </c>
      <c r="B6227" s="4" t="s">
        <v>3</v>
      </c>
      <c r="C6227" s="4"/>
    </row>
    <row r="6228" spans="1:3" ht="24" customHeight="1">
      <c r="A6228" s="4" t="str">
        <f ca="1">IFERROR(__xludf.DUMMYFUNCTION("""COMPUTED_VALUE"""),"क्षणं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॥")</f>
        <v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</v>
      </c>
      <c r="B6228" s="4" t="s">
        <v>12</v>
      </c>
      <c r="C6228" s="4"/>
    </row>
    <row r="6229" spans="1:3" ht="24" customHeight="1">
      <c r="A6229" s="4" t="str">
        <f ca="1">IFERROR(__xludf.DUMMYFUNCTION("""COMPUTED_VALUE"""),"कला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॥")</f>
        <v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</v>
      </c>
      <c r="B6229" s="4" t="s">
        <v>8</v>
      </c>
      <c r="C6229" s="4"/>
    </row>
    <row r="6230" spans="1:3" ht="24" customHeight="1">
      <c r="A6230" s="4" t="str">
        <f ca="1">IFERROR(__xludf.DUMMYFUNCTION("""COMPUTED_VALUE"""),"बाणाहवव्याहतशम्भुशक्तेरासत्तिमासद्य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॥")</f>
        <v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</v>
      </c>
      <c r="B6230" s="4" t="s">
        <v>1</v>
      </c>
      <c r="C6230" s="4"/>
    </row>
    <row r="6231" spans="1:3" ht="24" customHeight="1">
      <c r="A6231" s="4" t="str">
        <f ca="1">IFERROR(__xludf.DUMMYFUNCTION("""COMPUTED_VALUE"""),"निषेव्यमाणेन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॥")</f>
        <v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</v>
      </c>
      <c r="B6231" s="4" t="s">
        <v>5</v>
      </c>
      <c r="C6231" s="4"/>
    </row>
    <row r="6232" spans="1:3" ht="24" customHeight="1">
      <c r="A6232" s="4" t="str">
        <f ca="1">IFERROR(__xludf.DUMMYFUNCTION("""COMPUTED_VALUE"""),"स्निग्धाञ्जनश्यामरुचिः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॥")</f>
        <v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</v>
      </c>
      <c r="B6232" s="4" t="s">
        <v>4</v>
      </c>
      <c r="C6232" s="4"/>
    </row>
    <row r="6233" spans="1:3" ht="24" customHeight="1">
      <c r="A6233" s="4" t="str">
        <f ca="1">IFERROR(__xludf.DUMMYFUNCTION("""COMPUTED_VALUE"""),"तामीक्षमाणः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॥")</f>
        <v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</v>
      </c>
      <c r="B6233" s="4" t="s">
        <v>5</v>
      </c>
      <c r="C6233" s="4"/>
    </row>
    <row r="6234" spans="1:3" ht="24" customHeight="1">
      <c r="A6234" s="4" t="str">
        <f ca="1">IFERROR(__xludf.DUMMYFUNCTION("""COMPUTED_VALUE"""),"प्रजा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॥")</f>
        <v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</v>
      </c>
      <c r="B6234" s="4" t="s">
        <v>5</v>
      </c>
      <c r="C6234" s="4"/>
    </row>
    <row r="6235" spans="1:3" ht="24" customHeight="1">
      <c r="A6235" s="4" t="str">
        <f ca="1">IFERROR(__xludf.DUMMYFUNCTION("""COMPUTED_VALUE"""),"श्लिष्यद्भिरन्योन्यमुखाग्रसङ्गस्खलत्खलीनं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॥")</f>
        <v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</v>
      </c>
      <c r="B6235" s="4" t="s">
        <v>0</v>
      </c>
      <c r="C6235" s="4"/>
    </row>
    <row r="6236" spans="1:3" ht="24" customHeight="1">
      <c r="A6236" s="4" t="str">
        <f ca="1">IFERROR(__xludf.DUMMYFUNCTION("""COMPUTED_VALUE"""),"निरन्तरालेऽपि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॥")</f>
        <v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</v>
      </c>
      <c r="B6236" s="4" t="s">
        <v>4</v>
      </c>
      <c r="C6236" s="4"/>
    </row>
    <row r="6237" spans="1:3" ht="24" customHeight="1">
      <c r="A6237" s="4" t="str">
        <f ca="1">IFERROR(__xludf.DUMMYFUNCTION("""COMPUTED_VALUE"""),"शनैरनीयन्त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॥")</f>
        <v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</v>
      </c>
      <c r="B6237" s="4" t="s">
        <v>15</v>
      </c>
      <c r="C6237" s="4"/>
    </row>
    <row r="6238" spans="1:3" ht="24" customHeight="1">
      <c r="A6238" s="4" t="str">
        <f ca="1">IFERROR(__xludf.DUMMYFUNCTION("""COMPUTED_VALUE"""),"बलोर्मिभिस्तत्क्षणहीयमानरथ्याभुजाया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॥")</f>
        <v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</v>
      </c>
      <c r="B6238" s="4" t="s">
        <v>18</v>
      </c>
      <c r="C6238" s="4"/>
    </row>
    <row r="6239" spans="1:3" ht="24" customHeight="1">
      <c r="A6239" s="4" t="str">
        <f ca="1">IFERROR(__xludf.DUMMYFUNCTION("""COMPUTED_VALUE"""),"पारेजलं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॥")</f>
        <v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</v>
      </c>
      <c r="B6239" s="4" t="s">
        <v>6</v>
      </c>
      <c r="C6239" s="4"/>
    </row>
    <row r="6240" spans="1:3" ht="24" customHeight="1">
      <c r="A6240" s="4" t="str">
        <f ca="1">IFERROR(__xludf.DUMMYFUNCTION("""COMPUTED_VALUE"""),"लक्ष्मीभृतोऽम्भोधितटाधिवासान्‌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॥")</f>
        <v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</v>
      </c>
      <c r="B6240" s="4" t="s">
        <v>12</v>
      </c>
      <c r="C6240" s="4"/>
    </row>
    <row r="6241" spans="1:3" ht="24" customHeight="1">
      <c r="A6241" s="4" t="str">
        <f ca="1">IFERROR(__xludf.DUMMYFUNCTION("""COMPUTED_VALUE"""),"आश्लिष्टभूमिं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॥")</f>
        <v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</v>
      </c>
      <c r="B6241" s="4" t="s">
        <v>19</v>
      </c>
      <c r="C6241" s="4"/>
    </row>
    <row r="6242" spans="1:3" ht="24" customHeight="1">
      <c r="A6242" s="4" t="str">
        <f ca="1">IFERROR(__xludf.DUMMYFUNCTION("""COMPUTED_VALUE"""),"पीत्वा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॥")</f>
        <v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</v>
      </c>
      <c r="B6242" s="4" t="s">
        <v>0</v>
      </c>
      <c r="C6242" s="4"/>
    </row>
    <row r="6243" spans="1:3" ht="24" customHeight="1">
      <c r="A6243" s="4" t="str">
        <f ca="1">IFERROR(__xludf.DUMMYFUNCTION("""COMPUTED_VALUE"""),"साटोपमुर्वीमनिशं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॥")</f>
        <v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</v>
      </c>
      <c r="B6243" s="4" t="s">
        <v>8</v>
      </c>
      <c r="C6243" s="4"/>
    </row>
    <row r="6244" spans="1:3" ht="24" customHeight="1">
      <c r="A6244" s="4" t="str">
        <f ca="1">IFERROR(__xludf.DUMMYFUNCTION("""COMPUTED_VALUE"""),"उद्धृत्य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॥")</f>
        <v>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</v>
      </c>
      <c r="B6244" s="4" t="s">
        <v>8</v>
      </c>
      <c r="C6244" s="4"/>
    </row>
    <row r="6245" spans="1:3" ht="24" customHeight="1">
      <c r="A6245" s="4" t="str">
        <f ca="1">IFERROR(__xludf.DUMMYFUNCTION("""COMPUTED_VALUE"""),"विक्रीय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॥")</f>
        <v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</v>
      </c>
      <c r="B6245" s="4" t="s">
        <v>17</v>
      </c>
      <c r="C6245" s="4"/>
    </row>
    <row r="6246" spans="1:3" ht="24" customHeight="1">
      <c r="A6246" s="4" t="str">
        <f ca="1">IFERROR(__xludf.DUMMYFUNCTION("""COMPUTED_VALUE"""),"उप्तित्सवोऽन्तर्नदभर्त्तुरुच्चकैर्गरीयसा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॥")</f>
        <v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</v>
      </c>
      <c r="B6246" s="4" t="s">
        <v>0</v>
      </c>
      <c r="C6246" s="4"/>
    </row>
    <row r="6247" spans="1:3" ht="24" customHeight="1">
      <c r="A6247" s="4" t="str">
        <f ca="1">IFERROR(__xludf.DUMMYFUNCTION("""COMPUTED_VALUE"""),"तमागतं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॥")</f>
        <v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</v>
      </c>
      <c r="B6247" s="4" t="s">
        <v>24</v>
      </c>
      <c r="C6247" s="4"/>
    </row>
    <row r="6248" spans="1:3" ht="24" customHeight="1">
      <c r="A6248" s="4" t="str">
        <f ca="1">IFERROR(__xludf.DUMMYFUNCTION("""COMPUTED_VALUE"""),"उत्सर्जिताम्भःकणिको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॥")</f>
        <v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</v>
      </c>
      <c r="B6248" s="4" t="s">
        <v>20</v>
      </c>
      <c r="C6248" s="4"/>
    </row>
    <row r="6249" spans="1:3" ht="24" customHeight="1">
      <c r="A6249" s="4" t="str">
        <f ca="1">IFERROR(__xludf.DUMMYFUNCTION("""COMPUTED_VALUE"""),"उत्तालतालीवनसंप्रवृत्तसमीरसीमन्तितकेतकीकाः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॥")</f>
        <v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</v>
      </c>
      <c r="B6249" s="4" t="s">
        <v>8</v>
      </c>
      <c r="C6249" s="4"/>
    </row>
    <row r="6250" spans="1:3" ht="24" customHeight="1">
      <c r="A6250" s="4" t="str">
        <f ca="1">IFERROR(__xludf.DUMMYFUNCTION("""COMPUTED_VALUE"""),"लवङ्गमालाकलितावतंसास्ते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॥")</f>
        <v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</v>
      </c>
      <c r="B6250" s="4" t="s">
        <v>9</v>
      </c>
      <c r="C6250" s="4"/>
    </row>
    <row r="6251" spans="1:3" ht="24" customHeight="1">
      <c r="A6251" s="4" t="str">
        <f ca="1">IFERROR(__xludf.DUMMYFUNCTION("""COMPUTED_VALUE"""),"तुरगशताकुलस्य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॥")</f>
        <v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</v>
      </c>
      <c r="B6251" s="4" t="s">
        <v>24</v>
      </c>
      <c r="C6251" s="4"/>
    </row>
    <row r="6252" spans="1:3" ht="24" customHeight="1">
      <c r="A6252" s="4" t="str">
        <f ca="1">IFERROR(__xludf.DUMMYFUNCTION("""COMPUTED_VALUE"""),"निःश्वासधूमं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४.१॥")</f>
        <v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</v>
      </c>
      <c r="B6252" s="4" t="s">
        <v>8</v>
      </c>
      <c r="C6252" s="4"/>
    </row>
    <row r="6253" spans="1:3" ht="24" customHeight="1">
      <c r="A6253" s="4" t="str">
        <f ca="1">IFERROR(__xludf.DUMMYFUNCTION("""COMPUTED_VALUE"""),"गुर्वीरजस्रं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४.२॥")</f>
        <v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</v>
      </c>
      <c r="B6253" s="4" t="s">
        <v>6</v>
      </c>
      <c r="C6253" s="4"/>
    </row>
    <row r="6254" spans="1:3" ht="24" customHeight="1">
      <c r="A6254" s="4" t="str">
        <f ca="1">IFERROR(__xludf.DUMMYFUNCTION("""COMPUTED_VALUE"""),"क्रान्तं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४.३॥")</f>
        <v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</v>
      </c>
      <c r="B6254" s="4" t="s">
        <v>6</v>
      </c>
      <c r="C6254" s="4"/>
    </row>
    <row r="6255" spans="1:3" ht="24" customHeight="1">
      <c r="A6255" s="4" t="str">
        <f ca="1">IFERROR(__xludf.DUMMYFUNCTION("""COMPUTED_VALUE"""),"सहस्रसंख्यैर्गगनं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४.४॥")</f>
        <v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</v>
      </c>
      <c r="B6255" s="4" t="s">
        <v>6</v>
      </c>
      <c r="C6255" s="4"/>
    </row>
    <row r="6256" spans="1:3" ht="24" customHeight="1">
      <c r="A6256" s="4" t="str">
        <f ca="1">IFERROR(__xludf.DUMMYFUNCTION("""COMPUTED_VALUE"""),"क्वचिज्जलापायविपाण्डुराणि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४.५॥")</f>
        <v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</v>
      </c>
      <c r="B6256" s="4" t="s">
        <v>0</v>
      </c>
      <c r="C6256" s="4"/>
    </row>
    <row r="6257" spans="1:3" ht="24" customHeight="1">
      <c r="A6257" s="4" t="str">
        <f ca="1">IFERROR(__xludf.DUMMYFUNCTION("""COMPUTED_VALUE"""),"छायां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४.६॥")</f>
        <v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</v>
      </c>
      <c r="B6257" s="4" t="s">
        <v>0</v>
      </c>
      <c r="C6257" s="4"/>
    </row>
    <row r="6258" spans="1:3" ht="24" customHeight="1">
      <c r="A6258" s="4" t="str">
        <f ca="1">IFERROR(__xludf.DUMMYFUNCTION("""COMPUTED_VALUE"""),"स्कन्धाधिरूढोज्ज्वलनीलकण्ठानुर्वीरुहः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४.७॥")</f>
        <v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</v>
      </c>
      <c r="B6258" s="4" t="s">
        <v>2</v>
      </c>
      <c r="C6258" s="4"/>
    </row>
    <row r="6259" spans="1:3" ht="24" customHeight="1">
      <c r="A6259" s="4" t="str">
        <f ca="1">IFERROR(__xludf.DUMMYFUNCTION("""COMPUTED_VALUE"""),"विलम्बिनीलोत्पलकर्णपूरा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४.८॥")</f>
        <v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</v>
      </c>
      <c r="B6259" s="4" t="s">
        <v>1</v>
      </c>
      <c r="C6259" s="4"/>
    </row>
    <row r="6260" spans="1:3" ht="24" customHeight="1">
      <c r="A6260" s="4" t="str">
        <f ca="1">IFERROR(__xludf.DUMMYFUNCTION("""COMPUTED_VALUE"""),"राजीवराजीवशलोलभृङ्गं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४.९॥")</f>
        <v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</v>
      </c>
      <c r="B6260" s="4" t="s">
        <v>2</v>
      </c>
      <c r="C6260" s="4"/>
    </row>
    <row r="6261" spans="1:3" ht="24" customHeight="1">
      <c r="A6261" s="4" t="str">
        <f ca="1">IFERROR(__xludf.DUMMYFUNCTION("""COMPUTED_VALUE"""),"मुदे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४.१०॥")</f>
        <v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</v>
      </c>
      <c r="B6261" s="4" t="s">
        <v>5</v>
      </c>
      <c r="C6261" s="4"/>
    </row>
    <row r="6262" spans="1:3" ht="24" customHeight="1">
      <c r="A6262" s="4" t="str">
        <f ca="1">IFERROR(__xludf.DUMMYFUNCTION("""COMPUTED_VALUE"""),"यतः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")</f>
        <v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</v>
      </c>
      <c r="B6262" s="4" t="s">
        <v>19</v>
      </c>
      <c r="C6262" s="4"/>
    </row>
    <row r="6263" spans="1:3" ht="24" customHeight="1">
      <c r="A6263" s="4" t="str">
        <f ca="1">IFERROR(__xludf.DUMMYFUNCTION("""COMPUTED_VALUE"""),"अखिध्यतासन्नमुदग्रतापं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")</f>
        <v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</v>
      </c>
      <c r="B6263" s="4" t="s">
        <v>2</v>
      </c>
      <c r="C6263" s="4"/>
    </row>
    <row r="6264" spans="1:3" ht="24" customHeight="1">
      <c r="A6264" s="4" t="str">
        <f ca="1">IFERROR(__xludf.DUMMYFUNCTION("""COMPUTED_VALUE"""),"यत्राधिरूढेनमहीरुहोच्चैरुन्निद्रपुष्पाक्षिसहस्रभाजा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")</f>
        <v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</v>
      </c>
      <c r="B6264" s="4" t="s">
        <v>11</v>
      </c>
      <c r="C6264" s="4"/>
    </row>
    <row r="6265" spans="1:3" ht="24" customHeight="1">
      <c r="A6265" s="4" t="str">
        <f ca="1">IFERROR(__xludf.DUMMYFUNCTION("""COMPUTED_VALUE"""),"विभिन्नवर्णागरुडाग्रजेन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॥")</f>
        <v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</v>
      </c>
      <c r="B6265" s="4" t="s">
        <v>11</v>
      </c>
      <c r="C6265" s="4"/>
    </row>
    <row r="6266" spans="1:3" ht="24" customHeight="1">
      <c r="A6266" s="4" t="str">
        <f ca="1">IFERROR(__xludf.DUMMYFUNCTION("""COMPUTED_VALUE"""),"यत्रोज्झिताभिर्मुहुरम्बुवाहैः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")</f>
        <v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</v>
      </c>
      <c r="B6266" s="4" t="s">
        <v>1</v>
      </c>
      <c r="C6266" s="4"/>
    </row>
    <row r="6267" spans="1:3" ht="24" customHeight="1">
      <c r="A6267" s="4" t="str">
        <f ca="1">IFERROR(__xludf.DUMMYFUNCTION("""COMPUTED_VALUE"""),"फलद्भिरुष्णांशुकराभिमर्शात्कर्शानवं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")</f>
        <v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</v>
      </c>
      <c r="B6267" s="4" t="s">
        <v>19</v>
      </c>
      <c r="C6267" s="4"/>
    </row>
    <row r="6268" spans="1:3" ht="24" customHeight="1">
      <c r="A6268" s="4" t="str">
        <f ca="1">IFERROR(__xludf.DUMMYFUNCTION("""COMPUTED_VALUE"""),"दृषटोऽपि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४.१७॥")</f>
        <v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</v>
      </c>
      <c r="B6268" s="4" t="s">
        <v>5</v>
      </c>
      <c r="C6268" s="4"/>
    </row>
    <row r="6269" spans="1:3" ht="24" customHeight="1">
      <c r="A6269" s="4" t="str">
        <f ca="1">IFERROR(__xludf.DUMMYFUNCTION("""COMPUTED_VALUE"""),"उच्चारणज्ञेऽथ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")</f>
        <v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</v>
      </c>
      <c r="B6269" s="4" t="s">
        <v>16</v>
      </c>
      <c r="C6269" s="4"/>
    </row>
    <row r="6270" spans="1:3" ht="24" customHeight="1">
      <c r="A6270" s="4" t="str">
        <f ca="1">IFERROR(__xludf.DUMMYFUNCTION("""COMPUTED_VALUE"""),"आच्छादितायतददिगम्बरमुच्चकैर्गा-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४.१९॥")</f>
        <v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</v>
      </c>
      <c r="B6270" s="4" t="s">
        <v>8</v>
      </c>
      <c r="C6270" s="4"/>
    </row>
    <row r="6271" spans="1:3" ht="24" customHeight="1">
      <c r="A6271" s="4" t="str">
        <f ca="1">IFERROR(__xludf.DUMMYFUNCTION("""COMPUTED_VALUE"""),"उदयतिविततरःध्वरशमिरज्जावहिमरुचौ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४.२०॥")</f>
        <v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</v>
      </c>
      <c r="B6271" s="4" t="s">
        <v>11</v>
      </c>
      <c r="C6271" s="4"/>
    </row>
    <row r="6272" spans="1:3" ht="24" customHeight="1">
      <c r="A6272" s="4" t="str">
        <f ca="1">IFERROR(__xludf.DUMMYFUNCTION("""COMPUTED_VALUE"""),"वहति यः परितः कनकस्थलीः सहरिता लसमाननवांशुकः । अचल एष भवानिव राजते स हरितालसमाननवांशुकः ॥ शिशुपाल ४.२१॥ ")</f>
        <v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 ४.२१॥ </v>
      </c>
      <c r="B6272" s="4" t="s">
        <v>19</v>
      </c>
      <c r="C6272" s="4"/>
    </row>
    <row r="6273" spans="1:3" ht="24" customHeight="1">
      <c r="A6273" s="4" t="str">
        <f ca="1">IFERROR(__xludf.DUMMYFUNCTION("""COMPUTED_VALUE"""),"पाश्चात्यभागमिह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४.२२॥")</f>
        <v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</v>
      </c>
      <c r="B6273" s="4" t="s">
        <v>2</v>
      </c>
      <c r="C6273" s="4"/>
    </row>
    <row r="6274" spans="1:3" ht="24" customHeight="1">
      <c r="A6274" s="4" t="str">
        <f ca="1">IFERROR(__xludf.DUMMYFUNCTION("""COMPUTED_VALUE"""),"कृत्वापुंवत्पादमुच्चैर्भृगुभ्यो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४.२३॥")</f>
        <v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</v>
      </c>
      <c r="B6274" s="4" t="s">
        <v>0</v>
      </c>
      <c r="C6274" s="4"/>
    </row>
    <row r="6275" spans="1:3" ht="24" customHeight="1">
      <c r="A6275" s="4" t="str">
        <f ca="1">IFERROR(__xludf.DUMMYFUNCTION("""COMPUTED_VALUE"""),"स्थगयन्त्यमूः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४.२४॥")</f>
        <v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</v>
      </c>
      <c r="B6275" s="4" t="s">
        <v>0</v>
      </c>
      <c r="C6275" s="4"/>
    </row>
    <row r="6276" spans="1:3" ht="24" customHeight="1">
      <c r="A6276" s="4" t="str">
        <f ca="1">IFERROR(__xludf.DUMMYFUNCTION("""COMPUTED_VALUE"""),"उत्क्षिप्तमुच्छ्रितसितांशुकरावलम्बै-रुत्तम्भितोडुभिरतिवतरां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४.२५॥")</f>
        <v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</v>
      </c>
      <c r="B6276" s="4" t="s">
        <v>13</v>
      </c>
      <c r="C6276" s="4"/>
    </row>
    <row r="6277" spans="1:3" ht="24" customHeight="1">
      <c r="A6277" s="4" t="str">
        <f ca="1">IFERROR(__xludf.DUMMYFUNCTION("""COMPUTED_VALUE"""),"एकत्र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४.२६॥")</f>
        <v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</v>
      </c>
      <c r="B6277" s="4" t="s">
        <v>5</v>
      </c>
      <c r="C6277" s="4"/>
    </row>
    <row r="6278" spans="1:3" ht="24" customHeight="1">
      <c r="A6278" s="4" t="str">
        <f ca="1">IFERROR(__xludf.DUMMYFUNCTION("""COMPUTED_VALUE"""),"इतस्ततःऽस्मिन्विलसन्ति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४.२७॥")</f>
        <v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</v>
      </c>
      <c r="B6278" s="4" t="s">
        <v>15</v>
      </c>
      <c r="C6278" s="4"/>
    </row>
    <row r="6279" spans="1:3" ht="24" customHeight="1">
      <c r="A6279" s="4" t="str">
        <f ca="1">IFERROR(__xludf.DUMMYFUNCTION("""COMPUTED_VALUE"""),"उच्चैमहारजतराजिविराजितासौ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४.२८॥")</f>
        <v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</v>
      </c>
      <c r="B6279" s="4" t="s">
        <v>11</v>
      </c>
      <c r="C6279" s="4"/>
    </row>
    <row r="6280" spans="1:3" ht="24" customHeight="1">
      <c r="A6280" s="4" t="str">
        <f ca="1">IFERROR(__xludf.DUMMYFUNCTION("""COMPUTED_VALUE"""),"अयमतिजरठाः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")</f>
        <v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</v>
      </c>
      <c r="B6280" s="4" t="s">
        <v>2</v>
      </c>
      <c r="C6280" s="4"/>
    </row>
    <row r="6281" spans="1:3" ht="24" customHeight="1">
      <c r="A6281" s="4" t="str">
        <f ca="1">IFERROR(__xludf.DUMMYFUNCTION("""COMPUTED_VALUE"""),"धूमाकारं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४.३०॥")</f>
        <v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</v>
      </c>
      <c r="B6281" s="4" t="s">
        <v>7</v>
      </c>
      <c r="C6281" s="4"/>
    </row>
    <row r="6282" spans="1:3" ht="24" customHeight="1">
      <c r="A6282" s="4" t="str">
        <f ca="1">IFERROR(__xludf.DUMMYFUNCTION("""COMPUTED_VALUE"""),"व्योमस्पृशः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४.३१॥")</f>
        <v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</v>
      </c>
      <c r="B6282" s="4" t="s">
        <v>2</v>
      </c>
      <c r="C6282" s="4"/>
    </row>
    <row r="6283" spans="1:3" ht="24" customHeight="1">
      <c r="A6283" s="4" t="str">
        <f ca="1">IFERROR(__xludf.DUMMYFUNCTION("""COMPUTED_VALUE"""),"रुचिरचित्रतनूरुहशालिभिर्विचलितैः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")</f>
        <v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</v>
      </c>
      <c r="B6283" s="4" t="s">
        <v>2</v>
      </c>
      <c r="C6283" s="4"/>
    </row>
    <row r="6284" spans="1:3" ht="24" customHeight="1">
      <c r="A6284" s="4" t="str">
        <f ca="1">IFERROR(__xludf.DUMMYFUNCTION("""COMPUTED_VALUE"""),"कुशशयैरत्र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")</f>
        <v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</v>
      </c>
      <c r="B6284" s="4" t="s">
        <v>0</v>
      </c>
      <c r="C6284" s="4"/>
    </row>
    <row r="6285" spans="1:3" ht="24" customHeight="1">
      <c r="A6285" s="4" t="str">
        <f ca="1">IFERROR(__xludf.DUMMYFUNCTION("""COMPUTED_VALUE"""),"आसादितस्य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४.३४॥")</f>
        <v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</v>
      </c>
      <c r="B6285" s="4" t="s">
        <v>2</v>
      </c>
      <c r="C6285" s="4"/>
    </row>
    <row r="6286" spans="1:3" ht="24" customHeight="1">
      <c r="A6286" s="4" t="str">
        <f ca="1">IFERROR(__xludf.DUMMYFUNCTION("""COMPUTED_VALUE"""),"वनस्पतिस्कन्धनिषण्णबालप्रवालहस्ताः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४.३५॥")</f>
        <v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</v>
      </c>
      <c r="B6286" s="4" t="s">
        <v>5</v>
      </c>
      <c r="C6286" s="4"/>
    </row>
    <row r="6287" spans="1:3" ht="24" customHeight="1">
      <c r="A6287" s="4" t="str">
        <f ca="1">IFERROR(__xludf.DUMMYFUNCTION("""COMPUTED_VALUE"""),"विहगाः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")</f>
        <v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</v>
      </c>
      <c r="B6287" s="4" t="s">
        <v>1</v>
      </c>
      <c r="C6287" s="4"/>
    </row>
    <row r="6288" spans="1:3" ht="24" customHeight="1">
      <c r="A6288" s="4" t="str">
        <f ca="1">IFERROR(__xludf.DUMMYFUNCTION("""COMPUTED_VALUE"""),"विद्वद्भिरागमपरैर्विवृतं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४.३७॥")</f>
        <v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</v>
      </c>
      <c r="B6288" s="4" t="s">
        <v>2</v>
      </c>
      <c r="C6288" s="4"/>
    </row>
    <row r="6289" spans="1:3" ht="24" customHeight="1">
      <c r="A6289" s="4" t="str">
        <f ca="1">IFERROR(__xludf.DUMMYFUNCTION("""COMPUTED_VALUE"""),"बिम्बोष्ठं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४.३८॥")</f>
        <v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</v>
      </c>
      <c r="B6289" s="4" t="s">
        <v>5</v>
      </c>
      <c r="C6289" s="4"/>
    </row>
    <row r="6290" spans="1:3" ht="24" customHeight="1">
      <c r="A6290" s="4" t="str">
        <f ca="1">IFERROR(__xludf.DUMMYFUNCTION("""COMPUTED_VALUE"""),"यदेतदस्यानुतटं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")</f>
        <v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</v>
      </c>
      <c r="B6290" s="4" t="s">
        <v>11</v>
      </c>
      <c r="C6290" s="4"/>
    </row>
    <row r="6291" spans="1:3" ht="24" customHeight="1">
      <c r="A6291" s="4" t="str">
        <f ca="1">IFERROR(__xludf.DUMMYFUNCTION("""COMPUTED_VALUE"""),"दन्तोज्ज्वलासु विमलोपलमेखलान्ताः सद्रत्नचित्रकटकासु बृहन्नितम्बाः । अस्मिन्भजन्ति घनक्ॐअलगण्डशैला नार्योऽनुरूपमधिवासमधित्यकासु ॥ शिशुपाल ४.४०॥")</f>
        <v>दन्तोज्ज्वलासु विमलोपलमेखलान्ताः सद्रत्नचित्रकटकासु बृहन्नितम्बाः । अस्मिन्भजन्ति घनक्ॐअलगण्डशैला नार्योऽनुरूपमधिवासमधित्यकासु ॥ शिशुपाल ४.४०॥</v>
      </c>
      <c r="B6291" s="4" t="s">
        <v>18</v>
      </c>
      <c r="C6291" s="4"/>
    </row>
    <row r="6292" spans="1:3" ht="24" customHeight="1">
      <c r="A6292" s="4" t="str">
        <f ca="1">IFERROR(__xludf.DUMMYFUNCTION("""COMPUTED_VALUE"""),"अनतिचिरोज्झितस्य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४.४१॥")</f>
        <v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</v>
      </c>
      <c r="B6292" s="4" t="s">
        <v>24</v>
      </c>
      <c r="C6292" s="4"/>
    </row>
    <row r="6293" spans="1:3" ht="24" customHeight="1">
      <c r="A6293" s="4" t="str">
        <f ca="1">IFERROR(__xludf.DUMMYFUNCTION("""COMPUTED_VALUE"""),"वर्जयन्त्या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४.४२॥")</f>
        <v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</v>
      </c>
      <c r="B6293" s="4" t="s">
        <v>5</v>
      </c>
      <c r="C6293" s="4"/>
    </row>
    <row r="6294" spans="1:3" ht="24" customHeight="1">
      <c r="A6294" s="4" t="str">
        <f ca="1">IFERROR(__xludf.DUMMYFUNCTION("""COMPUTED_VALUE"""),"संकीर्णकीचकवनस्खलितैकवाल-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")</f>
        <v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</v>
      </c>
      <c r="B6294" s="4" t="s">
        <v>2</v>
      </c>
      <c r="C6294" s="4"/>
    </row>
    <row r="6295" spans="1:3" ht="24" customHeight="1">
      <c r="A6295" s="4" t="str">
        <f ca="1">IFERROR(__xludf.DUMMYFUNCTION("""COMPUTED_VALUE"""),"मुक्तं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४.४४॥")</f>
        <v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</v>
      </c>
      <c r="B6295" s="4" t="s">
        <v>5</v>
      </c>
      <c r="C6295" s="4"/>
    </row>
    <row r="6296" spans="1:3" ht="24" customHeight="1">
      <c r="A6296" s="4" t="str">
        <f ca="1">IFERROR(__xludf.DUMMYFUNCTION("""COMPUTED_VALUE"""),"या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४.४५॥")</f>
        <v>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</v>
      </c>
      <c r="B6296" s="4" t="s">
        <v>1</v>
      </c>
      <c r="C6296" s="4"/>
    </row>
    <row r="6297" spans="1:3" ht="24" customHeight="1">
      <c r="A6297" s="4" t="str">
        <f ca="1">IFERROR(__xludf.DUMMYFUNCTION("""COMPUTED_VALUE"""),"भिन्नेषुरत्नकिरणैः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४.४६॥")</f>
        <v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</v>
      </c>
      <c r="B6297" s="4" t="s">
        <v>5</v>
      </c>
      <c r="C6297" s="4"/>
    </row>
    <row r="6298" spans="1:3" ht="24" customHeight="1">
      <c r="A6298" s="4" t="str">
        <f ca="1">IFERROR(__xludf.DUMMYFUNCTION("""COMPUTED_VALUE"""),"अपशङ्कमङ्कपरिवर्तनोचिताश्चलिताः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४.४७॥")</f>
        <v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</v>
      </c>
      <c r="B6298" s="4" t="s">
        <v>15</v>
      </c>
      <c r="C6298" s="4"/>
    </row>
    <row r="6299" spans="1:3" ht="24" customHeight="1">
      <c r="A6299" s="4" t="str">
        <f ca="1">IFERROR(__xludf.DUMMYFUNCTION("""COMPUTED_VALUE"""),"मधुकरविटपानमितास्तरुपङ्क्तीर्बिभ्रतःऽस्य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४.४८॥")</f>
        <v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</v>
      </c>
      <c r="B6299" s="4" t="s">
        <v>2</v>
      </c>
      <c r="C6299" s="4"/>
    </row>
    <row r="6300" spans="1:3" ht="24" customHeight="1">
      <c r="A6300" s="4" t="str">
        <f ca="1">IFERROR(__xludf.DUMMYFUNCTION("""COMPUTED_VALUE"""),"प्राग्भागतः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४.४९॥")</f>
        <v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</v>
      </c>
      <c r="B6300" s="4" t="s">
        <v>0</v>
      </c>
      <c r="C6300" s="4"/>
    </row>
    <row r="6301" spans="1:3" ht="24" customHeight="1">
      <c r="A6301" s="4" t="str">
        <f ca="1">IFERROR(__xludf.DUMMYFUNCTION("""COMPUTED_VALUE"""),"दधाति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४.५०॥")</f>
        <v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</v>
      </c>
      <c r="B6301" s="4" t="s">
        <v>5</v>
      </c>
      <c r="C6301" s="4"/>
    </row>
    <row r="6302" spans="1:3" ht="24" customHeight="1">
      <c r="A6302" s="4" t="str">
        <f ca="1">IFERROR(__xludf.DUMMYFUNCTION("""COMPUTED_VALUE"""),"सवधूकाः सुखिनोऽस्मन्ननवरतममन्दरामतामरसदृशः । नासेवन्ते रसवन्नवरतममन्दरागतामरसदृशः ॥ शिशुपाल ४.५१॥")</f>
        <v>सवधूकाः सुखिनोऽस्मन्ननवरतममन्दरामतामरसदृशः । नासेवन्ते रसवन्नवरतममन्दरागतामरसदृशः ॥ शिशुपाल ४.५१॥</v>
      </c>
      <c r="B6302" s="4" t="s">
        <v>8</v>
      </c>
      <c r="C6302" s="4"/>
    </row>
    <row r="6303" spans="1:3" ht="24" customHeight="1">
      <c r="A6303" s="4" t="str">
        <f ca="1">IFERROR(__xludf.DUMMYFUNCTION("""COMPUTED_VALUE"""),"आच्छाद्य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४.५२॥")</f>
        <v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</v>
      </c>
      <c r="B6303" s="4" t="s">
        <v>1</v>
      </c>
      <c r="C6303" s="4"/>
    </row>
    <row r="6304" spans="1:3" ht="24" customHeight="1">
      <c r="A6304" s="4" t="str">
        <f ca="1">IFERROR(__xludf.DUMMYFUNCTION("""COMPUTED_VALUE"""),"अन्योन्यव्यतिकरचारुभिर्विचित्रै-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४.५३॥")</f>
        <v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</v>
      </c>
      <c r="B6304" s="4" t="s">
        <v>12</v>
      </c>
      <c r="C6304" s="4"/>
    </row>
    <row r="6305" spans="1:3" ht="24" customHeight="1">
      <c r="A6305" s="4" t="str">
        <f ca="1">IFERROR(__xludf.DUMMYFUNCTION("""COMPUTED_VALUE"""),"समीरशिशिरः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४.५४॥")</f>
        <v>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</v>
      </c>
      <c r="B6305" s="4" t="s">
        <v>2</v>
      </c>
      <c r="C6305" s="4"/>
    </row>
    <row r="6306" spans="1:3" ht="24" customHeight="1">
      <c r="A6306" s="4" t="str">
        <f ca="1">IFERROR(__xludf.DUMMYFUNCTION("""COMPUTED_VALUE"""),"मैर्त्त्र्यादिचित्तपरिकर्मविदो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४.५५॥")</f>
        <v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</v>
      </c>
      <c r="B6306" s="4" t="s">
        <v>20</v>
      </c>
      <c r="C6306" s="4"/>
    </row>
    <row r="6307" spans="1:3" ht="24" customHeight="1">
      <c r="A6307" s="4" t="str">
        <f ca="1">IFERROR(__xludf.DUMMYFUNCTION("""COMPUTED_VALUE"""),"मरकतमयमेदिनीषु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४.५६॥")</f>
        <v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</v>
      </c>
      <c r="B6307" s="4" t="s">
        <v>11</v>
      </c>
      <c r="C6307" s="4"/>
    </row>
    <row r="6308" spans="1:3" ht="24" customHeight="1">
      <c r="A6308" s="4" t="str">
        <f ca="1">IFERROR(__xludf.DUMMYFUNCTION("""COMPUTED_VALUE"""),"या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४.५७॥")</f>
        <v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</v>
      </c>
      <c r="B6308" s="4" t="s">
        <v>5</v>
      </c>
      <c r="C6308" s="4"/>
    </row>
    <row r="6309" spans="1:3" ht="24" customHeight="1">
      <c r="A6309" s="4" t="str">
        <f ca="1">IFERROR(__xludf.DUMMYFUNCTION("""COMPUTED_VALUE"""),"सायं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४.५८॥")</f>
        <v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</v>
      </c>
      <c r="B6309" s="4" t="s">
        <v>0</v>
      </c>
      <c r="C6309" s="4"/>
    </row>
    <row r="6310" spans="1:3" ht="24" customHeight="1">
      <c r="A6310" s="4" t="str">
        <f ca="1">IFERROR(__xludf.DUMMYFUNCTION("""COMPUTED_VALUE"""),"एतस्मिन्नधिकपयःश्रियं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४.५९॥")</f>
        <v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</v>
      </c>
      <c r="B6310" s="4" t="s">
        <v>5</v>
      </c>
      <c r="C6310" s="4"/>
    </row>
    <row r="6311" spans="1:3" ht="24" customHeight="1">
      <c r="A6311" s="4" t="str">
        <f ca="1">IFERROR(__xludf.DUMMYFUNCTION("""COMPUTED_VALUE"""),"इह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४.६०॥")</f>
        <v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</v>
      </c>
      <c r="B6311" s="4" t="s">
        <v>5</v>
      </c>
      <c r="C6311" s="4"/>
    </row>
    <row r="6312" spans="1:3" ht="24" customHeight="1">
      <c r="A6312" s="4" t="str">
        <f ca="1">IFERROR(__xludf.DUMMYFUNCTION("""COMPUTED_VALUE"""),"त्वक्साररन्ध्रपरिपूरणलब्धगीति-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४.६१॥")</f>
        <v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</v>
      </c>
      <c r="B6312" s="4" t="s">
        <v>5</v>
      </c>
      <c r="C6312" s="4"/>
    </row>
    <row r="6313" spans="1:3" ht="24" customHeight="1">
      <c r="A6313" s="4" t="str">
        <f ca="1">IFERROR(__xludf.DUMMYFUNCTION("""COMPUTED_VALUE"""),"प्रीत्यै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४.६२॥")</f>
        <v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</v>
      </c>
      <c r="B6313" s="4" t="s">
        <v>4</v>
      </c>
      <c r="C6313" s="4"/>
    </row>
    <row r="6314" spans="1:3" ht="24" customHeight="1">
      <c r="A6314" s="4" t="str">
        <f ca="1">IFERROR(__xludf.DUMMYFUNCTION("""COMPUTED_VALUE"""),"भग्ने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४.६३॥")</f>
        <v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</v>
      </c>
      <c r="B6314" s="4" t="s">
        <v>15</v>
      </c>
      <c r="C6314" s="4"/>
    </row>
    <row r="6315" spans="1:3" ht="24" customHeight="1">
      <c r="A6315" s="4" t="str">
        <f ca="1">IFERROR(__xludf.DUMMYFUNCTION("""COMPUTED_VALUE"""),"प्रालेयशीतलमचलेश्वरमीश्वरोऽपि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४.६४॥")</f>
        <v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</v>
      </c>
      <c r="B6315" s="4" t="s">
        <v>9</v>
      </c>
      <c r="C6315" s="4"/>
    </row>
    <row r="6316" spans="1:3" ht="24" customHeight="1">
      <c r="A6316" s="4" t="str">
        <f ca="1">IFERROR(__xludf.DUMMYFUNCTION("""COMPUTED_VALUE"""),"नवनगवनलेखाश्यामध्याभिराभिः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४.६५॥")</f>
        <v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</v>
      </c>
      <c r="B6316" s="4" t="s">
        <v>5</v>
      </c>
      <c r="C6316" s="4"/>
    </row>
    <row r="6317" spans="1:3" ht="24" customHeight="1">
      <c r="A6317" s="4" t="str">
        <f ca="1">IFERROR(__xludf.DUMMYFUNCTION("""COMPUTED_VALUE"""),"दधद्भिरभितस्तटौ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४.६६॥")</f>
        <v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</v>
      </c>
      <c r="B6317" s="4" t="s">
        <v>0</v>
      </c>
      <c r="C6317" s="4"/>
    </row>
    <row r="6318" spans="1:3" ht="24" customHeight="1">
      <c r="A6318" s="4" t="str">
        <f ca="1">IFERROR(__xludf.DUMMYFUNCTION("""COMPUTED_VALUE"""),"दर्पणनिर्मलासु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४.६७॥")</f>
        <v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</v>
      </c>
      <c r="B6318" s="4" t="s">
        <v>4</v>
      </c>
      <c r="C6318" s="4"/>
    </row>
    <row r="6319" spans="1:3" ht="24" customHeight="1">
      <c r="A6319" s="4" t="str">
        <f ca="1">IFERROR(__xludf.DUMMYFUNCTION("""COMPUTED_VALUE"""),"अनुकृतिशिखरौघश्रीभिरभ्यगतेऽसौ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४.६८॥")</f>
        <v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</v>
      </c>
      <c r="B6319" s="4" t="s">
        <v>24</v>
      </c>
      <c r="C6319" s="4"/>
    </row>
    <row r="6320" spans="1:3" ht="24" customHeight="1">
      <c r="A6320" s="4" t="str">
        <f ca="1">IFERROR(__xludf.DUMMYFUNCTION("""COMPUTED_VALUE"""),"इत्थं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||")</f>
        <v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||</v>
      </c>
      <c r="B6320" s="4" t="s">
        <v>1</v>
      </c>
      <c r="C6320" s="4"/>
    </row>
    <row r="6321" spans="1:3" ht="24" customHeight="1">
      <c r="A6321" s="4" t="str">
        <f ca="1">IFERROR(__xludf.DUMMYFUNCTION("""COMPUTED_VALUE"""),"तं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||")</f>
        <v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||</v>
      </c>
      <c r="B6321" s="4" t="s">
        <v>28</v>
      </c>
      <c r="C6321" s="4"/>
    </row>
    <row r="6322" spans="1:3" ht="24" customHeight="1">
      <c r="A6322" s="4" t="str">
        <f ca="1">IFERROR(__xludf.DUMMYFUNCTION("""COMPUTED_VALUE"""),"भास्वत्करव्यतिकरोल्लसिताम्बरान्तस्तापत्रपा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||")</f>
        <v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||</v>
      </c>
      <c r="B6322" s="4" t="s">
        <v>8</v>
      </c>
      <c r="C6322" s="4"/>
    </row>
    <row r="6323" spans="1:3" ht="24" customHeight="1">
      <c r="A6323" s="4" t="str">
        <f ca="1">IFERROR(__xludf.DUMMYFUNCTION("""COMPUTED_VALUE"""),"आवर्तिनः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||")</f>
        <v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||</v>
      </c>
      <c r="B6323" s="4" t="s">
        <v>2</v>
      </c>
      <c r="C6323" s="4"/>
    </row>
    <row r="6324" spans="1:3" ht="24" customHeight="1">
      <c r="A6324" s="4" t="str">
        <f ca="1">IFERROR(__xludf.DUMMYFUNCTION("""COMPUTED_VALUE"""),"आरक्षमग्नमवमत्य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||")</f>
        <v>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||</v>
      </c>
      <c r="B6324" s="4" t="s">
        <v>31</v>
      </c>
      <c r="C6324" s="4"/>
    </row>
    <row r="6325" spans="1:3" ht="24" customHeight="1">
      <c r="A6325" s="4" t="str">
        <f ca="1">IFERROR(__xludf.DUMMYFUNCTION("""COMPUTED_VALUE"""),"आयास्तमैक्षत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||")</f>
        <v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||</v>
      </c>
      <c r="B6325" s="4" t="s">
        <v>23</v>
      </c>
      <c r="C6325" s="4"/>
    </row>
    <row r="6326" spans="1:3" ht="24" customHeight="1">
      <c r="A6326" s="4" t="str">
        <f ca="1">IFERROR(__xludf.DUMMYFUNCTION("""COMPUTED_VALUE"""),"त्रस्तः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||")</f>
        <v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||</v>
      </c>
      <c r="B6326" s="4" t="s">
        <v>2</v>
      </c>
      <c r="C6326" s="4"/>
    </row>
    <row r="6327" spans="1:3" ht="24" customHeight="1">
      <c r="A6327" s="4" t="str">
        <f ca="1">IFERROR(__xludf.DUMMYFUNCTION("""COMPUTED_VALUE"""),"शैलोपशल्यनिपतद्रथनेमिधारा-निष्पिष्टनिष्ठुरशिलातलचूर्णगर्भाः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||")</f>
        <v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||</v>
      </c>
      <c r="B6327" s="4" t="s">
        <v>31</v>
      </c>
      <c r="C6327" s="4"/>
    </row>
    <row r="6328" spans="1:3" ht="24" customHeight="1">
      <c r="A6328" s="4" t="str">
        <f ca="1">IFERROR(__xludf.DUMMYFUNCTION("""COMPUTED_VALUE"""),"उद्य्त्कृशानुशकलेषु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||")</f>
        <v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||</v>
      </c>
      <c r="B6328" s="4" t="s">
        <v>2</v>
      </c>
      <c r="C6328" s="4"/>
    </row>
    <row r="6329" spans="1:3" ht="24" customHeight="1">
      <c r="A6329" s="4" t="str">
        <f ca="1">IFERROR(__xludf.DUMMYFUNCTION("""COMPUTED_VALUE"""),"तेजोनिरोधसमतावहितेन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||")</f>
        <v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||</v>
      </c>
      <c r="B6329" s="4" t="s">
        <v>1</v>
      </c>
      <c r="C6329" s="4"/>
    </row>
    <row r="6330" spans="1:3" ht="24" customHeight="1">
      <c r="A6330" s="4" t="str">
        <f ca="1">IFERROR(__xludf.DUMMYFUNCTION("""COMPUTED_VALUE"""),"नीहारजालमालिनः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||")</f>
        <v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||</v>
      </c>
      <c r="B6330" s="4" t="s">
        <v>31</v>
      </c>
      <c r="C6330" s="4"/>
    </row>
    <row r="6331" spans="1:3" ht="24" customHeight="1">
      <c r="A6331" s="4" t="str">
        <f ca="1">IFERROR(__xludf.DUMMYFUNCTION("""COMPUTED_VALUE"""),"उच्छिद्य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||")</f>
        <v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||</v>
      </c>
      <c r="B6331" s="4" t="s">
        <v>7</v>
      </c>
      <c r="C6331" s="4"/>
    </row>
    <row r="6332" spans="1:3" ht="24" customHeight="1">
      <c r="A6332" s="4" t="str">
        <f ca="1">IFERROR(__xludf.DUMMYFUNCTION("""COMPUTED_VALUE"""),"विभ्राणया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||")</f>
        <v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||</v>
      </c>
      <c r="B6332" s="4" t="s">
        <v>5</v>
      </c>
      <c r="C6332" s="4"/>
    </row>
    <row r="6333" spans="1:3" ht="24" customHeight="1">
      <c r="A6333" s="4" t="str">
        <f ca="1">IFERROR(__xludf.DUMMYFUNCTION("""COMPUTED_VALUE"""),"छायामपास्य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||")</f>
        <v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||</v>
      </c>
      <c r="B6333" s="4" t="s">
        <v>2</v>
      </c>
      <c r="C6333" s="4"/>
    </row>
    <row r="6334" spans="1:3" ht="24" customHeight="1">
      <c r="A6334" s="4" t="str">
        <f ca="1">IFERROR(__xludf.DUMMYFUNCTION("""COMPUTED_VALUE"""),"अग्रगतेन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||")</f>
        <v>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||</v>
      </c>
      <c r="B6334" s="4" t="s">
        <v>5</v>
      </c>
      <c r="C6334" s="4"/>
    </row>
    <row r="6335" spans="1:3" ht="24" customHeight="1">
      <c r="A6335" s="4" t="str">
        <f ca="1">IFERROR(__xludf.DUMMYFUNCTION("""COMPUTED_VALUE"""),"सिक्ता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||")</f>
        <v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||</v>
      </c>
      <c r="B6335" s="4" t="s">
        <v>3</v>
      </c>
      <c r="C6335" s="4"/>
    </row>
    <row r="6336" spans="1:3" ht="24" customHeight="1">
      <c r="A6336" s="4" t="str">
        <f ca="1">IFERROR(__xludf.DUMMYFUNCTION("""COMPUTED_VALUE"""),"यानाज्जनः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||")</f>
        <v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||</v>
      </c>
      <c r="B6336" s="4" t="s">
        <v>12</v>
      </c>
      <c r="C6336" s="4"/>
    </row>
    <row r="6337" spans="1:3" ht="24" customHeight="1">
      <c r="A6337" s="4" t="str">
        <f ca="1">IFERROR(__xludf.DUMMYFUNCTION("""COMPUTED_VALUE"""),"कण्ठावसक्तमृदुबाहुलतातुरङ्गाद्राजावरोधनवधूरवतारयन्तः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||")</f>
        <v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||</v>
      </c>
      <c r="B6337" s="4" t="s">
        <v>18</v>
      </c>
      <c r="C6337" s="4"/>
    </row>
    <row r="6338" spans="1:3" ht="24" customHeight="1">
      <c r="A6338" s="4" t="str">
        <f ca="1">IFERROR(__xludf.DUMMYFUNCTION("""COMPUTED_VALUE"""),"दृष्ट्वेव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||")</f>
        <v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||</v>
      </c>
      <c r="B6338" s="4" t="s">
        <v>9</v>
      </c>
      <c r="C6338" s="4"/>
    </row>
    <row r="6339" spans="1:3" ht="24" customHeight="1">
      <c r="A6339" s="4" t="str">
        <f ca="1">IFERROR(__xludf.DUMMYFUNCTION("""COMPUTED_VALUE"""),"रोचिष्णुकाञ्चनचयांशुपिशङ्गिताशा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||")</f>
        <v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||</v>
      </c>
      <c r="B6339" s="4" t="s">
        <v>1</v>
      </c>
      <c r="C6339" s="4"/>
    </row>
    <row r="6340" spans="1:3" ht="24" customHeight="1">
      <c r="A6340" s="4" t="str">
        <f ca="1">IFERROR(__xludf.DUMMYFUNCTION("""COMPUTED_VALUE"""),"छायाविधायिभिरनुज्झितभूतिशोभैरुच्छ्रायिभिर्बहलपाटलधातुरागैः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||")</f>
        <v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||</v>
      </c>
      <c r="B6340" s="4" t="s">
        <v>18</v>
      </c>
      <c r="C6340" s="4"/>
    </row>
    <row r="6341" spans="1:3" ht="24" customHeight="1">
      <c r="A6341" s="4" t="str">
        <f ca="1">IFERROR(__xludf.DUMMYFUNCTION("""COMPUTED_VALUE"""),"उत्क्षप्तपटकान्तरलीयमानं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||")</f>
        <v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||</v>
      </c>
      <c r="B6341" s="4" t="s">
        <v>31</v>
      </c>
      <c r="C6341" s="4"/>
    </row>
    <row r="6342" spans="1:3" ht="24" customHeight="1">
      <c r="A6342" s="4" t="str">
        <f ca="1">IFERROR(__xludf.DUMMYFUNCTION("""COMPUTED_VALUE"""),"प्रस्वेदवारिसविशेषविषक्तमङ्गे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क्षणमुत्सवोऽभूथ् ||")</f>
        <v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क्षणमुत्सवोऽभूथ् ||</v>
      </c>
      <c r="B6342" s="4" t="s">
        <v>6</v>
      </c>
      <c r="C6342" s="4"/>
    </row>
    <row r="6343" spans="1:3" ht="24" customHeight="1">
      <c r="A6343" s="4" t="str">
        <f ca="1">IFERROR(__xludf.DUMMYFUNCTION("""COMPUTED_VALUE"""),"यावत्स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||")</f>
        <v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||</v>
      </c>
      <c r="B6343" s="4" t="s">
        <v>3</v>
      </c>
      <c r="C6343" s="4"/>
    </row>
    <row r="6344" spans="1:3" ht="24" customHeight="1">
      <c r="A6344" s="4" t="str">
        <f ca="1">IFERROR(__xludf.DUMMYFUNCTION("""COMPUTED_VALUE"""),"अल्पप्रयोजनकृतोरुतरप्रयातसैरुद्गूर्णलोष्टगुडैः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||")</f>
        <v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||</v>
      </c>
      <c r="B6344" s="4" t="s">
        <v>9</v>
      </c>
      <c r="C6344" s="4"/>
    </row>
    <row r="6345" spans="1:3" ht="24" customHeight="1">
      <c r="A6345" s="4" t="str">
        <f ca="1">IFERROR(__xludf.DUMMYFUNCTION("""COMPUTED_VALUE"""),"त्रासाकुलः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||")</f>
        <v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||</v>
      </c>
      <c r="B6345" s="4" t="s">
        <v>31</v>
      </c>
      <c r="C6345" s="4"/>
    </row>
    <row r="6346" spans="1:3" ht="24" customHeight="1">
      <c r="A6346" s="4" t="str">
        <f ca="1">IFERROR(__xludf.DUMMYFUNCTION("""COMPUTED_VALUE"""),"आस्तीर्णतल्परचितावासथः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||")</f>
        <v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||</v>
      </c>
      <c r="B6346" s="4" t="s">
        <v>31</v>
      </c>
      <c r="C6346" s="4"/>
    </row>
    <row r="6347" spans="1:3" ht="24" customHeight="1">
      <c r="A6347" s="4" t="str">
        <f ca="1">IFERROR(__xludf.DUMMYFUNCTION("""COMPUTED_VALUE"""),"सस्नुः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||")</f>
        <v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||</v>
      </c>
      <c r="B6347" s="4" t="s">
        <v>1</v>
      </c>
      <c r="C6347" s="4"/>
    </row>
    <row r="6348" spans="1:3" ht="24" customHeight="1">
      <c r="A6348" s="4" t="str">
        <f ca="1">IFERROR(__xludf.DUMMYFUNCTION("""COMPUTED_VALUE"""),"नाभिह्रदैः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||")</f>
        <v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||</v>
      </c>
      <c r="B6348" s="4" t="s">
        <v>17</v>
      </c>
      <c r="C6348" s="4"/>
    </row>
    <row r="6349" spans="1:3" ht="24" customHeight="1">
      <c r="A6349" s="4" t="str">
        <f ca="1">IFERROR(__xludf.DUMMYFUNCTION("""COMPUTED_VALUE"""),"आलोलपुष्करमुखोल्लसितैरभीक्ष्ण-मुक्षांबभूवुरभितोवपुरम्बुवर्षैः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||")</f>
        <v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||</v>
      </c>
      <c r="B6349" s="4" t="s">
        <v>1</v>
      </c>
      <c r="C6349" s="4"/>
    </row>
    <row r="6350" spans="1:3" ht="24" customHeight="1">
      <c r="A6350" s="4" t="str">
        <f ca="1">IFERROR(__xludf.DUMMYFUNCTION("""COMPUTED_VALUE"""),"ये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||")</f>
        <v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||</v>
      </c>
      <c r="B6350" s="4" t="s">
        <v>1</v>
      </c>
      <c r="C6350" s="4"/>
    </row>
    <row r="6351" spans="1:3" ht="24" customHeight="1">
      <c r="A6351" s="4" t="str">
        <f ca="1">IFERROR(__xludf.DUMMYFUNCTION("""COMPUTED_VALUE"""),"आत्मानमेव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||")</f>
        <v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||</v>
      </c>
      <c r="B6351" s="4" t="s">
        <v>6</v>
      </c>
      <c r="C6351" s="4"/>
    </row>
    <row r="6352" spans="1:3" ht="24" customHeight="1">
      <c r="A6352" s="4" t="str">
        <f ca="1">IFERROR(__xludf.DUMMYFUNCTION("""COMPUTED_VALUE"""),"नादातुमन्यकरिमुक्तमदाम्बुतिक्तं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||")</f>
        <v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||</v>
      </c>
      <c r="B6352" s="4" t="s">
        <v>28</v>
      </c>
      <c r="C6352" s="4"/>
    </row>
    <row r="6353" spans="1:3" ht="24" customHeight="1">
      <c r="A6353" s="4" t="str">
        <f ca="1">IFERROR(__xludf.DUMMYFUNCTION("""COMPUTED_VALUE"""),"पन्थानमाशु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काचिथ् ||")</f>
        <v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काचिथ् ||</v>
      </c>
      <c r="B6353" s="4" t="s">
        <v>16</v>
      </c>
      <c r="C6353" s="4"/>
    </row>
    <row r="6354" spans="1:3" ht="24" customHeight="1">
      <c r="A6354" s="4" t="str">
        <f ca="1">IFERROR(__xludf.DUMMYFUNCTION("""COMPUTED_VALUE"""),"कीर्णं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||")</f>
        <v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||</v>
      </c>
      <c r="B6354" s="4" t="s">
        <v>5</v>
      </c>
      <c r="C6354" s="4"/>
    </row>
    <row r="6355" spans="1:3" ht="24" customHeight="1">
      <c r="A6355" s="4" t="str">
        <f ca="1">IFERROR(__xludf.DUMMYFUNCTION("""COMPUTED_VALUE"""),"गण्डूषमुज्झितवता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||")</f>
        <v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||</v>
      </c>
      <c r="B6355" s="4" t="s">
        <v>2</v>
      </c>
      <c r="C6355" s="4"/>
    </row>
    <row r="6356" spans="1:3" ht="24" customHeight="1">
      <c r="A6356" s="4" t="str">
        <f ca="1">IFERROR(__xludf.DUMMYFUNCTION("""COMPUTED_VALUE"""),"दानन्ददत्तयपि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||")</f>
        <v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||</v>
      </c>
      <c r="B6356" s="4" t="s">
        <v>1</v>
      </c>
      <c r="C6356" s="4"/>
    </row>
    <row r="6357" spans="1:3" ht="24" customHeight="1">
      <c r="A6357" s="4" t="str">
        <f ca="1">IFERROR(__xludf.DUMMYFUNCTION("""COMPUTED_VALUE"""),"अन्तर्जलौघमवगाढवतः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||")</f>
        <v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||</v>
      </c>
      <c r="B6357" s="4" t="s">
        <v>5</v>
      </c>
      <c r="C6357" s="4"/>
    </row>
    <row r="6358" spans="1:3" ht="24" customHeight="1">
      <c r="A6358" s="4" t="str">
        <f ca="1">IFERROR(__xludf.DUMMYFUNCTION("""COMPUTED_VALUE"""),"संसर्पिभिः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||")</f>
        <v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||</v>
      </c>
      <c r="B6358" s="4" t="s">
        <v>2</v>
      </c>
      <c r="C6358" s="4"/>
    </row>
    <row r="6359" spans="1:3" ht="24" customHeight="1">
      <c r="A6359" s="4" t="str">
        <f ca="1">IFERROR(__xludf.DUMMYFUNCTION("""COMPUTED_VALUE"""),"यां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||")</f>
        <v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||</v>
      </c>
      <c r="B6359" s="4" t="s">
        <v>31</v>
      </c>
      <c r="C6359" s="4"/>
    </row>
    <row r="6360" spans="1:3" ht="24" customHeight="1">
      <c r="A6360" s="4" t="str">
        <f ca="1">IFERROR(__xludf.DUMMYFUNCTION("""COMPUTED_VALUE"""),"प्रत्यन्यदन्ति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||")</f>
        <v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||</v>
      </c>
      <c r="B6360" s="4" t="s">
        <v>5</v>
      </c>
      <c r="C6360" s="4"/>
    </row>
    <row r="6361" spans="1:3" ht="24" customHeight="1">
      <c r="A6361" s="4" t="str">
        <f ca="1">IFERROR(__xludf.DUMMYFUNCTION("""COMPUTED_VALUE"""),"सेव्योऽपि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||")</f>
        <v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||</v>
      </c>
      <c r="B6361" s="4" t="s">
        <v>2</v>
      </c>
      <c r="C6361" s="4"/>
    </row>
    <row r="6362" spans="1:3" ht="24" customHeight="1">
      <c r="A6362" s="4" t="str">
        <f ca="1">IFERROR(__xludf.DUMMYFUNCTION("""COMPUTED_VALUE"""),"अद्रीन्दुकुञ्चचरकुञ्जरगण्डकाष-संक्रान्तदानपयसो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||")</f>
        <v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||</v>
      </c>
      <c r="B6362" s="4" t="s">
        <v>1</v>
      </c>
      <c r="C6362" s="4"/>
    </row>
    <row r="6363" spans="1:3" ht="24" customHeight="1">
      <c r="A6363" s="4" t="str">
        <f ca="1">IFERROR(__xludf.DUMMYFUNCTION("""COMPUTED_VALUE"""),"नोच्चैर्यदा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||")</f>
        <v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||</v>
      </c>
      <c r="B6363" s="4" t="s">
        <v>2</v>
      </c>
      <c r="C6363" s="4"/>
    </row>
    <row r="6364" spans="1:3" ht="24" customHeight="1">
      <c r="A6364" s="4" t="str">
        <f ca="1">IFERROR(__xludf.DUMMYFUNCTION("""COMPUTED_VALUE"""),"उष्णोष्णशीकरसृजः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||")</f>
        <v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||</v>
      </c>
      <c r="B6364" s="4" t="s">
        <v>18</v>
      </c>
      <c r="C6364" s="4"/>
    </row>
    <row r="6365" spans="1:3" ht="24" customHeight="1">
      <c r="A6365" s="4" t="str">
        <f ca="1">IFERROR(__xludf.DUMMYFUNCTION("""COMPUTED_VALUE"""),"कण्डूयतः कटुभुवं करिणो मदेन स्कन्धं सुगन्धिमनुलीनवता नगस्य । स्थूलेन्द्रनीलशकलावलिक्ॐअलेन कणठेगुणत्वमलीनां वलयेन भेजे ||")</f>
        <v>कण्डूयतः कटुभुवं करिणो मदेन स्कन्धं सुगन्धिमनुलीनवता नगस्य । स्थूलेन्द्रनीलशकलावलिक्ॐअलेन कणठेगुणत्वमलीनां वलयेन भेजे ||</v>
      </c>
      <c r="B6365" s="4" t="s">
        <v>3</v>
      </c>
      <c r="C6365" s="4"/>
    </row>
    <row r="6366" spans="1:3" ht="24" customHeight="1">
      <c r="A6366" s="4" t="str">
        <f ca="1">IFERROR(__xludf.DUMMYFUNCTION("""COMPUTED_VALUE"""),"निर्धूतवीतमपि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||")</f>
        <v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||</v>
      </c>
      <c r="B6366" s="4" t="s">
        <v>2</v>
      </c>
      <c r="C6366" s="4"/>
    </row>
    <row r="6367" spans="1:3" ht="24" customHeight="1">
      <c r="A6367" s="4" t="str">
        <f ca="1">IFERROR(__xludf.DUMMYFUNCTION("""COMPUTED_VALUE"""),"स्तम्भं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||")</f>
        <v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||</v>
      </c>
      <c r="B6367" s="4" t="s">
        <v>3</v>
      </c>
      <c r="C6367" s="4"/>
    </row>
    <row r="6368" spans="1:3" ht="24" customHeight="1">
      <c r="A6368" s="4" t="str">
        <f ca="1">IFERROR(__xludf.DUMMYFUNCTION("""COMPUTED_VALUE"""),"जज्ञे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||")</f>
        <v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||</v>
      </c>
      <c r="B6368" s="4" t="s">
        <v>5</v>
      </c>
      <c r="C6368" s="4"/>
    </row>
    <row r="6369" spans="1:3" ht="24" customHeight="1">
      <c r="A6369" s="4" t="str">
        <f ca="1">IFERROR(__xludf.DUMMYFUNCTION("""COMPUTED_VALUE"""),"क्षिप्तं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||")</f>
        <v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||</v>
      </c>
      <c r="B6369" s="4" t="s">
        <v>1</v>
      </c>
      <c r="C6369" s="4"/>
    </row>
    <row r="6370" spans="1:3" ht="24" customHeight="1">
      <c r="A6370" s="4" t="str">
        <f ca="1">IFERROR(__xludf.DUMMYFUNCTION("""COMPUTED_VALUE"""),"दुःखेन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||")</f>
        <v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||</v>
      </c>
      <c r="B6370" s="4" t="s">
        <v>3</v>
      </c>
      <c r="C6370" s="4"/>
    </row>
    <row r="6371" spans="1:3" ht="24" customHeight="1">
      <c r="A6371" s="4" t="str">
        <f ca="1">IFERROR(__xludf.DUMMYFUNCTION("""COMPUTED_VALUE"""),"शुक्लांशुकोपरचितानि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||")</f>
        <v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||</v>
      </c>
      <c r="B6371" s="4" t="s">
        <v>12</v>
      </c>
      <c r="C6371" s="4"/>
    </row>
    <row r="6372" spans="1:3" ht="24" customHeight="1">
      <c r="A6372" s="4" t="str">
        <f ca="1">IFERROR(__xludf.DUMMYFUNCTION("""COMPUTED_VALUE"""),"गत्यूनमर्गगतयोऽपि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||")</f>
        <v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||</v>
      </c>
      <c r="B6372" s="4" t="s">
        <v>15</v>
      </c>
      <c r="C6372" s="4"/>
    </row>
    <row r="6373" spans="1:3" ht="24" customHeight="1">
      <c r="A6373" s="4" t="str">
        <f ca="1">IFERROR(__xludf.DUMMYFUNCTION("""COMPUTED_VALUE"""),"आजिघ्रति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र्ॐआञ्चतामिव जगाम रजः पृथिव्याः ||")</f>
        <v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र्ॐआञ्चतामिव जगाम रजः पृथिव्याः ||</v>
      </c>
      <c r="B6373" s="4" t="s">
        <v>5</v>
      </c>
      <c r="C6373" s="4"/>
    </row>
    <row r="6374" spans="1:3" ht="24" customHeight="1">
      <c r="A6374" s="4" t="str">
        <f ca="1">IFERROR(__xludf.DUMMYFUNCTION("""COMPUTED_VALUE"""),"हेम्नः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||")</f>
        <v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||</v>
      </c>
      <c r="B6374" s="4" t="s">
        <v>3</v>
      </c>
      <c r="C6374" s="4"/>
    </row>
    <row r="6375" spans="1:3" ht="24" customHeight="1">
      <c r="A6375" s="4" t="str">
        <f ca="1">IFERROR(__xludf.DUMMYFUNCTION("""COMPUTED_VALUE"""),"दन्तालिकाधरणनिश्चलपाणियुग्मं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||")</f>
        <v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||</v>
      </c>
      <c r="B6375" s="4" t="s">
        <v>5</v>
      </c>
      <c r="C6375" s="4"/>
    </row>
    <row r="6376" spans="1:3" ht="24" customHeight="1">
      <c r="A6376" s="4" t="str">
        <f ca="1">IFERROR(__xludf.DUMMYFUNCTION("""COMPUTED_VALUE"""),"रेजे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||")</f>
        <v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||</v>
      </c>
      <c r="B6376" s="4" t="s">
        <v>31</v>
      </c>
      <c r="C6376" s="4"/>
    </row>
    <row r="6377" spans="1:3" ht="24" customHeight="1">
      <c r="A6377" s="4" t="str">
        <f ca="1">IFERROR(__xludf.DUMMYFUNCTION("""COMPUTED_VALUE"""),"अश्रावि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||")</f>
        <v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||</v>
      </c>
      <c r="B6377" s="4" t="s">
        <v>4</v>
      </c>
      <c r="C6377" s="4"/>
    </row>
    <row r="6378" spans="1:3" ht="24" customHeight="1">
      <c r="A6378" s="4" t="str">
        <f ca="1">IFERROR(__xludf.DUMMYFUNCTION("""COMPUTED_VALUE"""),"उत्खाय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||")</f>
        <v>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||</v>
      </c>
      <c r="B6378" s="4" t="s">
        <v>5</v>
      </c>
      <c r="C6378" s="4"/>
    </row>
    <row r="6379" spans="1:3" ht="24" customHeight="1">
      <c r="A6379" s="4" t="str">
        <f ca="1">IFERROR(__xludf.DUMMYFUNCTION("""COMPUTED_VALUE"""),"अव्याकुलं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||")</f>
        <v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||</v>
      </c>
      <c r="B6379" s="4" t="s">
        <v>4</v>
      </c>
      <c r="C6379" s="4"/>
    </row>
    <row r="6380" spans="1:3" ht="24" customHeight="1">
      <c r="A6380" s="4" t="str">
        <f ca="1">IFERROR(__xludf.DUMMYFUNCTION("""COMPUTED_VALUE"""),"मुक्तासृणानि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||")</f>
        <v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||</v>
      </c>
      <c r="B6380" s="4" t="s">
        <v>15</v>
      </c>
      <c r="C6380" s="4"/>
    </row>
    <row r="6381" spans="1:3" ht="24" customHeight="1">
      <c r="A6381" s="4" t="str">
        <f ca="1">IFERROR(__xludf.DUMMYFUNCTION("""COMPUTED_VALUE"""),"उत्तीर्णभारलघुनाप्यलघूलपौघ-सौहित्यनिःसहतरेण तरोरधस्ताथ् । र्ॐअन्थमन्थरचलद्गुरुसास्नमासां-चक्रे नीमीलदलसेक्षणमौक्षकेण ||")</f>
        <v>उत्तीर्णभारलघुनाप्यलघूलपौघ-सौहित्यनिःसहतरेण तरोरधस्ताथ् । र्ॐअन्थमन्थरचलद्गुरुसास्नमासां-चक्रे नीमीलदलसेक्षणमौक्षकेण ||</v>
      </c>
      <c r="B6381" s="4" t="s">
        <v>7</v>
      </c>
      <c r="C6381" s="4"/>
    </row>
    <row r="6382" spans="1:3" ht="24" customHeight="1">
      <c r="A6382" s="4" t="str">
        <f ca="1">IFERROR(__xludf.DUMMYFUNCTION("""COMPUTED_VALUE"""),"मृत्पिण्डशेखरितकोटिभिरर्धचन्द्रं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||")</f>
        <v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||</v>
      </c>
      <c r="B6382" s="4" t="s">
        <v>13</v>
      </c>
      <c r="C6382" s="4"/>
    </row>
    <row r="6383" spans="1:3" ht="24" customHeight="1">
      <c r="A6383" s="4" t="str">
        <f ca="1">IFERROR(__xludf.DUMMYFUNCTION("""COMPUTED_VALUE"""),"मेदस्विनः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||")</f>
        <v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||</v>
      </c>
      <c r="B6383" s="4" t="s">
        <v>7</v>
      </c>
      <c r="C6383" s="4"/>
    </row>
    <row r="6384" spans="1:3" ht="24" customHeight="1">
      <c r="A6384" s="4" t="str">
        <f ca="1">IFERROR(__xludf.DUMMYFUNCTION("""COMPUTED_VALUE"""),"बिभ्राणमायतिमतीमवृथा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||")</f>
        <v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||</v>
      </c>
      <c r="B6384" s="4" t="s">
        <v>1</v>
      </c>
      <c r="C6384" s="4"/>
    </row>
    <row r="6385" spans="1:3" ht="24" customHeight="1">
      <c r="A6385" s="4" t="str">
        <f ca="1">IFERROR(__xludf.DUMMYFUNCTION("""COMPUTED_VALUE"""),"सार्धं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||")</f>
        <v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||</v>
      </c>
      <c r="B6385" s="4" t="s">
        <v>31</v>
      </c>
      <c r="C6385" s="4"/>
    </row>
    <row r="6386" spans="1:3" ht="24" customHeight="1">
      <c r="A6386" s="4" t="str">
        <f ca="1">IFERROR(__xludf.DUMMYFUNCTION("""COMPUTED_VALUE"""),"स्पष्टं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||")</f>
        <v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||</v>
      </c>
      <c r="B6386" s="4" t="s">
        <v>22</v>
      </c>
      <c r="C6386" s="4"/>
    </row>
    <row r="6387" spans="1:3" ht="24" customHeight="1">
      <c r="A6387" s="4" t="str">
        <f ca="1">IFERROR(__xludf.DUMMYFUNCTION("""COMPUTED_VALUE"""),"उन्नम्रताम्रपटमण्डपमण्डितं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||")</f>
        <v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||</v>
      </c>
      <c r="B6387" s="4" t="s">
        <v>5</v>
      </c>
      <c r="C6387" s="4"/>
    </row>
    <row r="6388" spans="1:3" ht="24" customHeight="1">
      <c r="A6388" s="4" t="str">
        <f ca="1">IFERROR(__xludf.DUMMYFUNCTION("""COMPUTED_VALUE"""),"धरस्योद्धर्तासित्वमितिननु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||")</f>
        <v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||</v>
      </c>
      <c r="B6388" s="4" t="s">
        <v>4</v>
      </c>
      <c r="C6388" s="4"/>
    </row>
    <row r="6389" spans="1:3" ht="24" customHeight="1">
      <c r="A6389" s="4" t="str">
        <f ca="1">IFERROR(__xludf.DUMMYFUNCTION("""COMPUTED_VALUE"""),"अथ रिरंसुममुं युगपद्गिरौ कृतयथास्वतरुप्रसवश्रिया । ऋतुगणेन निषेवितुमादधे भुवि पदं विपदन्तकृतं सतां ||")</f>
        <v>अथ रिरंसुममुं युगपद्गिरौ कृतयथास्वतरुप्रसवश्रिया । ऋतुगणेन निषेवितुमादधे भुवि पदं विपदन्तकृतं सतां ||</v>
      </c>
      <c r="B6389" s="4" t="s">
        <v>2</v>
      </c>
      <c r="C6389" s="4"/>
    </row>
    <row r="6390" spans="1:3" ht="24" customHeight="1">
      <c r="A6390" s="4" t="str">
        <f ca="1">IFERROR(__xludf.DUMMYFUNCTION("""COMPUTED_VALUE"""),"नवपलाशपलाशवनं पुरः स्फुटस्फटपरागतपङ्गजं । मृदुलतान्तलतान्तमलोकयत्स सुरभिं सुमनोभरैः ||")</f>
        <v>नवपलाशपलाशवनं पुरः स्फुटस्फटपरागतपङ्गजं । मृदुलतान्तलतान्तमलोकयत्स सुरभिं सुमनोभरैः ||</v>
      </c>
      <c r="B6390" s="4" t="s">
        <v>0</v>
      </c>
      <c r="C6390" s="4"/>
    </row>
    <row r="6391" spans="1:3" ht="24" customHeight="1">
      <c r="A6391" s="4" t="str">
        <f ca="1">IFERROR(__xludf.DUMMYFUNCTION("""COMPUTED_VALUE"""),"विलुलितालकसंहृतिरामृशन्मृगदृशां श्रमवारि ललाटजं । तनुतरङ्गततिं सरसां दलत्कुवलयं वलयन्मरुदाववौ ||")</f>
        <v>विलुलितालकसंहृतिरामृशन्मृगदृशां श्रमवारि ललाटजं । तनुतरङ्गततिं सरसां दलत्कुवलयं वलयन्मरुदाववौ ||</v>
      </c>
      <c r="B6391" s="4" t="s">
        <v>4</v>
      </c>
      <c r="C6391" s="4"/>
    </row>
    <row r="6392" spans="1:3" ht="24" customHeight="1">
      <c r="A6392" s="4" t="str">
        <f ca="1">IFERROR(__xludf.DUMMYFUNCTION("""COMPUTED_VALUE"""),"तुलयति स्म विलोचनतारकाः कुरबकस्तबकव्यतिषह्किणि । गुणवदाश्रयलब्धगुणोददये मालिनिमालिनि माधवयोषितां ||")</f>
        <v>तुलयति स्म विलोचनतारकाः कुरबकस्तबकव्यतिषह्किणि । गुणवदाश्रयलब्धगुणोददये मालिनिमालिनि माधवयोषितां ||</v>
      </c>
      <c r="B6392" s="4" t="s">
        <v>2</v>
      </c>
      <c r="C6392" s="4"/>
    </row>
    <row r="6393" spans="1:3" ht="24" customHeight="1">
      <c r="A6393" s="4" t="str">
        <f ca="1">IFERROR(__xludf.DUMMYFUNCTION("""COMPUTED_VALUE"""),"स्फुटमिवोज्वलकाञ्चकान्तिभिर्युतमशोकमशोभत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||")</f>
        <v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||</v>
      </c>
      <c r="B6393" s="4" t="s">
        <v>1</v>
      </c>
      <c r="C6393" s="4"/>
    </row>
    <row r="6394" spans="1:3" ht="24" customHeight="1">
      <c r="A6394" s="4" t="str">
        <f ca="1">IFERROR(__xludf.DUMMYFUNCTION("""COMPUTED_VALUE"""),"स्मराहुताशनमुर्मुरचूर्णतां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||")</f>
        <v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||</v>
      </c>
      <c r="B6394" s="4" t="s">
        <v>8</v>
      </c>
      <c r="C6394" s="4"/>
    </row>
    <row r="6395" spans="1:3" ht="24" customHeight="1">
      <c r="A6395" s="4" t="str">
        <f ca="1">IFERROR(__xludf.DUMMYFUNCTION("""COMPUTED_VALUE"""),"रतिपतिप्रहितेव कृतक्रुधः प्रियतमेषु वधूरनुनायिका । बकुलपुष्परसासवपेशलध्वनिरगान्निरगात्मधुपावलिः ||")</f>
        <v>रतिपतिप्रहितेव कृतक्रुधः प्रियतमेषु वधूरनुनायिका । बकुलपुष्परसासवपेशलध्वनिरगान्निरगात्मधुपावलिः ||</v>
      </c>
      <c r="B6395" s="4" t="s">
        <v>11</v>
      </c>
      <c r="C6395" s="4"/>
    </row>
    <row r="6396" spans="1:3" ht="24" customHeight="1">
      <c r="A6396" s="4" t="str">
        <f ca="1">IFERROR(__xludf.DUMMYFUNCTION("""COMPUTED_VALUE"""),"प्रियसखीसदृशं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||")</f>
        <v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||</v>
      </c>
      <c r="B6396" s="4" t="s">
        <v>1</v>
      </c>
      <c r="C6396" s="4"/>
    </row>
    <row r="6397" spans="1:3" ht="24" customHeight="1">
      <c r="A6397" s="4" t="str">
        <f ca="1">IFERROR(__xludf.DUMMYFUNCTION("""COMPUTED_VALUE"""),"मधुकरैरपवादकरैरिव स्मृतिभुवः पथिकाः हरिणा इव । कलतया वचसः परिवादिनीस्वरजिता वशमाययुः ||")</f>
        <v>मधुकरैरपवादकरैरिव स्मृतिभुवः पथिकाः हरिणा इव । कलतया वचसः परिवादिनीस्वरजिता वशमाययुः ||</v>
      </c>
      <c r="B6397" s="4" t="s">
        <v>5</v>
      </c>
      <c r="C6397" s="4"/>
    </row>
    <row r="6398" spans="1:3" ht="24" customHeight="1">
      <c r="A6398" s="4" t="str">
        <f ca="1">IFERROR(__xludf.DUMMYFUNCTION("""COMPUTED_VALUE"""),"समभिसृत्य रसादवलम्बितः प्रमदया कुसुमावचिचीर्षया । अविनमन्न रराजवृथोच्चकैरनृतया नृतया वनपादपः ||")</f>
        <v>समभिसृत्य रसादवलम्बितः प्रमदया कुसुमावचिचीर्षया । अविनमन्न रराजवृथोच्चकैरनृतया नृतया वनपादपः ||</v>
      </c>
      <c r="B6398" s="4" t="s">
        <v>9</v>
      </c>
      <c r="C6398" s="4"/>
    </row>
    <row r="6399" spans="1:3" ht="24" customHeight="1">
      <c r="A6399" s="4" t="str">
        <f ca="1">IFERROR(__xludf.DUMMYFUNCTION("""COMPUTED_VALUE"""),"इदमपास्य विरागि परागीरलिकदम्बकमम्बुरुहां ततीः । स्तनभरेण जितस्तबकानमन्नवलते वलतेऽभिमुखं तव ||")</f>
        <v>इदमपास्य विरागि परागीरलिकदम्बकमम्बुरुहां ततीः । स्तनभरेण जितस्तबकानमन्नवलते वलतेऽभिमुखं तव ||</v>
      </c>
      <c r="B6399" s="4" t="s">
        <v>4</v>
      </c>
      <c r="C6399" s="4"/>
    </row>
    <row r="6400" spans="1:3" ht="24" customHeight="1">
      <c r="A6400" s="4" t="str">
        <f ca="1">IFERROR(__xludf.DUMMYFUNCTION("""COMPUTED_VALUE"""),"सुरभिणिश्वसिते दधतस्तृषं नवसुधामधुरे च तवाधरे । अलमलेरिव गन्धरसावमू मम न स्ॐअनसौ मनसो मुदे ||")</f>
        <v>सुरभिणिश्वसिते दधतस्तृषं नवसुधामधुरे च तवाधरे । अलमलेरिव गन्धरसावमू मम न स्ॐअनसौ मनसो मुदे ||</v>
      </c>
      <c r="B6400" s="4" t="s">
        <v>17</v>
      </c>
      <c r="C6400" s="4"/>
    </row>
    <row r="6401" spans="1:3" ht="24" customHeight="1">
      <c r="A6401" s="4" t="str">
        <f ca="1">IFERROR(__xludf.DUMMYFUNCTION("""COMPUTED_VALUE"""),"इति गदन्तमनन्तरमङ्गना भुजयुगोन्नमनोच्चतरस्तनी । प्रणयिनं रभसादुदरश्रिया वलिभयादलिभयादिव सस्वजे ||")</f>
        <v>इति गदन्तमनन्तरमङ्गना भुजयुगोन्नमनोच्चतरस्तनी । प्रणयिनं रभसादुदरश्रिया वलिभयादलिभयादिव सस्वजे ||</v>
      </c>
      <c r="B6401" s="4" t="s">
        <v>3</v>
      </c>
      <c r="C6401" s="4"/>
    </row>
    <row r="6402" spans="1:3" ht="24" customHeight="1">
      <c r="A6402" s="4" t="str">
        <f ca="1">IFERROR(__xludf.DUMMYFUNCTION("""COMPUTED_VALUE"""),"वदनसौरभलोभपरिभ्रमद्भ्रमरसंभ्रमसंभृतशोभया । चलितया विदधे कलमेखलाकलकलोऽलकलोलदृशान्यया ||")</f>
        <v>वदनसौरभलोभपरिभ्रमद्भ्रमरसंभ्रमसंभृतशोभया । चलितया विदधे कलमेखलाकलकलोऽलकलोलदृशान्यया ||</v>
      </c>
      <c r="B6402" s="4" t="s">
        <v>5</v>
      </c>
      <c r="C6402" s="4"/>
    </row>
    <row r="6403" spans="1:3" ht="24" customHeight="1">
      <c r="A6403" s="4" t="str">
        <f ca="1">IFERROR(__xludf.DUMMYFUNCTION("""COMPUTED_VALUE"""),"अजगणन्गणशः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||")</f>
        <v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||</v>
      </c>
      <c r="B6403" s="4" t="s">
        <v>5</v>
      </c>
      <c r="C6403" s="4"/>
    </row>
    <row r="6404" spans="1:3" ht="24" customHeight="1">
      <c r="A6404" s="4" t="str">
        <f ca="1">IFERROR(__xludf.DUMMYFUNCTION("""COMPUTED_VALUE"""),"कुसुमकार्मुककार्मुकसंहितद्रुतशिलीमुखखण्डितविग्रहाः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||")</f>
        <v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||</v>
      </c>
      <c r="B6404" s="4" t="s">
        <v>19</v>
      </c>
      <c r="C6404" s="4"/>
    </row>
    <row r="6405" spans="1:3" ht="24" customHeight="1">
      <c r="A6405" s="4" t="str">
        <f ca="1">IFERROR(__xludf.DUMMYFUNCTION("""COMPUTED_VALUE"""),"रुरुधिषा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||")</f>
        <v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||</v>
      </c>
      <c r="B6405" s="4" t="s">
        <v>7</v>
      </c>
      <c r="C6405" s="4"/>
    </row>
    <row r="6406" spans="1:3" ht="24" customHeight="1">
      <c r="A6406" s="4" t="str">
        <f ca="1">IFERROR(__xludf.DUMMYFUNCTION("""COMPUTED_VALUE"""),"त्यजति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||")</f>
        <v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||</v>
      </c>
      <c r="B6406" s="4" t="s">
        <v>0</v>
      </c>
      <c r="C6406" s="4"/>
    </row>
    <row r="6407" spans="1:3" ht="24" customHeight="1">
      <c r="A6407" s="4" t="str">
        <f ca="1">IFERROR(__xludf.DUMMYFUNCTION("""COMPUTED_VALUE"""),"न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||")</f>
        <v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||</v>
      </c>
      <c r="B6407" s="4" t="s">
        <v>4</v>
      </c>
      <c r="C6407" s="4"/>
    </row>
    <row r="6408" spans="1:3" ht="24" customHeight="1">
      <c r="A6408" s="4" t="str">
        <f ca="1">IFERROR(__xludf.DUMMYFUNCTION("""COMPUTED_VALUE"""),"मधुरया मधुबोधितमाधवीमधुसमृद्धिसमेधितमेधया । मधुकराङ्गनया मुहुरुन्मदध्वनिभृता निभृताक्षरमुज्जगे ||")</f>
        <v>मधुरया मधुबोधितमाधवीमधुसमृद्धिसमेधितमेधया । मधुकराङ्गनया मुहुरुन्मदध्वनिभृता निभृताक्षरमुज्जगे ||</v>
      </c>
      <c r="B6408" s="4" t="s">
        <v>15</v>
      </c>
      <c r="C6408" s="4"/>
    </row>
    <row r="6409" spans="1:3" ht="24" customHeight="1">
      <c r="A6409" s="4" t="str">
        <f ca="1">IFERROR(__xludf.DUMMYFUNCTION("""COMPUTED_VALUE"""),"अरुणिताखिशैलवना मुहुर्विदधती पथिकान्परितापिनः ।विकचकिंशुकसंहतिरुच्चकैरुदवहद्दवहव्यवहश्रियं ||")</f>
        <v>अरुणिताखिशैलवना मुहुर्विदधती पथिकान्परितापिनः ।विकचकिंशुकसंहतिरुच्चकैरुदवहद्दवहव्यवहश्रियं ||</v>
      </c>
      <c r="B6409" s="4" t="s">
        <v>5</v>
      </c>
      <c r="C6409" s="4"/>
    </row>
    <row r="6410" spans="1:3" ht="24" customHeight="1">
      <c r="A6410" s="4" t="str">
        <f ca="1">IFERROR(__xludf.DUMMYFUNCTION("""COMPUTED_VALUE"""),"रवितुरङ्गतनूरुहतुल्यतां दधति यत्र शिरीषरजोरुचः । उपययौ विदधन्नवमल्लिकाः शुचिरसौ चिरसौरभसंपदः ||")</f>
        <v>रवितुरङ्गतनूरुहतुल्यतां दधति यत्र शिरीषरजोरुचः । उपययौ विदधन्नवमल्लिकाः शुचिरसौ चिरसौरभसंपदः ||</v>
      </c>
      <c r="B6410" s="4" t="s">
        <v>17</v>
      </c>
      <c r="C6410" s="4"/>
    </row>
    <row r="6411" spans="1:3" ht="24" customHeight="1">
      <c r="A6411" s="4" t="str">
        <f ca="1">IFERROR(__xludf.DUMMYFUNCTION("""COMPUTED_VALUE"""),"दलितक्ॐअलपाटलकुड्मले निजवधूश्वसितानुविधायिनि । मरुति वाति विलासिभिरुन्मदभ्रमदलौ मदलौल्यमुपाददे ||")</f>
        <v>दलितक्ॐअलपाटलकुड्मले निजवधूश्वसितानुविधायिनि । मरुति वाति विलासिभिरुन्मदभ्रमदलौ मदलौल्यमुपाददे ||</v>
      </c>
      <c r="B6411" s="4" t="s">
        <v>17</v>
      </c>
      <c r="C6411" s="4"/>
    </row>
    <row r="6412" spans="1:3" ht="24" customHeight="1">
      <c r="A6412" s="4" t="str">
        <f ca="1">IFERROR(__xludf.DUMMYFUNCTION("""COMPUTED_VALUE"""),"निदधिरे दयितोरसि तत्क्षणस्पनवारितुषारभृतः स्तनाः । सरसचन्दनरेणुरनुक्षणं विचकरे च करेण वरोरुभिः ||")</f>
        <v>निदधिरे दयितोरसि तत्क्षणस्पनवारितुषारभृतः स्तनाः । सरसचन्दनरेणुरनुक्षणं विचकरे च करेण वरोरुभिः ||</v>
      </c>
      <c r="B6412" s="4" t="s">
        <v>6</v>
      </c>
      <c r="C6412" s="4"/>
    </row>
    <row r="6413" spans="1:3" ht="24" customHeight="1">
      <c r="A6413" s="4" t="str">
        <f ca="1">IFERROR(__xludf.DUMMYFUNCTION("""COMPUTED_VALUE"""),"स्फुरदधीरतडिन्नयना मुहुः प्रियमिवागलितोरुपयोधरा । जलधरावलिरप्रतिपालितस्वसमया समयाञ्जगतीधरं ||")</f>
        <v>स्फुरदधीरतडिन्नयना मुहुः प्रियमिवागलितोरुपयोधरा । जलधरावलिरप्रतिपालितस्वसमया समयाञ्जगतीधरं ||</v>
      </c>
      <c r="B6413" s="4" t="s">
        <v>0</v>
      </c>
      <c r="C6413" s="4"/>
    </row>
    <row r="6414" spans="1:3" ht="24" customHeight="1">
      <c r="A6414" s="4" t="str">
        <f ca="1">IFERROR(__xludf.DUMMYFUNCTION("""COMPUTED_VALUE"""),"गजकदम्बकमेचकमुच्चकैर्नभसि वीक्ष्य नवाम्बुदमम्बरे । अभिससार न वल्लभमङ्गना न चकमे च कमेकरसं रहः ||")</f>
        <v>गजकदम्बकमेचकमुच्चकैर्नभसि वीक्ष्य नवाम्बुदमम्बरे । अभिससार न वल्लभमङ्गना न चकमे च कमेकरसं रहः ||</v>
      </c>
      <c r="B6414" s="4" t="s">
        <v>24</v>
      </c>
      <c r="C6414" s="4"/>
    </row>
    <row r="6415" spans="1:3" ht="24" customHeight="1">
      <c r="A6415" s="4" t="str">
        <f ca="1">IFERROR(__xludf.DUMMYFUNCTION("""COMPUTED_VALUE"""),"अनुययौ विविधोपलकुण्डलद्युतिवितानकसंवलितांशुकं । धुततनुर्वलयस्य पय्ॐउचः शबलिमा बलिमानमुषो वपुः ||")</f>
        <v>अनुययौ विविधोपलकुण्डलद्युतिवितानकसंवलितांशुकं । धुततनुर्वलयस्य पय्ॐउचः शबलिमा बलिमानमुषो वपुः ||</v>
      </c>
      <c r="B6415" s="4" t="s">
        <v>9</v>
      </c>
      <c r="C6415" s="4"/>
    </row>
    <row r="6416" spans="1:3" ht="24" customHeight="1">
      <c r="A6416" s="4" t="str">
        <f ca="1">IFERROR(__xludf.DUMMYFUNCTION("""COMPUTED_VALUE"""),"द्रुतसमीरचलैः क्षणलक्षितव्यवहिता विटपैरिव मञ्जरी । नततमालनिभस्य नभस्तरोरचिररोचिररोचत वारिदैः ||")</f>
        <v>द्रुतसमीरचलैः क्षणलक्षितव्यवहिता विटपैरिव मञ्जरी । नततमालनिभस्य नभस्तरोरचिररोचिररोचत वारिदैः ||</v>
      </c>
      <c r="B6416" s="4" t="s">
        <v>17</v>
      </c>
      <c r="C6416" s="4"/>
    </row>
    <row r="6417" spans="1:3" ht="24" customHeight="1">
      <c r="A6417" s="4" t="str">
        <f ca="1">IFERROR(__xludf.DUMMYFUNCTION("""COMPUTED_VALUE"""),"पटलमम्बुमुचां पथिकाङ्गना सपदि जीवितसंशयमेष्यती । सनयनाम्बुसखीजन संभ्रमाद्विधुरबन्धुरबन्धुरमैक्षत ||")</f>
        <v>पटलमम्बुमुचां पथिकाङ्गना सपदि जीवितसंशयमेष्यती । सनयनाम्बुसखीजन संभ्रमाद्विधुरबन्धुरबन्धुरमैक्षत ||</v>
      </c>
      <c r="B6417" s="4" t="s">
        <v>2</v>
      </c>
      <c r="C6417" s="4"/>
    </row>
    <row r="6418" spans="1:3" ht="24" customHeight="1">
      <c r="A6418" s="4" t="str">
        <f ca="1">IFERROR(__xludf.DUMMYFUNCTION("""COMPUTED_VALUE"""),"प्रवसतः सुतरामुदकम्पयद्विलकन्दलकम्पनलालितः । नमयति स्म वनानि मनस्विनीजननमनो घनमारुतः ||")</f>
        <v>प्रवसतः सुतरामुदकम्पयद्विलकन्दलकम्पनलालितः । नमयति स्म वनानि मनस्विनीजननमनो घनमारुतः ||</v>
      </c>
      <c r="B6418" s="4" t="s">
        <v>2</v>
      </c>
      <c r="C6418" s="4"/>
    </row>
    <row r="6419" spans="1:3" ht="24" customHeight="1">
      <c r="A6419" s="4" t="str">
        <f ca="1">IFERROR(__xludf.DUMMYFUNCTION("""COMPUTED_VALUE"""),"जलदपङ्क्तिरनर्तयदुन्मदंकलविलापि कलापिकदम्बकं । कृतसमार्जनमर्दलमण्डलध्वनिजया निजया स्वनसंपदा ||")</f>
        <v>जलदपङ्क्तिरनर्तयदुन्मदंकलविलापि कलापिकदम्बकं । कृतसमार्जनमर्दलमण्डलध्वनिजया निजया स्वनसंपदा ||</v>
      </c>
      <c r="B6419" s="4" t="s">
        <v>17</v>
      </c>
      <c r="C6419" s="4"/>
    </row>
    <row r="6420" spans="1:3" ht="24" customHeight="1">
      <c r="A6420" s="4" t="str">
        <f ca="1">IFERROR(__xludf.DUMMYFUNCTION("""COMPUTED_VALUE"""),"नवकदम्बजोऽरुणिताम्बरैरधिपुरन्ध्रि शिलीन्ध्रसुगन्धिभिः । मनसि रागवतामनुरागिता नवनवा वनवायुभिरादधे ||")</f>
        <v>नवकदम्बजोऽरुणिताम्बरैरधिपुरन्ध्रि शिलीन्ध्रसुगन्धिभिः । मनसि रागवतामनुरागिता नवनवा वनवायुभिरादधे ||</v>
      </c>
      <c r="B6420" s="4" t="s">
        <v>20</v>
      </c>
      <c r="C6420" s="4"/>
    </row>
    <row r="6421" spans="1:3" ht="24" customHeight="1">
      <c r="A6421" s="4" t="str">
        <f ca="1">IFERROR(__xludf.DUMMYFUNCTION("""COMPUTED_VALUE"""),"शमिततापमपोढमहीरजः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||")</f>
        <v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||</v>
      </c>
      <c r="B6421" s="4" t="s">
        <v>0</v>
      </c>
      <c r="C6421" s="4"/>
    </row>
    <row r="6422" spans="1:3" ht="24" customHeight="1">
      <c r="A6422" s="4" t="str">
        <f ca="1">IFERROR(__xludf.DUMMYFUNCTION("""COMPUTED_VALUE"""),"द्विरदवलक्षमलक्ष्यत स्फुरितभृङ्गमृच्छवि केतकं । घनघनौघविघट्टनया दिवः कृशसिखं शशिखण्डमिव च्युतं ||")</f>
        <v>द्विरदवलक्षमलक्ष्यत स्फुरितभृङ्गमृच्छवि केतकं । घनघनौघविघट्टनया दिवः कृशसिखं शशिखण्डमिव च्युतं ||</v>
      </c>
      <c r="B6422" s="4" t="s">
        <v>2</v>
      </c>
      <c r="C6422" s="4"/>
    </row>
    <row r="6423" spans="1:3" ht="24" customHeight="1">
      <c r="A6423" s="4" t="str">
        <f ca="1">IFERROR(__xludf.DUMMYFUNCTION("""COMPUTED_VALUE"""),"दलितमौक्तिकचूर्णविपाण्डवः स्फुरितनिर्झरशीकरचारवः । कुटजपुष्पपरागकणाः स्फुटं विदधिरे दधिरेणुविडम्बनां ||")</f>
        <v>दलितमौक्तिकचूर्णविपाण्डवः स्फुरितनिर्झरशीकरचारवः । कुटजपुष्पपरागकणाः स्फुटं विदधिरे दधिरेणुविडम्बनां ||</v>
      </c>
      <c r="B6423" s="4" t="s">
        <v>1</v>
      </c>
      <c r="C6423" s="4"/>
    </row>
    <row r="6424" spans="1:3" ht="24" customHeight="1">
      <c r="A6424" s="4" t="str">
        <f ca="1">IFERROR(__xludf.DUMMYFUNCTION("""COMPUTED_VALUE"""),"नवपयःकणक्ॐअलमालतीकुसुमसंततिसंततसङ्गिभिः । प्रचलितोडुनिभैः परिपाण्डिमाः शुभरजोभरजोऽलिभिराददे ||")</f>
        <v>नवपयःकणक्ॐअलमालतीकुसुमसंततिसंततसङ्गिभिः । प्रचलितोडुनिभैः परिपाण्डिमाः शुभरजोभरजोऽलिभिराददे ||</v>
      </c>
      <c r="B6424" s="4" t="s">
        <v>17</v>
      </c>
      <c r="C6424" s="4"/>
    </row>
    <row r="6425" spans="1:3" ht="24" customHeight="1">
      <c r="A6425" s="4" t="str">
        <f ca="1">IFERROR(__xludf.DUMMYFUNCTION("""COMPUTED_VALUE"""),"निजरजः पटवासमिवाकिरद्धृतपटोपमवारिमुचां दिशां । प्रियवियुक्तवधूजनचेतसामनवनी नवनीपवनावलिः ||")</f>
        <v>निजरजः पटवासमिवाकिरद्धृतपटोपमवारिमुचां दिशां । प्रियवियुक्तवधूजनचेतसामनवनी नवनीपवनावलिः ||</v>
      </c>
      <c r="B6425" s="4" t="s">
        <v>11</v>
      </c>
      <c r="C6425" s="4"/>
    </row>
    <row r="6426" spans="1:3" ht="24" customHeight="1">
      <c r="A6426" s="4" t="str">
        <f ca="1">IFERROR(__xludf.DUMMYFUNCTION("""COMPUTED_VALUE"""),"प्रणयकोपभृतोऽपि पराङ्मुखाः सपदि वारिधरारवभीरवः । प्रणयिनः परिरब्धुमथाङ्गना ववलिरे वलिरेचितमध्यमाः ||")</f>
        <v>प्रणयकोपभृतोऽपि पराङ्मुखाः सपदि वारिधरारवभीरवः । प्रणयिनः परिरब्धुमथाङ्गना ववलिरे वलिरेचितमध्यमाः ||</v>
      </c>
      <c r="B6426" s="4" t="s">
        <v>12</v>
      </c>
      <c r="C6426" s="4"/>
    </row>
    <row r="6427" spans="1:3" ht="24" customHeight="1">
      <c r="A6427" s="4" t="str">
        <f ca="1">IFERROR(__xludf.DUMMYFUNCTION("""COMPUTED_VALUE"""),"विगतरागगुणोऽपि जनो न कश्चलति वाति पयोदनभस्वति । अभिहितेऽलिभिरेवमिवोच्चकैरननृते ननृते नवपल्लवैः ||")</f>
        <v>विगतरागगुणोऽपि जनो न कश्चलति वाति पयोदनभस्वति । अभिहितेऽलिभिरेवमिवोच्चकैरननृते ननृते नवपल्लवैः ||</v>
      </c>
      <c r="B6427" s="4" t="s">
        <v>4</v>
      </c>
      <c r="C6427" s="4"/>
    </row>
    <row r="6428" spans="1:3" ht="24" customHeight="1">
      <c r="A6428" s="4" t="str">
        <f ca="1">IFERROR(__xludf.DUMMYFUNCTION("""COMPUTED_VALUE"""),"अरमयन्भवनादचिरद्युतेः किल भयादमपयातुमनिच्छवः । यदुनरेन्द्रगणं तरुणागणास्तमथ मन्मथमन्थरभाषिणः ||")</f>
        <v>अरमयन्भवनादचिरद्युतेः किल भयादमपयातुमनिच्छवः । यदुनरेन्द्रगणं तरुणागणास्तमथ मन्मथमन्थरभाषिणः ||</v>
      </c>
      <c r="B6428" s="4" t="s">
        <v>7</v>
      </c>
      <c r="C6428" s="4"/>
    </row>
    <row r="6429" spans="1:3" ht="24" customHeight="1">
      <c r="A6429" s="4" t="str">
        <f ca="1">IFERROR(__xludf.DUMMYFUNCTION("""COMPUTED_VALUE"""),"ददतमन्तरिताहिमदीधितिं खगकुलाय कुलायनिलायितां । जलदकालमबोधकृतं दिशामपराथाप रथवयवायुधः ||")</f>
        <v>ददतमन्तरिताहिमदीधितिं खगकुलाय कुलायनिलायितां । जलदकालमबोधकृतं दिशामपराथाप रथवयवायुधः ||</v>
      </c>
      <c r="B6429" s="4" t="s">
        <v>20</v>
      </c>
      <c r="C6429" s="4"/>
    </row>
    <row r="6430" spans="1:3" ht="24" customHeight="1">
      <c r="A6430" s="4" t="str">
        <f ca="1">IFERROR(__xludf.DUMMYFUNCTION("""COMPUTED_VALUE"""),"स विकचोत्पलचक्षुषमैक्षत क्षितिभृतोऽङगगतां दयितामिव । शरदमच्छगलद्वसनोपमाक्षमधनामघनाशनकीर्तनः ||")</f>
        <v>स विकचोत्पलचक्षुषमैक्षत क्षितिभृतोऽङगगतां दयितामिव । शरदमच्छगलद्वसनोपमाक्षमधनामघनाशनकीर्तनः ||</v>
      </c>
      <c r="B6430" s="4" t="s">
        <v>1</v>
      </c>
      <c r="C6430" s="4"/>
    </row>
    <row r="6431" spans="1:3" ht="24" customHeight="1">
      <c r="A6431" s="4" t="str">
        <f ca="1">IFERROR(__xludf.DUMMYFUNCTION("""COMPUTED_VALUE"""),"जगति नैशमशीतकरः करैर्वियति वारिदवृन्दमयं तमः । जलजराजिषु नैन्द्रमदिद्रवन्न महतामहताः क्व च नारयः ||")</f>
        <v>जगति नैशमशीतकरः करैर्वियति वारिदवृन्दमयं तमः । जलजराजिषु नैन्द्रमदिद्रवन्न महतामहताः क्व च नारयः ||</v>
      </c>
      <c r="B6431" s="4" t="s">
        <v>5</v>
      </c>
      <c r="C6431" s="4"/>
    </row>
    <row r="6432" spans="1:3" ht="24" customHeight="1">
      <c r="A6432" s="4" t="str">
        <f ca="1">IFERROR(__xludf.DUMMYFUNCTION("""COMPUTED_VALUE"""),"समय एव करोति बलाबलं प्रणिगतवन्त इतीव शरीरिणां । शरदि हंसरवाः परुषीकृतस्वरमयूरमयू रमणीयतां ||")</f>
        <v>समय एव करोति बलाबलं प्रणिगतवन्त इतीव शरीरिणां । शरदि हंसरवाः परुषीकृतस्वरमयूरमयू रमणीयतां ||</v>
      </c>
      <c r="B6432" s="4" t="s">
        <v>2</v>
      </c>
      <c r="C6432" s="4"/>
    </row>
    <row r="6433" spans="1:3" ht="24" customHeight="1">
      <c r="A6433" s="4" t="str">
        <f ca="1">IFERROR(__xludf.DUMMYFUNCTION("""COMPUTED_VALUE"""),"तनुरुहाणि पुरो विजितध्वनेर्धवलपक्षविहङ्गमकूजितैः । जगलुरक्षमयेव शिखण्डिनः परिभवोऽरिभवो हि सुदुःसहः ||")</f>
        <v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||</v>
      </c>
      <c r="B6433" s="4" t="s">
        <v>24</v>
      </c>
      <c r="C6433" s="4"/>
    </row>
    <row r="6434" spans="1:3" ht="24" customHeight="1">
      <c r="A6434" s="4" t="str">
        <f ca="1">IFERROR(__xludf.DUMMYFUNCTION("""COMPUTED_VALUE"""),"अनुवनं वनराजिवधूमुखे बहलरागजवाधरचारुणि । विकचबाणवलयोऽधिकं रुरुचिरे रुचिरेक्षणविभ्रमाः ||")</f>
        <v>अनुवनं वनराजिवधूमुखे बहलरागजवाधरचारुणि । विकचबाणवलयोऽधिकं रुरुचिरे रुचिरेक्षणविभ्रमाः ||</v>
      </c>
      <c r="B6434" s="4" t="s">
        <v>12</v>
      </c>
      <c r="C6434" s="4"/>
    </row>
    <row r="6435" spans="1:3" ht="24" customHeight="1">
      <c r="A6435" s="4" t="str">
        <f ca="1">IFERROR(__xludf.DUMMYFUNCTION("""COMPUTED_VALUE"""),"कनकभङ्गपिशङ्गदलैर्दधे सरजसारुणकेशरचारुभिः । प्रियविमानितमानवतीरुषां निरसनैरसनैरवृथार्थता ||")</f>
        <v>कनकभङ्गपिशङ्गदलैर्दधे सरजसारुणकेशरचारुभिः । प्रियविमानितमानवतीरुषां निरसनैरसनैरवृथार्थता ||</v>
      </c>
      <c r="B6435" s="4" t="s">
        <v>2</v>
      </c>
      <c r="C6435" s="4"/>
    </row>
    <row r="6436" spans="1:3" ht="24" customHeight="1">
      <c r="A6436" s="4" t="str">
        <f ca="1">IFERROR(__xludf.DUMMYFUNCTION("""COMPUTED_VALUE"""),"मुखसरोजरुचं मदपाटलामनुचकार चकोरदृशां यतः । धृतनवातपमुत्सुकतामतो न कमलं कमलम्भयदम्भसि ||")</f>
        <v>मुखसरोजरुचं मदपाटलामनुचकार चकोरदृशां यतः । धृतनवातपमुत्सुकतामतो न कमलं कमलम्भयदम्भसि ||</v>
      </c>
      <c r="B6436" s="4" t="s">
        <v>18</v>
      </c>
      <c r="C6436" s="4"/>
    </row>
    <row r="6437" spans="1:3" ht="24" customHeight="1">
      <c r="A6437" s="4" t="str">
        <f ca="1">IFERROR(__xludf.DUMMYFUNCTION("""COMPUTED_VALUE"""),"विगतसस्यजिधत्समघट्टयत्कलमगोपवधूर्न मृगव्रजं । श्रुततदीरितक्ॐअलगीतकध्वनिमिषेऽनिमेषेक्षणमग्रतः ||")</f>
        <v>विगतसस्यजिधत्समघट्टयत्कलमगोपवधूर्न मृगव्रजं । श्रुततदीरितक्ॐअलगीतकध्वनिमिषेऽनिमेषेक्षणमग्रतः ||</v>
      </c>
      <c r="B6437" s="4" t="s">
        <v>2</v>
      </c>
      <c r="C6437" s="4"/>
    </row>
    <row r="6438" spans="1:3" ht="24" customHeight="1">
      <c r="A6438" s="4" t="str">
        <f ca="1">IFERROR(__xludf.DUMMYFUNCTION("""COMPUTED_VALUE"""),"कृतमदं निगदन्त इवाकुलीकृतजगत्रयमूर्जमतङ्गजं । ववुरयुक्छदगुच्छसुगन्धयः सततगास्ततगानगिरोऽलिभिः ||")</f>
        <v>कृतमदं निगदन्त इवाकुलीकृतजगत्रयमूर्जमतङ्गजं । ववुरयुक्छदगुच्छसुगन्धयः सततगास्ततगानगिरोऽलिभिः ||</v>
      </c>
      <c r="B6438" s="4" t="s">
        <v>6</v>
      </c>
      <c r="C6438" s="4"/>
    </row>
    <row r="6439" spans="1:3" ht="24" customHeight="1">
      <c r="A6439" s="4" t="str">
        <f ca="1">IFERROR(__xludf.DUMMYFUNCTION("""COMPUTED_VALUE"""),"विगतवारिधरावरणाः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||")</f>
        <v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||</v>
      </c>
      <c r="B6439" s="4" t="s">
        <v>8</v>
      </c>
      <c r="C6439" s="4"/>
    </row>
    <row r="6440" spans="1:3" ht="24" customHeight="1">
      <c r="A6440" s="4" t="str">
        <f ca="1">IFERROR(__xludf.DUMMYFUNCTION("""COMPUTED_VALUE"""),"विलुलितामनिलैः शरदङ्गना नवसरोरुहकेशरसम्भवां । विकरितुं परिहासविधित्सया हरिवधूरिव धूलिमुधक्षिपथ् ||")</f>
        <v>विलुलितामनिलैः शरदङ्गना नवसरोरुहकेशरसम्भवां । विकरितुं परिहासविधित्सया हरिवधूरिव धूलिमुधक्षिपथ् ||</v>
      </c>
      <c r="B6440" s="4" t="s">
        <v>9</v>
      </c>
      <c r="C6440" s="4"/>
    </row>
    <row r="6441" spans="1:3" ht="24" customHeight="1">
      <c r="A6441" s="4" t="str">
        <f ca="1">IFERROR(__xludf.DUMMYFUNCTION("""COMPUTED_VALUE"""),"हरितपत्रमयीव मरुद्गणैः स्रगवनद्धमनोरमपल्लवा । मधुरिपोरभिताम्रमुखी मुदं दिवि तता विततान शुकावलिः ||")</f>
        <v>हरितपत्रमयीव मरुद्गणैः स्रगवनद्धमनोरमपल्लवा । मधुरिपोरभिताम्रमुखी मुदं दिवि तता विततान शुकावलिः ||</v>
      </c>
      <c r="B6441" s="4" t="s">
        <v>11</v>
      </c>
      <c r="C6441" s="4"/>
    </row>
    <row r="6442" spans="1:3" ht="24" customHeight="1">
      <c r="A6442" s="4" t="str">
        <f ca="1">IFERROR(__xludf.DUMMYFUNCTION("""COMPUTED_VALUE"""),"स्मितसरोरुहनेत्रसरोजलामतिसितङ्गविहङ्गहसद्दिवं । अकलयन्मुदितामिव सर्वतः स शरदन्तुरदिह्मुखां ||")</f>
        <v>स्मितसरोरुहनेत्रसरोजलामतिसितङ्गविहङ्गहसद्दिवं । अकलयन्मुदितामिव सर्वतः स शरदन्तुरदिह्मुखां ||</v>
      </c>
      <c r="B6442" s="4" t="s">
        <v>14</v>
      </c>
      <c r="C6442" s="4"/>
    </row>
    <row r="6443" spans="1:3" ht="24" customHeight="1">
      <c r="A6443" s="4" t="str">
        <f ca="1">IFERROR(__xludf.DUMMYFUNCTION("""COMPUTED_VALUE"""),"गजद्वयसीरपि हैमनस्तुहिनयन्सरितः पृषतां पतिः । सलिलसन्ततिमध्वगयोषितामतुनतातनुतापकृतं दृशां ||")</f>
        <v>गजद्वयसीरपि हैमनस्तुहिनयन्सरितः पृषतां पतिः । सलिलसन्ततिमध्वगयोषितामतुनतातनुतापकृतं दृशां ||</v>
      </c>
      <c r="B6443" s="4" t="s">
        <v>8</v>
      </c>
      <c r="C6443" s="4"/>
    </row>
    <row r="6444" spans="1:3" ht="24" customHeight="1">
      <c r="A6444" s="4" t="str">
        <f ca="1">IFERROR(__xludf.DUMMYFUNCTION("""COMPUTED_VALUE"""),"इदमयुक्तमहो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||")</f>
        <v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||</v>
      </c>
      <c r="B6444" s="4" t="s">
        <v>1</v>
      </c>
      <c r="C6444" s="4"/>
    </row>
    <row r="6445" spans="1:3" ht="24" customHeight="1">
      <c r="A6445" s="4" t="str">
        <f ca="1">IFERROR(__xludf.DUMMYFUNCTION("""COMPUTED_VALUE"""),"प्रियतमेन यया सरुषा स्थितं न सह सा सहसा परिरभ्य तं । श्लथयितुं क्षणमक्षमतामङ्गना न सह सा सहसा कृतवेपथुः ||")</f>
        <v>प्रियतमेन यया सरुषा स्थितं न सह सा सहसा परिरभ्य तं । श्लथयितुं क्षणमक्षमतामङ्गना न सह सा सहसा कृतवेपथुः ||</v>
      </c>
      <c r="B6445" s="4" t="s">
        <v>10</v>
      </c>
      <c r="C6445" s="4"/>
    </row>
    <row r="6446" spans="1:3" ht="24" customHeight="1">
      <c r="A6446" s="4" t="str">
        <f ca="1">IFERROR(__xludf.DUMMYFUNCTION("""COMPUTED_VALUE"""),"भृशमदूयत याधरपल्लवक्षतिरनावरणा हिममारुतैः । दशनरश्मिपटेन च सीत्कृतैर्निवासितेव सितेन सुनिर्ववौ ||")</f>
        <v>भृशमदूयत याधरपल्लवक्षतिरनावरणा हिममारुतैः । दशनरश्मिपटेन च सीत्कृतैर्निवासितेव सितेन सुनिर्ववौ ||</v>
      </c>
      <c r="B6446" s="4" t="s">
        <v>4</v>
      </c>
      <c r="C6446" s="4"/>
    </row>
    <row r="6447" spans="1:3" ht="24" customHeight="1">
      <c r="A6447" s="4" t="str">
        <f ca="1">IFERROR(__xludf.DUMMYFUNCTION("""COMPUTED_VALUE"""),"व्रणभृता सुतनोः कलसीकृतस्फुरितदन्तमरीचिमयं दधे । स्फुटमिवावरणं हिमारुतैर्मृदुतया दुतयाधरलेखया ||")</f>
        <v>व्रणभृता सुतनोः कलसीकृतस्फुरितदन्तमरीचिमयं दधे । स्फुटमिवावरणं हिमारुतैर्मृदुतया दुतयाधरलेखया ||</v>
      </c>
      <c r="B6447" s="4" t="s">
        <v>5</v>
      </c>
      <c r="C6447" s="4"/>
    </row>
    <row r="6448" spans="1:3" ht="24" customHeight="1">
      <c r="A6448" s="4" t="str">
        <f ca="1">IFERROR(__xludf.DUMMYFUNCTION("""COMPUTED_VALUE"""),"धृततुषारकणस्य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||")</f>
        <v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||</v>
      </c>
      <c r="B6448" s="4" t="s">
        <v>0</v>
      </c>
      <c r="C6448" s="4"/>
    </row>
    <row r="6449" spans="1:3" ht="24" customHeight="1">
      <c r="A6449" s="4" t="str">
        <f ca="1">IFERROR(__xludf.DUMMYFUNCTION("""COMPUTED_VALUE"""),"हिमऋतावपि ताः स्म भृशस्विदो युवतयः सुतरामुपकारिणौ. प्रकटयत्यनुरागमकृत्रिमं स्मरमयं रमयन्ति विलासिनः ||")</f>
        <v>हिमऋतावपि ताः स्म भृशस्विदो युवतयः सुतरामुपकारिणौ. प्रकटयत्यनुरागमकृत्रिमं स्मरमयं रमयन्ति विलासिनः ||</v>
      </c>
      <c r="B6449" s="4" t="s">
        <v>1</v>
      </c>
      <c r="C6449" s="4"/>
    </row>
    <row r="6450" spans="1:3" ht="24" customHeight="1">
      <c r="A6450" s="4" t="str">
        <f ca="1">IFERROR(__xludf.DUMMYFUNCTION("""COMPUTED_VALUE"""),"कुसुमयन्फलिनीरवैमर्दविकासिभिरहितहुंकृतिः । उपवनं निरभर्सयत प्रियान्वियुवतीर्युवतीः शिशिरानिलः ||")</f>
        <v>कुसुमयन्फलिनीरवैमर्दविकासिभिरहितहुंकृतिः । उपवनं निरभर्सयत प्रियान्वियुवतीर्युवतीः शिशिरानिलः ||</v>
      </c>
      <c r="B6450" s="4" t="s">
        <v>11</v>
      </c>
      <c r="C6450" s="4"/>
    </row>
    <row r="6451" spans="1:3" ht="24" customHeight="1">
      <c r="A6451" s="4" t="str">
        <f ca="1">IFERROR(__xludf.DUMMYFUNCTION("""COMPUTED_VALUE"""),"उपचितेषु परेष्वसमर्थतां व्रजति कालवशाद्बलवानपि । तपसि मन्दगभस्तिरभीषुमान्नहि महाहिमनिकरोऽभवथ् ||")</f>
        <v>उपचितेषु परेष्वसमर्थतां व्रजति कालवशाद्बलवानपि । तपसि मन्दगभस्तिरभीषुमान्नहि महाहिमनिकरोऽभवथ् ||</v>
      </c>
      <c r="B6451" s="4" t="s">
        <v>4</v>
      </c>
      <c r="C6451" s="4"/>
    </row>
    <row r="6452" spans="1:3" ht="24" customHeight="1">
      <c r="A6452" s="4" t="str">
        <f ca="1">IFERROR(__xludf.DUMMYFUNCTION("""COMPUTED_VALUE"""),"अबिषिषेणयिषुं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||")</f>
        <v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||</v>
      </c>
      <c r="B6452" s="4" t="s">
        <v>8</v>
      </c>
      <c r="C6452" s="4"/>
    </row>
    <row r="6453" spans="1:3" ht="24" customHeight="1">
      <c r="A6453" s="4" t="str">
        <f ca="1">IFERROR(__xludf.DUMMYFUNCTION("""COMPUTED_VALUE"""),"शिशिरमासमपास्य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||")</f>
        <v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||</v>
      </c>
      <c r="B6453" s="4" t="s">
        <v>5</v>
      </c>
      <c r="C6453" s="4"/>
    </row>
    <row r="6454" spans="1:3" ht="24" customHeight="1">
      <c r="A6454" s="4" t="str">
        <f ca="1">IFERROR(__xludf.DUMMYFUNCTION("""COMPUTED_VALUE"""),"अधिलवङ्गममी रजसाधिकं मलिनिताः सुमनोदलतालिनः । स्फुटमिति प्रसवेन पुरोऽहसत्सपदि कुन्दलता दलतालिनः ||")</f>
        <v>अधिलवङ्गममी रजसाधिकं मलिनिताः सुमनोदलतालिनः । स्फुटमिति प्रसवेन पुरोऽहसत्सपदि कुन्दलता दलतालिनः ||</v>
      </c>
      <c r="B6454" s="4" t="s">
        <v>1</v>
      </c>
      <c r="C6454" s="4"/>
    </row>
    <row r="6455" spans="1:3" ht="24" customHeight="1">
      <c r="A6455" s="4" t="str">
        <f ca="1">IFERROR(__xludf.DUMMYFUNCTION("""COMPUTED_VALUE"""),"अतिसुरभिभाजि पुष्पश्रियामतुनुतरतयेष सन्तानकः । तरुणपरभृतः स्वनं रागिणामतनुत रतये वसन्तानकः ||")</f>
        <v>अतिसुरभिभाजि पुष्पश्रियामतुनुतरतयेष सन्तानकः । तरुणपरभृतः स्वनं रागिणामतनुत रतये वसन्तानकः ||</v>
      </c>
      <c r="B6455" s="4" t="s">
        <v>19</v>
      </c>
      <c r="C6455" s="4"/>
    </row>
    <row r="6456" spans="1:3" ht="24" customHeight="1">
      <c r="A6456" s="4" t="str">
        <f ca="1">IFERROR(__xludf.DUMMYFUNCTION("""COMPUTED_VALUE"""),"नोज्झितुं युवतिमानसनिरासे दक्षमिष्टमधुवासरसां । चूतमालिरलिनामतिरागादक्षमिष्ट मधुवासरसारं ||")</f>
        <v>नोज्झितुं युवतिमानसनिरासे दक्षमिष्टमधुवासरसां । चूतमालिरलिनामतिरागादक्षमिष्ट मधुवासरसारं ||</v>
      </c>
      <c r="B6456" s="4" t="s">
        <v>0</v>
      </c>
      <c r="C6456" s="4"/>
    </row>
    <row r="6457" spans="1:3" ht="24" customHeight="1">
      <c r="A6457" s="4" t="str">
        <f ca="1">IFERROR(__xludf.DUMMYFUNCTION("""COMPUTED_VALUE"""),"जगद्वशीकर्तुमिमाः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||")</f>
        <v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||</v>
      </c>
      <c r="B6457" s="4" t="s">
        <v>2</v>
      </c>
      <c r="C6457" s="4"/>
    </row>
    <row r="6458" spans="1:3" ht="24" customHeight="1">
      <c r="A6458" s="4" t="str">
        <f ca="1">IFERROR(__xludf.DUMMYFUNCTION("""COMPUTED_VALUE"""),"स्मररागमयी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||")</f>
        <v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||</v>
      </c>
      <c r="B6458" s="4" t="s">
        <v>5</v>
      </c>
      <c r="C6458" s="4"/>
    </row>
    <row r="6459" spans="1:3" ht="24" customHeight="1">
      <c r="A6459" s="4" t="str">
        <f ca="1">IFERROR(__xludf.DUMMYFUNCTION("""COMPUTED_VALUE"""),"वपुरम्बुविहारमिहं शुचिना रुचिरं कमनीयतरा गतिमा । रमणेन रमण्यचिरांशुलतारुचिरङ्कमनीयत रागमिता ||")</f>
        <v>वपुरम्बुविहारमिहं शुचिना रुचिरं कमनीयतरा गतिमा । रमणेन रमण्यचिरांशुलतारुचिरङ्कमनीयत रागमिता ||</v>
      </c>
      <c r="B6459" s="4" t="s">
        <v>2</v>
      </c>
      <c r="C6459" s="4"/>
    </row>
    <row r="6460" spans="1:3" ht="24" customHeight="1">
      <c r="A6460" s="4" t="str">
        <f ca="1">IFERROR(__xludf.DUMMYFUNCTION("""COMPUTED_VALUE"""),"मुदमब्दभुवामपां मयूराः सहसायन्त नदी पपाट लाभे । अलिना रतमालिनी शिल्लीन्ध्रे सह सायन्तनदीपपाटलाभे ||")</f>
        <v>मुदमब्दभुवामपां मयूराः सहसायन्त नदी पपाट लाभे । अलिना रतमालिनी शिल्लीन्ध्रे सह सायन्तनदीपपाटलाभे ||</v>
      </c>
      <c r="B6460" s="4" t="s">
        <v>6</v>
      </c>
      <c r="C6460" s="4"/>
    </row>
    <row r="6461" spans="1:3" ht="24" customHeight="1">
      <c r="A6461" s="4" t="str">
        <f ca="1">IFERROR(__xludf.DUMMYFUNCTION("""COMPUTED_VALUE"""),"कुटजानि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||")</f>
        <v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||</v>
      </c>
      <c r="B6461" s="4" t="s">
        <v>7</v>
      </c>
      <c r="C6461" s="4"/>
    </row>
    <row r="6462" spans="1:3" ht="24" customHeight="1">
      <c r="A6462" s="4" t="str">
        <f ca="1">IFERROR(__xludf.DUMMYFUNCTION("""COMPUTED_VALUE"""),"अभीष्ठमासाद्य चिराय काले समुद्धृताशां कमनी चकाशे । योषिन्मनोजन्मसुखोदयेषु समुद्धृताशङ्गमनीचकाशे ||")</f>
        <v>अभीष्ठमासाद्य चिराय काले समुद्धृताशां कमनी चकाशे । योषिन्मनोजन्मसुखोदयेषु समुद्धृताशङ्गमनीचकाशे ||</v>
      </c>
      <c r="B6462" s="4" t="s">
        <v>8</v>
      </c>
      <c r="C6462" s="4"/>
    </row>
    <row r="6463" spans="1:3" ht="24" customHeight="1">
      <c r="A6463" s="4" t="str">
        <f ca="1">IFERROR(__xludf.DUMMYFUNCTION("""COMPUTED_VALUE"""),"स्तनयोः समयेन याङ्गनानामभिनद्धारसमा न सा रसेन । परिरम्भरुचिं ततिर्जलानामभिनद्धा रसमानसारसेन ||")</f>
        <v>स्तनयोः समयेन याङ्गनानामभिनद्धारसमा न सा रसेन । परिरम्भरुचिं ततिर्जलानामभिनद्धा रसमानसारसेन ||</v>
      </c>
      <c r="B6463" s="4" t="s">
        <v>1</v>
      </c>
      <c r="C6463" s="4"/>
    </row>
    <row r="6464" spans="1:3" ht="24" customHeight="1">
      <c r="A6464" s="4" t="str">
        <f ca="1">IFERROR(__xludf.DUMMYFUNCTION("""COMPUTED_VALUE"""),"जातप्रीतिर्या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||")</f>
        <v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||</v>
      </c>
      <c r="B6464" s="4" t="s">
        <v>1</v>
      </c>
      <c r="C6464" s="4"/>
    </row>
    <row r="6465" spans="1:3" ht="24" customHeight="1">
      <c r="A6465" s="4" t="str">
        <f ca="1">IFERROR(__xludf.DUMMYFUNCTION("""COMPUTED_VALUE"""),"कान्ताजनेन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||")</f>
        <v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||</v>
      </c>
      <c r="B6465" s="4" t="s">
        <v>1</v>
      </c>
      <c r="C6465" s="4"/>
    </row>
    <row r="6466" spans="1:3" ht="24" customHeight="1">
      <c r="A6466" s="4" t="str">
        <f ca="1">IFERROR(__xludf.DUMMYFUNCTION("""COMPUTED_VALUE"""),"गतवतामपि विस्मयमुच्चकैरसकलामलपल्लवलीलया । मधुकृतामसकृद्गिरमावली रसकलामलपल्लवलीलया ||")</f>
        <v>गतवतामपि विस्मयमुच्चकैरसकलामलपल्लवलीलया । मधुकृतामसकृद्गिरमावली रसकलामलपल्लवलीलया ||</v>
      </c>
      <c r="B6466" s="4" t="s">
        <v>5</v>
      </c>
      <c r="C6466" s="4"/>
    </row>
    <row r="6467" spans="1:3" ht="24" customHeight="1">
      <c r="A6467" s="4" t="str">
        <f ca="1">IFERROR(__xludf.DUMMYFUNCTION("""COMPUTED_VALUE"""),"कुर्वन्तमित्यतिभरेण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||")</f>
        <v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||</v>
      </c>
      <c r="B6467" s="4" t="s">
        <v>2</v>
      </c>
      <c r="C6467" s="4"/>
    </row>
    <row r="6468" spans="1:3" ht="24" customHeight="1">
      <c r="A6468" s="4" t="str">
        <f ca="1">IFERROR(__xludf.DUMMYFUNCTION("""COMPUTED_VALUE"""),"अनुगिरमृतुभिर्वितायमानामथ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||")</f>
        <v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||</v>
      </c>
      <c r="B6468" s="4" t="s">
        <v>18</v>
      </c>
      <c r="C6468" s="4"/>
    </row>
    <row r="6469" spans="1:3" ht="24" customHeight="1">
      <c r="A6469" s="4" t="str">
        <f ca="1">IFERROR(__xludf.DUMMYFUNCTION("""COMPUTED_VALUE"""),"दधति सुमनसो वनानि बह्वीर्युवतियुता यदवः प्रयातुमीषुः । मनसिमहास्त्रमन्यथामी न कुसुमपञ्चकमलं विसोढुं ||")</f>
        <v>दधति सुमनसो वनानि बह्वीर्युवतियुता यदवः प्रयातुमीषुः । मनसिमहास्त्रमन्यथामी न कुसुमपञ्चकमलं विसोढुं ||</v>
      </c>
      <c r="B6469" s="4" t="s">
        <v>30</v>
      </c>
      <c r="C6469" s="4"/>
    </row>
    <row r="6470" spans="1:3" ht="24" customHeight="1">
      <c r="A6470" s="4" t="str">
        <f ca="1">IFERROR(__xludf.DUMMYFUNCTION("""COMPUTED_VALUE"""),"अवसमधिगम्य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||")</f>
        <v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||</v>
      </c>
      <c r="B6470" s="4" t="s">
        <v>18</v>
      </c>
      <c r="C6470" s="4"/>
    </row>
    <row r="6471" spans="1:3" ht="24" customHeight="1">
      <c r="A6471" s="4" t="str">
        <f ca="1">IFERROR(__xludf.DUMMYFUNCTION("""COMPUTED_VALUE"""),"नखरुचिरचिन्द्रचापं ललितगतेषु गतागतं दधाना । मुखरितवलयं पृथौ नितम्बे भुजलतिका मुहुरस्खलत्तरुण्याः ||")</f>
        <v>नखरुचिरचिन्द्रचापं ललितगतेषु गतागतं दधाना । मुखरितवलयं पृथौ नितम्बे भुजलतिका मुहुरस्खलत्तरुण्याः ||</v>
      </c>
      <c r="B6471" s="4" t="s">
        <v>5</v>
      </c>
      <c r="C6471" s="4"/>
    </row>
    <row r="6472" spans="1:3" ht="24" customHeight="1">
      <c r="A6472" s="4" t="str">
        <f ca="1">IFERROR(__xludf.DUMMYFUNCTION("""COMPUTED_VALUE"""),"अतियपरिणाह्ववान्वितेने बहुतरमर्पितकिङ्किणीकः । अलघुनि जघनस्थलेऽपरस्या ध्वनिमधिकं कलमेखलाकलापः ||")</f>
        <v>अतियपरिणाह्ववान्वितेने बहुतरमर्पितकिङ्किणीकः । अलघुनि जघनस्थलेऽपरस्या ध्वनिमधिकं कलमेखलाकलापः ||</v>
      </c>
      <c r="B6472" s="4" t="s">
        <v>9</v>
      </c>
      <c r="C6472" s="4"/>
    </row>
    <row r="6473" spans="1:3" ht="24" customHeight="1">
      <c r="A6473" s="4" t="str">
        <f ca="1">IFERROR(__xludf.DUMMYFUNCTION("""COMPUTED_VALUE"""),"गुरुनिबिडनितम्बबिम्बभाराक्रमणनिपीडितमङ्गनाजनस्य । चरणयुगमसुस्रुवत्पदेषु स्वरसमसक्तमलक्तकच्छलेन ||")</f>
        <v>गुरुनिबिडनितम्बबिम्बभाराक्रमणनिपीडितमङ्गनाजनस्य । चरणयुगमसुस्रुवत्पदेषु स्वरसमसक्तमलक्तकच्छलेन ||</v>
      </c>
      <c r="B6473" s="4" t="s">
        <v>1</v>
      </c>
      <c r="C6473" s="4"/>
    </row>
    <row r="6474" spans="1:3" ht="24" customHeight="1">
      <c r="A6474" s="4" t="str">
        <f ca="1">IFERROR(__xludf.DUMMYFUNCTION("""COMPUTED_VALUE"""),"तव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||")</f>
        <v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||</v>
      </c>
      <c r="B6474" s="4" t="s">
        <v>12</v>
      </c>
      <c r="C6474" s="4"/>
    </row>
    <row r="6475" spans="1:3" ht="24" customHeight="1">
      <c r="A6475" s="4" t="str">
        <f ca="1">IFERROR(__xludf.DUMMYFUNCTION("""COMPUTED_VALUE"""),"न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||")</f>
        <v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||</v>
      </c>
      <c r="B6475" s="4" t="s">
        <v>1</v>
      </c>
      <c r="C6475" s="4"/>
    </row>
    <row r="6476" spans="1:3" ht="24" customHeight="1">
      <c r="A6476" s="4" t="str">
        <f ca="1">IFERROR(__xludf.DUMMYFUNCTION("""COMPUTED_VALUE"""),"सततमनभिभाषणं मया ते परिणमितं भवतीमनानयन्तया । त्वयि तदिति विरोधनिश्चितायां भवति भवत्वसुहृज्जनः सकामः ||")</f>
        <v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||</v>
      </c>
      <c r="B6476" s="4" t="s">
        <v>12</v>
      </c>
      <c r="C6476" s="4"/>
    </row>
    <row r="6477" spans="1:3" ht="24" customHeight="1">
      <c r="A6477" s="4" t="str">
        <f ca="1">IFERROR(__xludf.DUMMYFUNCTION("""COMPUTED_VALUE"""),"गतधृतिरवलम्बितुं बतासूननलमनालपनादहं भवत्याः । प्रणयति यदि न प्रसादबुद्धिर्भव मम मानिनि जीविते दयालुः ||")</f>
        <v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||</v>
      </c>
      <c r="B6477" s="4" t="s">
        <v>11</v>
      </c>
      <c r="C6477" s="4"/>
    </row>
    <row r="6478" spans="1:3" ht="24" customHeight="1">
      <c r="A6478" s="4" t="str">
        <f ca="1">IFERROR(__xludf.DUMMYFUNCTION("""COMPUTED_VALUE"""),"प्रियमिति वनिता नितान्तमागःस्मरणसरोषषकषायिताक्षी । चरणगतसखीवचोऽनुरोधात्किल कथमप्यनुकूलयाञ्चकार ||")</f>
        <v>प्रियमिति वनिता नितान्तमागःस्मरणसरोषषकषायिताक्षी । चरणगतसखीवचोऽनुरोधात्किल कथमप्यनुकूलयाञ्चकार ||</v>
      </c>
      <c r="B6478" s="4" t="s">
        <v>0</v>
      </c>
      <c r="C6478" s="4"/>
    </row>
    <row r="6479" spans="1:3" ht="24" customHeight="1">
      <c r="A6479" s="4" t="str">
        <f ca="1">IFERROR(__xludf.DUMMYFUNCTION("""COMPUTED_VALUE"""),"द्रुतपदमिति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||")</f>
        <v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||</v>
      </c>
      <c r="B6479" s="4" t="s">
        <v>2</v>
      </c>
      <c r="C6479" s="4"/>
    </row>
    <row r="6480" spans="1:3" ht="24" customHeight="1">
      <c r="A6480" s="4" t="str">
        <f ca="1">IFERROR(__xludf.DUMMYFUNCTION("""COMPUTED_VALUE"""),"इति वदति सखीजनेऽनुरागाद्दयिततमामपरश्चिरं प्रतीक्ष्य । तदनुगमवशादनायतानि न्यधित मिमान इवावनिं पदानि ||")</f>
        <v>इति वदति सखीजनेऽनुरागाद्दयिततमामपरश्चिरं प्रतीक्ष्य । तदनुगमवशादनायतानि न्यधित मिमान इवावनिं पदानि ||</v>
      </c>
      <c r="B6480" s="4" t="s">
        <v>1</v>
      </c>
      <c r="C6480" s="4"/>
    </row>
    <row r="6481" spans="1:3" ht="24" customHeight="1">
      <c r="A6481" s="4" t="str">
        <f ca="1">IFERROR(__xludf.DUMMYFUNCTION("""COMPUTED_VALUE"""),"यदि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||")</f>
        <v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||</v>
      </c>
      <c r="B6481" s="4" t="s">
        <v>5</v>
      </c>
      <c r="C6481" s="4"/>
    </row>
    <row r="6482" spans="1:3" ht="24" customHeight="1">
      <c r="A6482" s="4" t="str">
        <f ca="1">IFERROR(__xludf.DUMMYFUNCTION("""COMPUTED_VALUE"""),"अविरलपुलकः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||")</f>
        <v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||</v>
      </c>
      <c r="B6482" s="4" t="s">
        <v>0</v>
      </c>
      <c r="C6482" s="4"/>
    </row>
    <row r="6483" spans="1:3" ht="24" customHeight="1">
      <c r="A6483" s="4" t="str">
        <f ca="1">IFERROR(__xludf.DUMMYFUNCTION("""COMPUTED_VALUE"""),"अशिथिलमपरावसज्य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||")</f>
        <v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||</v>
      </c>
      <c r="B6483" s="4" t="s">
        <v>24</v>
      </c>
      <c r="C6483" s="4"/>
    </row>
    <row r="6484" spans="1:3" ht="24" customHeight="1">
      <c r="A6484" s="4" t="str">
        <f ca="1">IFERROR(__xludf.DUMMYFUNCTION("""COMPUTED_VALUE"""),"मुहुरसुसममाध्नती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||")</f>
        <v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||</v>
      </c>
      <c r="B6484" s="4" t="s">
        <v>5</v>
      </c>
      <c r="C6484" s="4"/>
    </row>
    <row r="6485" spans="1:3" ht="24" customHeight="1">
      <c r="A6485" s="4" t="str">
        <f ca="1">IFERROR(__xludf.DUMMYFUNCTION("""COMPUTED_VALUE"""),"गुरुतरकलनूपुरानुनादं सललितनर्तितवामपादपद्मा । इतरदतिलोलमादधाना पदमथ मन्मथमन्थरं जगाम ||")</f>
        <v>गुरुतरकलनूपुरानुनादं सललितनर्तितवामपादपद्मा । इतरदतिलोलमादधाना पदमथ मन्मथमन्थरं जगाम ||</v>
      </c>
      <c r="B6485" s="4" t="s">
        <v>12</v>
      </c>
      <c r="C6485" s="4"/>
    </row>
    <row r="6486" spans="1:3" ht="24" customHeight="1">
      <c r="A6486" s="4" t="str">
        <f ca="1">IFERROR(__xludf.DUMMYFUNCTION("""COMPUTED_VALUE"""),"लधुललितपदं तदंसपीठद्वयनिहितोभयपाणिपल्लवान्या । सकठिनकुचचूचुकप्रणोदं प्रियमबला सविलासमन्विनाय ||")</f>
        <v>लधुललितपदं तदंसपीठद्वयनिहितोभयपाणिपल्लवान्या । सकठिनकुचचूचुकप्रणोदं प्रियमबला सविलासमन्विनाय ||</v>
      </c>
      <c r="B6486" s="4" t="s">
        <v>5</v>
      </c>
      <c r="C6486" s="4"/>
    </row>
    <row r="6487" spans="1:3" ht="24" customHeight="1">
      <c r="A6487" s="4" t="str">
        <f ca="1">IFERROR(__xludf.DUMMYFUNCTION("""COMPUTED_VALUE"""),"जघनमेलघपीवरोरु कृच्छ्रादुरुनिबिरीसनितम्बभारखेदि । दयिततमशिरोधरावलम्बिस्वभुजलताविभवेन काचिदूहे ||")</f>
        <v>जघनमेलघपीवरोरु कृच्छ्रादुरुनिबिरीसनितम्बभारखेदि । दयिततमशिरोधरावलम्बिस्वभुजलताविभवेन काचिदूहे ||</v>
      </c>
      <c r="B6487" s="4" t="s">
        <v>24</v>
      </c>
      <c r="C6487" s="4"/>
    </row>
    <row r="6488" spans="1:3" ht="24" customHeight="1">
      <c r="A6488" s="4" t="str">
        <f ca="1">IFERROR(__xludf.DUMMYFUNCTION("""COMPUTED_VALUE"""),"अनुवपुरपरेण बाहुमूलप्रहितभुजाकलितस्तनेन निन्ये । निहितदशनवाससा कपोले विषमवितीर्णपदं बलादिवान्या ||")</f>
        <v>अनुवपुरपरेण बाहुमूलप्रहितभुजाकलितस्तनेन निन्ये । निहितदशनवाससा कपोले विषमवितीर्णपदं बलादिवान्या ||</v>
      </c>
      <c r="B6488" s="4" t="s">
        <v>5</v>
      </c>
      <c r="C6488" s="4"/>
    </row>
    <row r="6489" spans="1:3" ht="24" customHeight="1">
      <c r="A6489" s="4" t="str">
        <f ca="1">IFERROR(__xludf.DUMMYFUNCTION("""COMPUTED_VALUE"""),"अनुवनमसितभ्रुवः सखीभिः सह पदवीमपरः पुरोगतायाः । उरसि सरसरागपदलेखाप्रतिमतयानुययावसंशयानः ||")</f>
        <v>अनुवनमसितभ्रुवः सखीभिः सह पदवीमपरः पुरोगतायाः । उरसि सरसरागपदलेखाप्रतिमतयानुययावसंशयानः ||</v>
      </c>
      <c r="B6489" s="4" t="s">
        <v>1</v>
      </c>
      <c r="C6489" s="4"/>
    </row>
    <row r="6490" spans="1:3" ht="24" customHeight="1">
      <c r="A6490" s="4" t="str">
        <f ca="1">IFERROR(__xludf.DUMMYFUNCTION("""COMPUTED_VALUE"""),"मदनरसमहौघपूर्णनाभीह्रदपरिवाहितर्ॐअराजयस्ताः । सरित इव सविभ्रमप्रयातप्रणदितहंसकभूषणा विरेजुः ||")</f>
        <v>मदनरसमहौघपूर्णनाभीह्रदपरिवाहितर्ॐअराजयस्ताः । सरित इव सविभ्रमप्रयातप्रणदितहंसकभूषणा विरेजुः ||</v>
      </c>
      <c r="B6490" s="4" t="s">
        <v>3</v>
      </c>
      <c r="C6490" s="4"/>
    </row>
    <row r="6491" spans="1:3" ht="24" customHeight="1">
      <c r="A6491" s="4" t="str">
        <f ca="1">IFERROR(__xludf.DUMMYFUNCTION("""COMPUTED_VALUE"""),"श्रुतिपथमधुराणि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||")</f>
        <v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||</v>
      </c>
      <c r="B6491" s="4" t="s">
        <v>19</v>
      </c>
      <c r="C6491" s="4"/>
    </row>
    <row r="6492" spans="1:3" ht="24" customHeight="1">
      <c r="A6492" s="4" t="str">
        <f ca="1">IFERROR(__xludf.DUMMYFUNCTION("""COMPUTED_VALUE"""),"मधुमथनवधूरिवाह्वयन्ति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||")</f>
        <v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||</v>
      </c>
      <c r="B6492" s="4" t="s">
        <v>6</v>
      </c>
      <c r="C6492" s="4"/>
    </row>
    <row r="6493" spans="1:3" ht="24" customHeight="1">
      <c r="A6493" s="4" t="str">
        <f ca="1">IFERROR(__xludf.DUMMYFUNCTION("""COMPUTED_VALUE"""),"असकलकलिकाकुलीकृतालिस्खलनविकीर्णविकासिकेशराणां । मरुदवनिरुहां रजो वधूभ्यः मुपहरन्विचकार कोरकाणि ||")</f>
        <v>असकलकलिकाकुलीकृतालिस्खलनविकीर्णविकासिकेशराणां । मरुदवनिरुहां रजो वधूभ्यः मुपहरन्विचकार कोरकाणि ||</v>
      </c>
      <c r="B6493" s="4" t="s">
        <v>32</v>
      </c>
      <c r="C6493" s="4"/>
    </row>
    <row r="6494" spans="1:3" ht="24" customHeight="1">
      <c r="A6494" s="4" t="str">
        <f ca="1">IFERROR(__xludf.DUMMYFUNCTION("""COMPUTED_VALUE"""),"उपवनपवनानुपातदक्षैरलिभिरलाभि यदङ्गनाजनस्य । परिमलविषयस्तदुन्नतानामनुगमने खलु सम्पदोऽग्रतःस्थाः ||")</f>
        <v>उपवनपवनानुपातदक्षैरलिभिरलाभि यदङ्गनाजनस्य । परिमलविषयस्तदुन्नतानामनुगमने खलु सम्पदोऽग्रतःस्थाः ||</v>
      </c>
      <c r="B6494" s="4" t="s">
        <v>10</v>
      </c>
      <c r="C6494" s="4"/>
    </row>
    <row r="6495" spans="1:3" ht="24" customHeight="1">
      <c r="A6495" s="4" t="str">
        <f ca="1">IFERROR(__xludf.DUMMYFUNCTION("""COMPUTED_VALUE"""),"रथचरणधराङ्गनाकराब्जव्यतिकरसम्पदुपात्तस्ॐअनस्याः । जगति सुमनसस्तदादि नूनं दधति परिस्फुटमर्थतोऽभिधानं ||")</f>
        <v>रथचरणधराङ्गनाकराब्जव्यतिकरसम्पदुपात्तस्ॐअनस्याः । जगति सुमनसस्तदादि नूनं दधति परिस्फुटमर्थतोऽभिधानं ||</v>
      </c>
      <c r="B6495" s="4" t="s">
        <v>1</v>
      </c>
      <c r="C6495" s="4"/>
    </row>
    <row r="6496" spans="1:3" ht="24" customHeight="1">
      <c r="A6496" s="4" t="str">
        <f ca="1">IFERROR(__xludf.DUMMYFUNCTION("""COMPUTED_VALUE"""),"अभिमुखपतितैर्गुणप्रकर्षादवजितमुद्धतिमुज्वलां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||")</f>
        <v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||</v>
      </c>
      <c r="B6496" s="4" t="s">
        <v>1</v>
      </c>
      <c r="C6496" s="4"/>
    </row>
    <row r="6497" spans="1:3" ht="24" customHeight="1">
      <c r="A6497" s="4" t="str">
        <f ca="1">IFERROR(__xludf.DUMMYFUNCTION("""COMPUTED_VALUE"""),"मुदितमधुभुजो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||")</f>
        <v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||</v>
      </c>
      <c r="B6497" s="4" t="s">
        <v>13</v>
      </c>
      <c r="C6497" s="4"/>
    </row>
    <row r="6498" spans="1:3" ht="24" customHeight="1">
      <c r="A6498" s="4" t="str">
        <f ca="1">IFERROR(__xludf.DUMMYFUNCTION("""COMPUTED_VALUE"""),"अनवरतरसेन रागभाजा करजपरिक्षतिलब्धसंस्तवेन । सपदि तरुणपल्लवेन वध्वा विगतदयं खलु खण्डितेन मम्ले ||")</f>
        <v>अनवरतरसेन रागभाजा करजपरिक्षतिलब्धसंस्तवेन । सपदि तरुणपल्लवेन वध्वा विगतदयं खलु खण्डितेन मम्ले ||</v>
      </c>
      <c r="B6498" s="4" t="s">
        <v>11</v>
      </c>
      <c r="C6498" s="4"/>
    </row>
    <row r="6499" spans="1:3" ht="24" customHeight="1">
      <c r="A6499" s="4" t="str">
        <f ca="1">IFERROR(__xludf.DUMMYFUNCTION("""COMPUTED_VALUE"""),"प्रियमभिकुसुमोद्यतस्य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||")</f>
        <v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||</v>
      </c>
      <c r="B6499" s="4" t="s">
        <v>1</v>
      </c>
      <c r="C6499" s="4"/>
    </row>
    <row r="6500" spans="1:3" ht="24" customHeight="1">
      <c r="A6500" s="4" t="str">
        <f ca="1">IFERROR(__xludf.DUMMYFUNCTION("""COMPUTED_VALUE"""),"विततवलिविभाव्यपाण्डुलेखाकृतपरभाघविलीनर्ॐअराजिः । कृशमपि कृशतां पुनर्नयन्ती विपुलतरोन्मुखलोचनावलग्नं ||")</f>
        <v>विततवलिविभाव्यपाण्डुलेखाकृतपरभाघविलीनर्ॐअराजिः । कृशमपि कृशतां पुनर्नयन्ती विपुलतरोन्मुखलोचनावलग्नं ||</v>
      </c>
      <c r="B6500" s="4" t="s">
        <v>1</v>
      </c>
      <c r="C6500" s="4"/>
    </row>
    <row r="6501" spans="1:3" ht="24" customHeight="1">
      <c r="A6501" s="4" t="str">
        <f ca="1">IFERROR(__xludf.DUMMYFUNCTION("""COMPUTED_VALUE"""),"प्रसकलकुचबन्धुरोद्धुरोरःप्रसभविभिभिन्नतनूत्तरीयबन्धा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||")</f>
        <v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||</v>
      </c>
      <c r="B6501" s="4" t="s">
        <v>11</v>
      </c>
      <c r="C6501" s="4"/>
    </row>
    <row r="6502" spans="1:3" ht="24" customHeight="1">
      <c r="A6502" s="4" t="str">
        <f ca="1">IFERROR(__xludf.DUMMYFUNCTION("""COMPUTED_VALUE"""),"व्यवहितमविजानाती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काचिथ् ||")</f>
        <v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काचिथ् ||</v>
      </c>
      <c r="B6502" s="4" t="s">
        <v>16</v>
      </c>
      <c r="C6502" s="4"/>
    </row>
    <row r="6503" spans="1:3" ht="24" customHeight="1">
      <c r="A6503" s="4" t="str">
        <f ca="1">IFERROR(__xludf.DUMMYFUNCTION("""COMPUTED_VALUE"""),"अथ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||")</f>
        <v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||</v>
      </c>
      <c r="B6503" s="4" t="s">
        <v>15</v>
      </c>
      <c r="C6503" s="4"/>
    </row>
    <row r="6504" spans="1:3" ht="24" customHeight="1">
      <c r="A6504" s="4" t="str">
        <f ca="1">IFERROR(__xludf.DUMMYFUNCTION("""COMPUTED_VALUE"""),"कृतभयपरितोषसन्निपातं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||")</f>
        <v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||</v>
      </c>
      <c r="B6504" s="4" t="s">
        <v>2</v>
      </c>
      <c r="C6504" s="4"/>
    </row>
    <row r="6505" spans="1:3" ht="24" customHeight="1">
      <c r="A6505" s="4" t="str">
        <f ca="1">IFERROR(__xludf.DUMMYFUNCTION("""COMPUTED_VALUE"""),"अवनदवदनेन्दुरिच्छतीव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||")</f>
        <v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||</v>
      </c>
      <c r="B6505" s="4" t="s">
        <v>4</v>
      </c>
      <c r="C6505" s="4"/>
    </row>
    <row r="6506" spans="1:3" ht="24" customHeight="1">
      <c r="A6506" s="4" t="str">
        <f ca="1">IFERROR(__xludf.DUMMYFUNCTION("""COMPUTED_VALUE"""),"किसलयशकलेष्ववाचनीयाः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||")</f>
        <v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||</v>
      </c>
      <c r="B6506" s="4" t="s">
        <v>14</v>
      </c>
      <c r="C6506" s="4"/>
    </row>
    <row r="6507" spans="1:3" ht="24" customHeight="1">
      <c r="A6507" s="4" t="str">
        <f ca="1">IFERROR(__xludf.DUMMYFUNCTION("""COMPUTED_VALUE"""),"कृतकृतकरुषा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||")</f>
        <v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||</v>
      </c>
      <c r="B6507" s="4" t="s">
        <v>11</v>
      </c>
      <c r="C6507" s="4"/>
    </row>
    <row r="6508" spans="1:3" ht="24" customHeight="1">
      <c r="A6508" s="4" t="str">
        <f ca="1">IFERROR(__xludf.DUMMYFUNCTION("""COMPUTED_VALUE"""),"अभिमुखमुपयाति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||")</f>
        <v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||</v>
      </c>
      <c r="B6508" s="4" t="s">
        <v>2</v>
      </c>
      <c r="C6508" s="4"/>
    </row>
    <row r="6509" spans="1:3" ht="24" customHeight="1">
      <c r="A6509" s="4" t="str">
        <f ca="1">IFERROR(__xludf.DUMMYFUNCTION("""COMPUTED_VALUE"""),"सरजसमकरन्दनिर्भरासु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||")</f>
        <v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||</v>
      </c>
      <c r="B6509" s="4" t="s">
        <v>2</v>
      </c>
      <c r="C6509" s="4"/>
    </row>
    <row r="6510" spans="1:3" ht="24" customHeight="1">
      <c r="A6510" s="4" t="str">
        <f ca="1">IFERROR(__xludf.DUMMYFUNCTION("""COMPUTED_VALUE"""),"इति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||")</f>
        <v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||</v>
      </c>
      <c r="B6510" s="4" t="s">
        <v>1</v>
      </c>
      <c r="C6510" s="4"/>
    </row>
    <row r="6511" spans="1:3" ht="24" customHeight="1">
      <c r="A6511" s="4" t="str">
        <f ca="1">IFERROR(__xludf.DUMMYFUNCTION("""COMPUTED_VALUE"""),"मुखकमलकमुन्नमय्य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||")</f>
        <v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||</v>
      </c>
      <c r="B6511" s="4" t="s">
        <v>5</v>
      </c>
      <c r="C6511" s="4"/>
    </row>
    <row r="6512" spans="1:3" ht="24" customHeight="1">
      <c r="A6512" s="4" t="str">
        <f ca="1">IFERROR(__xludf.DUMMYFUNCTION("""COMPUTED_VALUE"""),"व्रततिविततिभिस्तिरोहितायां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||")</f>
        <v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||</v>
      </c>
      <c r="B6512" s="4" t="s">
        <v>0</v>
      </c>
      <c r="C6512" s="4"/>
    </row>
    <row r="6513" spans="1:3" ht="24" customHeight="1">
      <c r="A6513" s="4" t="str">
        <f ca="1">IFERROR(__xludf.DUMMYFUNCTION("""COMPUTED_VALUE"""),"विलसितमनुकुर्वती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||")</f>
        <v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||</v>
      </c>
      <c r="B6513" s="4" t="s">
        <v>15</v>
      </c>
      <c r="C6513" s="4"/>
    </row>
    <row r="6514" spans="1:3" ht="24" customHeight="1">
      <c r="A6514" s="4" t="str">
        <f ca="1">IFERROR(__xludf.DUMMYFUNCTION("""COMPUTED_VALUE"""),"सललिकमवलम्ब्य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||")</f>
        <v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||</v>
      </c>
      <c r="B6514" s="4" t="s">
        <v>5</v>
      </c>
      <c r="C6514" s="4"/>
    </row>
    <row r="6515" spans="1:3" ht="24" customHeight="1">
      <c r="A6515" s="4" t="str">
        <f ca="1">IFERROR(__xludf.DUMMYFUNCTION("""COMPUTED_VALUE"""),"मृदुचरणतलाग्रदुःस्थितत्वादसहतरा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||")</f>
        <v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||</v>
      </c>
      <c r="B6515" s="4" t="s">
        <v>5</v>
      </c>
      <c r="C6515" s="4"/>
    </row>
    <row r="6516" spans="1:3" ht="24" customHeight="1">
      <c r="A6516" s="4" t="str">
        <f ca="1">IFERROR(__xludf.DUMMYFUNCTION("""COMPUTED_VALUE"""),"उपरिजतरुजानि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||")</f>
        <v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||</v>
      </c>
      <c r="B6516" s="4" t="s">
        <v>5</v>
      </c>
      <c r="C6516" s="4"/>
    </row>
    <row r="6517" spans="1:3" ht="24" customHeight="1">
      <c r="A6517" s="4" t="str">
        <f ca="1">IFERROR(__xludf.DUMMYFUNCTION("""COMPUTED_VALUE"""),"इदमिदमिति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||")</f>
        <v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||</v>
      </c>
      <c r="B6517" s="4" t="s">
        <v>6</v>
      </c>
      <c r="C6517" s="4"/>
    </row>
    <row r="6518" spans="1:3" ht="24" customHeight="1">
      <c r="A6518" s="4" t="str">
        <f ca="1">IFERROR(__xludf.DUMMYFUNCTION("""COMPUTED_VALUE"""),"विजनमिति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||")</f>
        <v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||</v>
      </c>
      <c r="B6518" s="4" t="s">
        <v>4</v>
      </c>
      <c r="C6518" s="4"/>
    </row>
    <row r="6519" spans="1:3" ht="24" customHeight="1">
      <c r="A6519" s="4" t="str">
        <f ca="1">IFERROR(__xludf.DUMMYFUNCTION("""COMPUTED_VALUE"""),"अधिरजनि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||")</f>
        <v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||</v>
      </c>
      <c r="B6519" s="4" t="s">
        <v>1</v>
      </c>
      <c r="C6519" s="4"/>
    </row>
    <row r="6520" spans="1:3" ht="24" customHeight="1">
      <c r="A6520" s="4" t="str">
        <f ca="1">IFERROR(__xludf.DUMMYFUNCTION("""COMPUTED_VALUE"""),"न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||")</f>
        <v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||</v>
      </c>
      <c r="B6520" s="4" t="s">
        <v>15</v>
      </c>
      <c r="C6520" s="4"/>
    </row>
    <row r="6521" spans="1:3" ht="24" customHeight="1">
      <c r="A6521" s="4" t="str">
        <f ca="1">IFERROR(__xludf.DUMMYFUNCTION("""COMPUTED_VALUE"""),"तव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||")</f>
        <v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||</v>
      </c>
      <c r="B6521" s="4" t="s">
        <v>12</v>
      </c>
      <c r="C6521" s="4"/>
    </row>
    <row r="6522" spans="1:3" ht="24" customHeight="1">
      <c r="A6522" s="4" t="str">
        <f ca="1">IFERROR(__xludf.DUMMYFUNCTION("""COMPUTED_VALUE"""),"मुहुरुपहसितामिवालिनादैर्वितरसि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||")</f>
        <v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||</v>
      </c>
      <c r="B6522" s="4" t="s">
        <v>2</v>
      </c>
      <c r="C6522" s="4"/>
    </row>
    <row r="6523" spans="1:3" ht="24" customHeight="1">
      <c r="A6523" s="4" t="str">
        <f ca="1">IFERROR(__xludf.DUMMYFUNCTION("""COMPUTED_VALUE"""),"इति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||")</f>
        <v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||</v>
      </c>
      <c r="B6523" s="4" t="s">
        <v>16</v>
      </c>
      <c r="C6523" s="4"/>
    </row>
    <row r="6524" spans="1:3" ht="24" customHeight="1">
      <c r="A6524" s="4" t="str">
        <f ca="1">IFERROR(__xludf.DUMMYFUNCTION("""COMPUTED_VALUE"""),"विनयति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||")</f>
        <v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||</v>
      </c>
      <c r="B6524" s="4" t="s">
        <v>0</v>
      </c>
      <c r="C6524" s="4"/>
    </row>
    <row r="6525" spans="1:3" ht="24" customHeight="1">
      <c r="A6525" s="4" t="str">
        <f ca="1">IFERROR(__xludf.DUMMYFUNCTION("""COMPUTED_VALUE"""),"स्फुचमिदमभिचारमन्त्र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यदाहताप्यमूर्च्छथ् ||")</f>
        <v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यदाहताप्यमूर्च्छथ् ||</v>
      </c>
      <c r="B6525" s="4" t="s">
        <v>21</v>
      </c>
      <c r="C6525" s="4"/>
    </row>
    <row r="6526" spans="1:3" ht="24" customHeight="1">
      <c r="A6526" s="4" t="str">
        <f ca="1">IFERROR(__xludf.DUMMYFUNCTION("""COMPUTED_VALUE"""),"समदनमवतंसितेऽद्कर्णं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||")</f>
        <v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||</v>
      </c>
      <c r="B6526" s="4" t="s">
        <v>5</v>
      </c>
      <c r="C6526" s="4"/>
    </row>
    <row r="6527" spans="1:3" ht="24" customHeight="1">
      <c r="A6527" s="4" t="str">
        <f ca="1">IFERROR(__xludf.DUMMYFUNCTION("""COMPUTED_VALUE"""),"अवजितमधुना तवाहमक्ष्णो रुचितयेत्यवनम्य लज्जयेव । श्रवणकुवलयं विलासवत्या भ्रमररुतैरुपकर्णमाचचक्षे ||")</f>
        <v>अवजितमधुना तवाहमक्ष्णो रुचितयेत्यवनम्य लज्जयेव । श्रवणकुवलयं विलासवत्या भ्रमररुतैरुपकर्णमाचचक्षे ||</v>
      </c>
      <c r="B6527" s="4" t="s">
        <v>13</v>
      </c>
      <c r="C6527" s="4"/>
    </row>
    <row r="6528" spans="1:3" ht="24" customHeight="1">
      <c r="A6528" s="4" t="str">
        <f ca="1">IFERROR(__xludf.DUMMYFUNCTION("""COMPUTED_VALUE"""),"अवचितकुसुमा विहाय वल्लीर्युवतीषु क्ॐअलमाल्यमालिनीषु । पदमुपदधिरे कुलान्यलीनां न परिचयो मलिनात्मनां प्रधानं ||")</f>
        <v>अवचितकुसुमा विहाय वल्लीर्युवतीषु क्ॐअलमाल्यमालिनीषु । पदमुपदधिरे कुलान्यलीनां न परिचयो मलिनात्मनां प्रधानं ||</v>
      </c>
      <c r="B6528" s="4" t="s">
        <v>1</v>
      </c>
      <c r="C6528" s="4"/>
    </row>
    <row r="6529" spans="1:3" ht="24" customHeight="1">
      <c r="A6529" s="4" t="str">
        <f ca="1">IFERROR(__xludf.DUMMYFUNCTION("""COMPUTED_VALUE"""),"श्लथशिरसिजपातभारादिव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||")</f>
        <v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||</v>
      </c>
      <c r="B6529" s="4" t="s">
        <v>32</v>
      </c>
      <c r="C6529" s="4"/>
    </row>
    <row r="6530" spans="1:3" ht="24" customHeight="1">
      <c r="A6530" s="4" t="str">
        <f ca="1">IFERROR(__xludf.DUMMYFUNCTION("""COMPUTED_VALUE"""),"अदिकमरुणिमानमुद्वहद्भिर्विकसदशीतमरीचिरशमिजालैः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||")</f>
        <v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||</v>
      </c>
      <c r="B6530" s="4" t="s">
        <v>11</v>
      </c>
      <c r="C6530" s="4"/>
    </row>
    <row r="6531" spans="1:3" ht="24" customHeight="1">
      <c r="A6531" s="4" t="str">
        <f ca="1">IFERROR(__xludf.DUMMYFUNCTION("""COMPUTED_VALUE"""),"अवसितललितक्रियेण बाह्वोर्ललिततरेण तनीयसा युगेन । सरसकिसलयानुरञ्जितैर्वा करकमलैः पुनरुक्तभाभिः ||")</f>
        <v>अवसितललितक्रियेण बाह्वोर्ललिततरेण तनीयसा युगेन । सरसकिसलयानुरञ्जितैर्वा करकमलैः पुनरुक्तभाभिः ||</v>
      </c>
      <c r="B6531" s="4" t="s">
        <v>6</v>
      </c>
      <c r="C6531" s="4"/>
    </row>
    <row r="6532" spans="1:3" ht="24" customHeight="1">
      <c r="A6532" s="4" t="str">
        <f ca="1">IFERROR(__xludf.DUMMYFUNCTION("""COMPUTED_VALUE"""),"स्मरसरसमुरःस्थलेन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||")</f>
        <v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||</v>
      </c>
      <c r="B6532" s="4" t="s">
        <v>32</v>
      </c>
      <c r="C6532" s="4"/>
    </row>
    <row r="6533" spans="1:3" ht="24" customHeight="1">
      <c r="A6533" s="4" t="str">
        <f ca="1">IFERROR(__xludf.DUMMYFUNCTION("""COMPUTED_VALUE"""),"अतनुकुचभरानतेन भूयः श्रमजनितानतिना शरीरकेण । अनुचितगतिसादनिःसहत्वं कलभकरोरुभिरूरुभिर्दधानैः ||")</f>
        <v>अतनुकुचभरानतेन भूयः श्रमजनितानतिना शरीरकेण । अनुचितगतिसादनिःसहत्वं कलभकरोरुभिरूरुभिर्दधानैः ||</v>
      </c>
      <c r="B6533" s="4" t="s">
        <v>1</v>
      </c>
      <c r="C6533" s="4"/>
    </row>
    <row r="6534" spans="1:3" ht="24" customHeight="1">
      <c r="A6534" s="4" t="str">
        <f ca="1">IFERROR(__xludf.DUMMYFUNCTION("""COMPUTED_VALUE"""),"अपगतनवयावकैश्चिराय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||")</f>
        <v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||</v>
      </c>
      <c r="B6534" s="4" t="s">
        <v>5</v>
      </c>
      <c r="C6534" s="4"/>
    </row>
    <row r="6535" spans="1:3" ht="24" customHeight="1">
      <c r="A6535" s="4" t="str">
        <f ca="1">IFERROR(__xludf.DUMMYFUNCTION("""COMPUTED_VALUE"""),"मुहुरिति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||")</f>
        <v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||</v>
      </c>
      <c r="B6535" s="4" t="s">
        <v>3</v>
      </c>
      <c r="C6535" s="4"/>
    </row>
    <row r="6536" spans="1:3" ht="24" customHeight="1">
      <c r="A6536" s="4" t="str">
        <f ca="1">IFERROR(__xludf.DUMMYFUNCTION("""COMPUTED_VALUE"""),"प्रतममलघुमौक्तकाभमासीच्छ्रमजलमुज्ज्वलगण्डमण्डलेषु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||")</f>
        <v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||</v>
      </c>
      <c r="B6536" s="4" t="s">
        <v>18</v>
      </c>
      <c r="C6536" s="4"/>
    </row>
    <row r="6537" spans="1:3" ht="24" customHeight="1">
      <c r="A6537" s="4" t="str">
        <f ca="1">IFERROR(__xludf.DUMMYFUNCTION("""COMPUTED_VALUE"""),"विपुलकमपि यौवनोद्धतानां घनपुलकोदयक्ॐअलं चकाशे । परिमलितमपि प्रियैः प्रकामं कुचयुगमुज्ज्वलमेष कामिनीनां ||")</f>
        <v>विपुलकमपि यौवनोद्धतानां घनपुलकोदयक्ॐअलं चकाशे । परिमलितमपि प्रियैः प्रकामं कुचयुगमुज्ज्वलमेष कामिनीनां ||</v>
      </c>
      <c r="B6537" s="4" t="s">
        <v>1</v>
      </c>
      <c r="C6537" s="4"/>
    </row>
    <row r="6538" spans="1:3" ht="24" customHeight="1">
      <c r="A6538" s="4" t="str">
        <f ca="1">IFERROR(__xludf.DUMMYFUNCTION("""COMPUTED_VALUE"""),"अविरतकुसुमावचायखेदान्निहितभुजालतयैकयोपकण्ठं । विपुलतरनिरन्तरालग्नस्तनपिहितप्रियवक्षसा ललम्बे ||")</f>
        <v>अविरतकुसुमावचायखेदान्निहितभुजालतयैकयोपकण्ठं । विपुलतरनिरन्तरालग्नस्तनपिहितप्रियवक्षसा ललम्बे ||</v>
      </c>
      <c r="B6538" s="4" t="s">
        <v>26</v>
      </c>
      <c r="C6538" s="4"/>
    </row>
    <row r="6539" spans="1:3" ht="24" customHeight="1">
      <c r="A6539" s="4" t="str">
        <f ca="1">IFERROR(__xludf.DUMMYFUNCTION("""COMPUTED_VALUE"""),"अभिमतमभितः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||")</f>
        <v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||</v>
      </c>
      <c r="B6539" s="4" t="s">
        <v>19</v>
      </c>
      <c r="C6539" s="4"/>
    </row>
    <row r="6540" spans="1:3" ht="24" customHeight="1">
      <c r="A6540" s="4" t="str">
        <f ca="1">IFERROR(__xludf.DUMMYFUNCTION("""COMPUTED_VALUE"""),"हिमलतसदृशः श्रमोदबिन्दूनुपनयता किल नूतनोढवध्वाः । कुचकलशकिशोरकौ कथञ्चित्तरलतया तरुणेन पस्पृशाते ||")</f>
        <v>हिमलतसदृशः श्रमोदबिन्दूनुपनयता किल नूतनोढवध्वाः । कुचकलशकिशोरकौ कथञ्चित्तरलतया तरुणेन पस्पृशाते ||</v>
      </c>
      <c r="B6540" s="4" t="s">
        <v>2</v>
      </c>
      <c r="C6540" s="4"/>
    </row>
    <row r="6541" spans="1:3" ht="24" customHeight="1">
      <c r="A6541" s="4" t="str">
        <f ca="1">IFERROR(__xludf.DUMMYFUNCTION("""COMPUTED_VALUE"""),"गत्वोद्रेकं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||")</f>
        <v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||</v>
      </c>
      <c r="B6541" s="4" t="s">
        <v>1</v>
      </c>
      <c r="C6541" s="4"/>
    </row>
    <row r="6542" spans="1:3" ht="24" customHeight="1">
      <c r="A6542" s="4" t="str">
        <f ca="1">IFERROR(__xludf.DUMMYFUNCTION("""COMPUTED_VALUE"""),"प्रियकरपरिमार्गदङ्गनानां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||")</f>
        <v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||</v>
      </c>
      <c r="B6542" s="4" t="s">
        <v>6</v>
      </c>
      <c r="C6542" s="4"/>
    </row>
    <row r="6543" spans="1:3" ht="24" customHeight="1">
      <c r="A6543" s="4" t="str">
        <f ca="1">IFERROR(__xludf.DUMMYFUNCTION("""COMPUTED_VALUE"""),"आयासादलघुतरस्तनैः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||")</f>
        <v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||</v>
      </c>
      <c r="B6543" s="4" t="s">
        <v>11</v>
      </c>
      <c r="C6543" s="4"/>
    </row>
    <row r="6544" spans="1:3" ht="24" customHeight="1">
      <c r="A6544" s="4" t="str">
        <f ca="1">IFERROR(__xludf.DUMMYFUNCTION("""COMPUTED_VALUE"""),"यान्तीनां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||")</f>
        <v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||</v>
      </c>
      <c r="B6544" s="4" t="s">
        <v>12</v>
      </c>
      <c r="C6544" s="4"/>
    </row>
    <row r="6545" spans="1:3" ht="24" customHeight="1">
      <c r="A6545" s="4" t="str">
        <f ca="1">IFERROR(__xludf.DUMMYFUNCTION("""COMPUTED_VALUE"""),"नीरन्ध्रद्रुशिशिरां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||")</f>
        <v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||</v>
      </c>
      <c r="B6545" s="4" t="s">
        <v>11</v>
      </c>
      <c r="C6545" s="4"/>
    </row>
    <row r="6546" spans="1:3" ht="24" customHeight="1">
      <c r="A6546" s="4" t="str">
        <f ca="1">IFERROR(__xludf.DUMMYFUNCTION("""COMPUTED_VALUE"""),"एकस्यास्तपनकरैः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||")</f>
        <v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||</v>
      </c>
      <c r="B6546" s="4" t="s">
        <v>0</v>
      </c>
      <c r="C6546" s="4"/>
    </row>
    <row r="6547" spans="1:3" ht="24" customHeight="1">
      <c r="A6547" s="4" t="str">
        <f ca="1">IFERROR(__xludf.DUMMYFUNCTION("""COMPUTED_VALUE"""),"स्वं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||")</f>
        <v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||</v>
      </c>
      <c r="B6547" s="4" t="s">
        <v>5</v>
      </c>
      <c r="C6547" s="4"/>
    </row>
    <row r="6548" spans="1:3" ht="24" customHeight="1">
      <c r="A6548" s="4" t="str">
        <f ca="1">IFERROR(__xludf.DUMMYFUNCTION("""COMPUTED_VALUE"""),"संस्पर्शसुखोपचीयमाने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||")</f>
        <v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||</v>
      </c>
      <c r="B6548" s="4" t="s">
        <v>5</v>
      </c>
      <c r="C6548" s="4"/>
    </row>
    <row r="6549" spans="1:3" ht="24" customHeight="1">
      <c r="A6549" s="4" t="str">
        <f ca="1">IFERROR(__xludf.DUMMYFUNCTION("""COMPUTED_VALUE"""),"गच्छन्तीरलसमवेक्ष्य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||")</f>
        <v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||</v>
      </c>
      <c r="B6549" s="4" t="s">
        <v>4</v>
      </c>
      <c r="C6549" s="4"/>
    </row>
    <row r="6550" spans="1:3" ht="24" customHeight="1">
      <c r="A6550" s="4" t="str">
        <f ca="1">IFERROR(__xludf.DUMMYFUNCTION("""COMPUTED_VALUE"""),"श्रीमद्भिर्जितपुलिनानि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||")</f>
        <v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||</v>
      </c>
      <c r="B6550" s="4" t="s">
        <v>20</v>
      </c>
      <c r="C6550" s="4"/>
    </row>
    <row r="6551" spans="1:3" ht="24" customHeight="1">
      <c r="A6551" s="4" t="str">
        <f ca="1">IFERROR(__xludf.DUMMYFUNCTION("""COMPUTED_VALUE"""),"मुक्ताभिः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||")</f>
        <v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||</v>
      </c>
      <c r="B6551" s="4" t="s">
        <v>4</v>
      </c>
      <c r="C6551" s="4"/>
    </row>
    <row r="6552" spans="1:3" ht="24" customHeight="1">
      <c r="A6552" s="4" t="str">
        <f ca="1">IFERROR(__xludf.DUMMYFUNCTION("""COMPUTED_VALUE"""),"आध्राय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||")</f>
        <v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||</v>
      </c>
      <c r="B6552" s="4" t="s">
        <v>12</v>
      </c>
      <c r="C6552" s="4"/>
    </row>
    <row r="6553" spans="1:3" ht="24" customHeight="1">
      <c r="A6553" s="4" t="str">
        <f ca="1">IFERROR(__xludf.DUMMYFUNCTION("""COMPUTED_VALUE"""),"आयान्त्यां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||")</f>
        <v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||</v>
      </c>
      <c r="B6553" s="4" t="s">
        <v>13</v>
      </c>
      <c r="C6553" s="4"/>
    </row>
    <row r="6554" spans="1:3" ht="24" customHeight="1">
      <c r="A6554" s="4" t="str">
        <f ca="1">IFERROR(__xludf.DUMMYFUNCTION("""COMPUTED_VALUE"""),"आलापैस्तुलितरवाणि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||")</f>
        <v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||</v>
      </c>
      <c r="B6554" s="4" t="s">
        <v>7</v>
      </c>
      <c r="C6554" s="4"/>
    </row>
    <row r="6555" spans="1:3" ht="24" customHeight="1">
      <c r="A6555" s="4" t="str">
        <f ca="1">IFERROR(__xludf.DUMMYFUNCTION("""COMPUTED_VALUE"""),"मुग्धायाः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||")</f>
        <v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||</v>
      </c>
      <c r="B6555" s="4" t="s">
        <v>5</v>
      </c>
      <c r="C6555" s="4"/>
    </row>
    <row r="6556" spans="1:3" ht="24" customHeight="1">
      <c r="A6556" s="4" t="str">
        <f ca="1">IFERROR(__xludf.DUMMYFUNCTION("""COMPUTED_VALUE"""),"उत्क्षिप्तस्फुटितसरोरुहार्घ्यमुच्चैः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||")</f>
        <v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||</v>
      </c>
      <c r="B6556" s="4" t="s">
        <v>2</v>
      </c>
      <c r="C6556" s="4"/>
    </row>
    <row r="6557" spans="1:3" ht="24" customHeight="1">
      <c r="A6557" s="4" t="str">
        <f ca="1">IFERROR(__xludf.DUMMYFUNCTION("""COMPUTED_VALUE"""),"नित्याया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||")</f>
        <v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||</v>
      </c>
      <c r="B6557" s="4" t="s">
        <v>5</v>
      </c>
      <c r="C6557" s="4"/>
    </row>
    <row r="6558" spans="1:3" ht="24" customHeight="1">
      <c r="A6558" s="4" t="str">
        <f ca="1">IFERROR(__xludf.DUMMYFUNCTION("""COMPUTED_VALUE"""),"आस्कन्दन्कथमपि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||")</f>
        <v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||</v>
      </c>
      <c r="B6558" s="4" t="s">
        <v>2</v>
      </c>
      <c r="C6558" s="4"/>
    </row>
    <row r="6559" spans="1:3" ht="24" customHeight="1">
      <c r="A6559" s="4" t="str">
        <f ca="1">IFERROR(__xludf.DUMMYFUNCTION("""COMPUTED_VALUE"""),"ताः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||")</f>
        <v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||</v>
      </c>
      <c r="B6559" s="4" t="s">
        <v>6</v>
      </c>
      <c r="C6559" s="4"/>
    </row>
    <row r="6560" spans="1:3" ht="24" customHeight="1">
      <c r="A6560" s="4" t="str">
        <f ca="1">IFERROR(__xludf.DUMMYFUNCTION("""COMPUTED_VALUE"""),"संक्षोभं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||")</f>
        <v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||</v>
      </c>
      <c r="B6560" s="4" t="s">
        <v>13</v>
      </c>
      <c r="C6560" s="4"/>
    </row>
    <row r="6561" spans="1:3" ht="24" customHeight="1">
      <c r="A6561" s="4" t="str">
        <f ca="1">IFERROR(__xludf.DUMMYFUNCTION("""COMPUTED_VALUE"""),"आसीना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||")</f>
        <v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||</v>
      </c>
      <c r="B6561" s="4" t="s">
        <v>12</v>
      </c>
      <c r="C6561" s="4"/>
    </row>
    <row r="6562" spans="1:3" ht="24" customHeight="1">
      <c r="A6562" s="4" t="str">
        <f ca="1">IFERROR(__xludf.DUMMYFUNCTION("""COMPUTED_VALUE"""),"नेच्छन्ती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||")</f>
        <v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||</v>
      </c>
      <c r="B6562" s="4" t="s">
        <v>12</v>
      </c>
      <c r="C6562" s="4"/>
    </row>
    <row r="6563" spans="1:3" ht="24" customHeight="1">
      <c r="A6563" s="4" t="str">
        <f ca="1">IFERROR(__xludf.DUMMYFUNCTION("""COMPUTED_VALUE"""),"तिष्ठन्तं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||")</f>
        <v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||</v>
      </c>
      <c r="B6563" s="4" t="s">
        <v>2</v>
      </c>
      <c r="C6563" s="4"/>
    </row>
    <row r="6564" spans="1:3" ht="24" customHeight="1">
      <c r="A6564" s="4" t="str">
        <f ca="1">IFERROR(__xludf.DUMMYFUNCTION("""COMPUTED_VALUE"""),"आनाभेः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||")</f>
        <v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||</v>
      </c>
      <c r="B6564" s="4" t="s">
        <v>10</v>
      </c>
      <c r="C6564" s="4"/>
    </row>
    <row r="6565" spans="1:3" ht="24" customHeight="1">
      <c r="A6565" s="4" t="str">
        <f ca="1">IFERROR(__xludf.DUMMYFUNCTION("""COMPUTED_VALUE"""),"कान्तानां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||")</f>
        <v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||</v>
      </c>
      <c r="B6565" s="4" t="s">
        <v>2</v>
      </c>
      <c r="C6565" s="4"/>
    </row>
    <row r="6566" spans="1:3" ht="24" customHeight="1">
      <c r="A6566" s="4" t="str">
        <f ca="1">IFERROR(__xludf.DUMMYFUNCTION("""COMPUTED_VALUE"""),"त्रस्यन्ती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||")</f>
        <v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||</v>
      </c>
      <c r="B6566" s="4" t="s">
        <v>5</v>
      </c>
      <c r="C6566" s="4"/>
    </row>
    <row r="6567" spans="1:3" ht="24" customHeight="1">
      <c r="A6567" s="4" t="str">
        <f ca="1">IFERROR(__xludf.DUMMYFUNCTION("""COMPUTED_VALUE"""),"आकृष्टवपुर्लतैस्तरदभिस्तस्याम्भस्तदथ सर्ॐअहार्णवस्य । अक्षोभि प्रसृतविलोबाहुपक्षैर्योषाणांमुरुभिरुरोजगणडस्शैलैः ||")</f>
        <v>आकृष्टवपुर्लतैस्तरदभिस्तस्याम्भस्तदथ सर्ॐअहार्णवस्य । अक्षोभि प्रसृतविलोबाहुपक्षैर्योषाणांमुरुभिरुरोजगणडस्शैलैः ||</v>
      </c>
      <c r="B6567" s="4" t="s">
        <v>11</v>
      </c>
      <c r="C6567" s="4"/>
    </row>
    <row r="6568" spans="1:3" ht="24" customHeight="1">
      <c r="A6568" s="4" t="str">
        <f ca="1">IFERROR(__xludf.DUMMYFUNCTION("""COMPUTED_VALUE"""),"गाम्भीर्यं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||")</f>
        <v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||</v>
      </c>
      <c r="B6568" s="4" t="s">
        <v>4</v>
      </c>
      <c r="C6568" s="4"/>
    </row>
    <row r="6569" spans="1:3" ht="24" customHeight="1">
      <c r="A6569" s="4" t="str">
        <f ca="1">IFERROR(__xludf.DUMMYFUNCTION("""COMPUTED_VALUE"""),"आदातुं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||")</f>
        <v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||</v>
      </c>
      <c r="B6569" s="4" t="s">
        <v>2</v>
      </c>
      <c r="C6569" s="4"/>
    </row>
    <row r="6570" spans="1:3" ht="24" customHeight="1">
      <c r="A6570" s="4" t="str">
        <f ca="1">IFERROR(__xludf.DUMMYFUNCTION("""COMPUTED_VALUE"""),"उन्निद्रप्रियकमनोरमं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||")</f>
        <v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||</v>
      </c>
      <c r="B6570" s="4" t="s">
        <v>28</v>
      </c>
      <c r="C6570" s="4"/>
    </row>
    <row r="6571" spans="1:3" ht="24" customHeight="1">
      <c r="A6571" s="4" t="str">
        <f ca="1">IFERROR(__xludf.DUMMYFUNCTION("""COMPUTED_VALUE"""),"किं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||")</f>
        <v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||</v>
      </c>
      <c r="B6571" s="4" t="s">
        <v>13</v>
      </c>
      <c r="C6571" s="4"/>
    </row>
    <row r="6572" spans="1:3" ht="24" customHeight="1">
      <c r="A6572" s="4" t="str">
        <f ca="1">IFERROR(__xludf.DUMMYFUNCTION("""COMPUTED_VALUE"""),"शृङ्गाणि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||")</f>
        <v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||</v>
      </c>
      <c r="B6572" s="4" t="s">
        <v>1</v>
      </c>
      <c r="C6572" s="4"/>
    </row>
    <row r="6573" spans="1:3" ht="24" customHeight="1">
      <c r="A6573" s="4" t="str">
        <f ca="1">IFERROR(__xludf.DUMMYFUNCTION("""COMPUTED_VALUE"""),"उत्तुङ्गादनिलचलांशुकास्तटान्ताच्चेतोभिः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||")</f>
        <v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||</v>
      </c>
      <c r="B6573" s="4" t="s">
        <v>2</v>
      </c>
      <c r="C6573" s="4"/>
    </row>
    <row r="6574" spans="1:3" ht="24" customHeight="1">
      <c r="A6574" s="4" t="str">
        <f ca="1">IFERROR(__xludf.DUMMYFUNCTION("""COMPUTED_VALUE"""),"मुग्धत्वादविदितकैतवप्रयोगा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||")</f>
        <v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||</v>
      </c>
      <c r="B6574" s="4" t="s">
        <v>5</v>
      </c>
      <c r="C6574" s="4"/>
    </row>
    <row r="6575" spans="1:3" ht="24" customHeight="1">
      <c r="A6575" s="4" t="str">
        <f ca="1">IFERROR(__xludf.DUMMYFUNCTION("""COMPUTED_VALUE"""),"योग्यस्य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||")</f>
        <v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||</v>
      </c>
      <c r="B6575" s="4" t="s">
        <v>19</v>
      </c>
      <c r="C6575" s="4"/>
    </row>
    <row r="6576" spans="1:3" ht="24" customHeight="1">
      <c r="A6576" s="4" t="str">
        <f ca="1">IFERROR(__xludf.DUMMYFUNCTION("""COMPUTED_VALUE"""),"शिञ्चन्त्याः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||")</f>
        <v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||</v>
      </c>
      <c r="B6576" s="4" t="s">
        <v>5</v>
      </c>
      <c r="C6576" s="4"/>
    </row>
    <row r="6577" spans="1:3" ht="24" customHeight="1">
      <c r="A6577" s="4" t="str">
        <f ca="1">IFERROR(__xludf.DUMMYFUNCTION("""COMPUTED_VALUE"""),"स्निह्यन्ती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||")</f>
        <v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||</v>
      </c>
      <c r="B6577" s="4" t="s">
        <v>0</v>
      </c>
      <c r="C6577" s="4"/>
    </row>
    <row r="6578" spans="1:3" ht="24" customHeight="1">
      <c r="A6578" s="4" t="str">
        <f ca="1">IFERROR(__xludf.DUMMYFUNCTION("""COMPUTED_VALUE"""),"आनन्दं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||")</f>
        <v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||</v>
      </c>
      <c r="B6578" s="4" t="s">
        <v>5</v>
      </c>
      <c r="C6578" s="4"/>
    </row>
    <row r="6579" spans="1:3" ht="24" customHeight="1">
      <c r="A6579" s="4" t="str">
        <f ca="1">IFERROR(__xludf.DUMMYFUNCTION("""COMPUTED_VALUE"""),"उद्वीक्ष्य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||")</f>
        <v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||</v>
      </c>
      <c r="B6579" s="4" t="s">
        <v>2</v>
      </c>
      <c r="C6579" s="4"/>
    </row>
    <row r="6580" spans="1:3" ht="24" customHeight="1">
      <c r="A6580" s="4" t="str">
        <f ca="1">IFERROR(__xludf.DUMMYFUNCTION("""COMPUTED_VALUE"""),"कुर्वद्भिमुखरुचिमुज्जवलामजस्रं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||")</f>
        <v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||</v>
      </c>
      <c r="B6580" s="4" t="s">
        <v>21</v>
      </c>
      <c r="C6580" s="4"/>
    </row>
    <row r="6581" spans="1:3" ht="24" customHeight="1">
      <c r="A6581" s="4" t="str">
        <f ca="1">IFERROR(__xludf.DUMMYFUNCTION("""COMPUTED_VALUE"""),"रागान्धीकृतनयनेन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||")</f>
        <v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||</v>
      </c>
      <c r="B6581" s="4" t="s">
        <v>0</v>
      </c>
      <c r="C6581" s="4"/>
    </row>
    <row r="6582" spans="1:3" ht="24" customHeight="1">
      <c r="A6582" s="4" t="str">
        <f ca="1">IFERROR(__xludf.DUMMYFUNCTION("""COMPUTED_VALUE"""),"प्रेम्णोरः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||")</f>
        <v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||</v>
      </c>
      <c r="B6582" s="4" t="s">
        <v>13</v>
      </c>
      <c r="C6582" s="4"/>
    </row>
    <row r="6583" spans="1:3" ht="24" customHeight="1">
      <c r="A6583" s="4" t="str">
        <f ca="1">IFERROR(__xludf.DUMMYFUNCTION("""COMPUTED_VALUE"""),"संक्रान्तं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||")</f>
        <v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||</v>
      </c>
      <c r="B6583" s="4" t="s">
        <v>5</v>
      </c>
      <c r="C6583" s="4"/>
    </row>
    <row r="6584" spans="1:3" ht="24" customHeight="1">
      <c r="A6584" s="4" t="str">
        <f ca="1">IFERROR(__xludf.DUMMYFUNCTION("""COMPUTED_VALUE"""),"हृतायाः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||")</f>
        <v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||</v>
      </c>
      <c r="B6584" s="4" t="s">
        <v>18</v>
      </c>
      <c r="C6584" s="4"/>
    </row>
    <row r="6585" spans="1:3" ht="24" customHeight="1">
      <c r="A6585" s="4" t="str">
        <f ca="1">IFERROR(__xludf.DUMMYFUNCTION("""COMPUTED_VALUE"""),"सिक्तायाः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||")</f>
        <v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||</v>
      </c>
      <c r="B6585" s="4" t="s">
        <v>6</v>
      </c>
      <c r="C6585" s="4"/>
    </row>
    <row r="6586" spans="1:3" ht="24" customHeight="1">
      <c r="A6586" s="4" t="str">
        <f ca="1">IFERROR(__xludf.DUMMYFUNCTION("""COMPUTED_VALUE"""),"उद्वोढुं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||")</f>
        <v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||</v>
      </c>
      <c r="B6586" s="4" t="s">
        <v>5</v>
      </c>
      <c r="C6586" s="4"/>
    </row>
    <row r="6587" spans="1:3" ht="24" customHeight="1">
      <c r="A6587" s="4" t="str">
        <f ca="1">IFERROR(__xludf.DUMMYFUNCTION("""COMPUTED_VALUE"""),"आबद्धप्रचुरपरार्घ्यकिङ्किणीको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||")</f>
        <v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||</v>
      </c>
      <c r="B6587" s="4" t="s">
        <v>4</v>
      </c>
      <c r="C6587" s="4"/>
    </row>
    <row r="6588" spans="1:3" ht="24" customHeight="1">
      <c r="A6588" s="4" t="str">
        <f ca="1">IFERROR(__xludf.DUMMYFUNCTION("""COMPUTED_VALUE"""),"पर्यच्छे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||")</f>
        <v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||</v>
      </c>
      <c r="B6588" s="4" t="s">
        <v>4</v>
      </c>
      <c r="C6588" s="4"/>
    </row>
    <row r="6589" spans="1:3" ht="24" customHeight="1">
      <c r="A6589" s="4" t="str">
        <f ca="1">IFERROR(__xludf.DUMMYFUNCTION("""COMPUTED_VALUE"""),"नारीभिर्गुरुजघनस्थलानां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||")</f>
        <v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||</v>
      </c>
      <c r="B6589" s="4" t="s">
        <v>1</v>
      </c>
      <c r="C6589" s="4"/>
    </row>
    <row r="6590" spans="1:3" ht="24" customHeight="1">
      <c r="A6590" s="4" t="str">
        <f ca="1">IFERROR(__xludf.DUMMYFUNCTION("""COMPUTED_VALUE"""),"सौगन्धं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||")</f>
        <v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||</v>
      </c>
      <c r="B6590" s="4" t="s">
        <v>3</v>
      </c>
      <c r="C6590" s="4"/>
    </row>
    <row r="6591" spans="1:3" ht="24" customHeight="1">
      <c r="A6591" s="4" t="str">
        <f ca="1">IFERROR(__xludf.DUMMYFUNCTION("""COMPUTED_VALUE"""),"प्रभ्रष्टै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||")</f>
        <v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||</v>
      </c>
      <c r="B6591" s="4" t="s">
        <v>3</v>
      </c>
      <c r="C6591" s="4"/>
    </row>
    <row r="6592" spans="1:3" ht="24" customHeight="1">
      <c r="A6592" s="4" t="str">
        <f ca="1">IFERROR(__xludf.DUMMYFUNCTION("""COMPUTED_VALUE"""),"आस्माकी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||")</f>
        <v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||</v>
      </c>
      <c r="B6592" s="4" t="s">
        <v>1</v>
      </c>
      <c r="C6592" s="4"/>
    </row>
    <row r="6593" spans="1:3" ht="24" customHeight="1">
      <c r="A6593" s="4" t="str">
        <f ca="1">IFERROR(__xludf.DUMMYFUNCTION("""COMPUTED_VALUE"""),"निर्धौते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||")</f>
        <v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||</v>
      </c>
      <c r="B6593" s="4" t="s">
        <v>5</v>
      </c>
      <c r="C6593" s="4"/>
    </row>
    <row r="6594" spans="1:3" ht="24" customHeight="1">
      <c r="A6594" s="4" t="str">
        <f ca="1">IFERROR(__xludf.DUMMYFUNCTION("""COMPUTED_VALUE"""),"अन्यूनं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||")</f>
        <v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||</v>
      </c>
      <c r="B6594" s="4" t="s">
        <v>16</v>
      </c>
      <c r="C6594" s="4"/>
    </row>
    <row r="6595" spans="1:3" ht="24" customHeight="1">
      <c r="A6595" s="4" t="str">
        <f ca="1">IFERROR(__xludf.DUMMYFUNCTION("""COMPUTED_VALUE"""),"स्नान्तीनां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||")</f>
        <v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||</v>
      </c>
      <c r="B6595" s="4" t="s">
        <v>4</v>
      </c>
      <c r="C6595" s="4"/>
    </row>
    <row r="6596" spans="1:3" ht="24" customHeight="1">
      <c r="A6596" s="4" t="str">
        <f ca="1">IFERROR(__xludf.DUMMYFUNCTION("""COMPUTED_VALUE"""),"आरूढः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||")</f>
        <v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||</v>
      </c>
      <c r="B6596" s="4" t="s">
        <v>9</v>
      </c>
      <c r="C6596" s="4"/>
    </row>
    <row r="6597" spans="1:3" ht="24" customHeight="1">
      <c r="A6597" s="4" t="str">
        <f ca="1">IFERROR(__xludf.DUMMYFUNCTION("""COMPUTED_VALUE"""),"दन्तानामधरमयावकं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||")</f>
        <v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||</v>
      </c>
      <c r="B6597" s="4" t="s">
        <v>2</v>
      </c>
      <c r="C6597" s="4"/>
    </row>
    <row r="6598" spans="1:3" ht="24" customHeight="1">
      <c r="A6598" s="4" t="str">
        <f ca="1">IFERROR(__xludf.DUMMYFUNCTION("""COMPUTED_VALUE"""),"कस्याश्चिनमुखमनु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||")</f>
        <v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||</v>
      </c>
      <c r="B6598" s="4" t="s">
        <v>6</v>
      </c>
      <c r="C6598" s="4"/>
    </row>
    <row r="6599" spans="1:3" ht="24" customHeight="1">
      <c r="A6599" s="4" t="str">
        <f ca="1">IFERROR(__xludf.DUMMYFUNCTION("""COMPUTED_VALUE"""),"वक्षेभ्यो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||")</f>
        <v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||</v>
      </c>
      <c r="B6599" s="4" t="s">
        <v>5</v>
      </c>
      <c r="C6599" s="4"/>
    </row>
    <row r="6600" spans="1:3" ht="24" customHeight="1">
      <c r="A6600" s="4" t="str">
        <f ca="1">IFERROR(__xludf.DUMMYFUNCTION("""COMPUTED_VALUE"""),"यो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||")</f>
        <v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||</v>
      </c>
      <c r="B6600" s="4" t="s">
        <v>5</v>
      </c>
      <c r="C6600" s="4"/>
    </row>
    <row r="6601" spans="1:3" ht="24" customHeight="1">
      <c r="A6601" s="4" t="str">
        <f ca="1">IFERROR(__xludf.DUMMYFUNCTION("""COMPUTED_VALUE"""),"फेनानामुरसिरुहेषु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||")</f>
        <v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||</v>
      </c>
      <c r="B6601" s="4" t="s">
        <v>1</v>
      </c>
      <c r="C6601" s="4"/>
    </row>
    <row r="6602" spans="1:3" ht="24" customHeight="1">
      <c r="A6602" s="4" t="str">
        <f ca="1">IFERROR(__xludf.DUMMYFUNCTION("""COMPUTED_VALUE"""),"भ्रश्द्भिर्जलमभि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||")</f>
        <v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||</v>
      </c>
      <c r="B6602" s="4" t="s">
        <v>5</v>
      </c>
      <c r="C6602" s="4"/>
    </row>
    <row r="6603" spans="1:3" ht="24" customHeight="1">
      <c r="A6603" s="4" t="str">
        <f ca="1">IFERROR(__xludf.DUMMYFUNCTION("""COMPUTED_VALUE"""),"आमृष्टस्तिलकरुचः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||")</f>
        <v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||</v>
      </c>
      <c r="B6603" s="4" t="s">
        <v>0</v>
      </c>
      <c r="C6603" s="4"/>
    </row>
    <row r="6604" spans="1:3" ht="24" customHeight="1">
      <c r="A6604" s="4" t="str">
        <f ca="1">IFERROR(__xludf.DUMMYFUNCTION("""COMPUTED_VALUE"""),"शीतार्तिं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||")</f>
        <v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||</v>
      </c>
      <c r="B6604" s="4" t="s">
        <v>1</v>
      </c>
      <c r="C6604" s="4"/>
    </row>
    <row r="6605" spans="1:3" ht="24" customHeight="1">
      <c r="A6605" s="4" t="str">
        <f ca="1">IFERROR(__xludf.DUMMYFUNCTION("""COMPUTED_VALUE"""),"श्च्योतद्भिः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||")</f>
        <v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||</v>
      </c>
      <c r="B6605" s="4" t="s">
        <v>24</v>
      </c>
      <c r="C6605" s="4"/>
    </row>
    <row r="6606" spans="1:3" ht="24" customHeight="1">
      <c r="A6606" s="4" t="str">
        <f ca="1">IFERROR(__xludf.DUMMYFUNCTION("""COMPUTED_VALUE"""),"दिव्यानामपि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||")</f>
        <v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||</v>
      </c>
      <c r="B6606" s="4" t="s">
        <v>0</v>
      </c>
      <c r="C6606" s="4"/>
    </row>
    <row r="6607" spans="1:3" ht="24" customHeight="1">
      <c r="A6607" s="4" t="str">
        <f ca="1">IFERROR(__xludf.DUMMYFUNCTION("""COMPUTED_VALUE"""),"श्लक्ष्णं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||")</f>
        <v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||</v>
      </c>
      <c r="B6607" s="4" t="s">
        <v>4</v>
      </c>
      <c r="C6607" s="4"/>
    </row>
    <row r="6608" spans="1:3" ht="24" customHeight="1">
      <c r="A6608" s="4" t="str">
        <f ca="1">IFERROR(__xludf.DUMMYFUNCTION("""COMPUTED_VALUE"""),"वासांसि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||")</f>
        <v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||</v>
      </c>
      <c r="B6608" s="4" t="s">
        <v>4</v>
      </c>
      <c r="C6608" s="4"/>
    </row>
    <row r="6609" spans="1:3" ht="24" customHeight="1">
      <c r="A6609" s="4" t="str">
        <f ca="1">IFERROR(__xludf.DUMMYFUNCTION("""COMPUTED_VALUE"""),"आर्द्रत्वदतिशायिनीमुपेयिवद्भिः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||")</f>
        <v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||</v>
      </c>
      <c r="B6609" s="4" t="s">
        <v>17</v>
      </c>
      <c r="C6609" s="4"/>
    </row>
    <row r="6610" spans="1:3" ht="24" customHeight="1">
      <c r="A6610" s="4" t="str">
        <f ca="1">IFERROR(__xludf.DUMMYFUNCTION("""COMPUTED_VALUE"""),"प्रत्यंसं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पुनस्तथ् ||")</f>
        <v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पुनस्तथ् ||</v>
      </c>
      <c r="B6610" s="4" t="s">
        <v>2</v>
      </c>
      <c r="C6610" s="4"/>
    </row>
    <row r="6611" spans="1:3" ht="24" customHeight="1">
      <c r="A6611" s="4" t="str">
        <f ca="1">IFERROR(__xludf.DUMMYFUNCTION("""COMPUTED_VALUE"""),"सीमन्तं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||")</f>
        <v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||</v>
      </c>
      <c r="B6611" s="4" t="s">
        <v>5</v>
      </c>
      <c r="C6611" s="4"/>
    </row>
    <row r="6612" spans="1:3" ht="24" customHeight="1">
      <c r="A6612" s="4" t="str">
        <f ca="1">IFERROR(__xludf.DUMMYFUNCTION("""COMPUTED_VALUE"""),"स्वच्छाम्भःस्नपनविधौतमङ्गमोष्ठस्ताम्बूलद्युतिविशदो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||")</f>
        <v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||</v>
      </c>
      <c r="B6612" s="4" t="s">
        <v>5</v>
      </c>
      <c r="C6612" s="4"/>
    </row>
    <row r="6613" spans="1:3" ht="24" customHeight="1">
      <c r="A6613" s="4" t="str">
        <f ca="1">IFERROR(__xludf.DUMMYFUNCTION("""COMPUTED_VALUE"""),"इति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||")</f>
        <v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||</v>
      </c>
      <c r="B6613" s="4" t="s">
        <v>13</v>
      </c>
      <c r="C6613" s="4"/>
    </row>
    <row r="6614" spans="1:3" ht="24" customHeight="1">
      <c r="A6614" s="4" t="str">
        <f ca="1">IFERROR(__xludf.DUMMYFUNCTION("""COMPUTED_VALUE"""),"अभितापसंपदमथोष्णरुचिर्निजतेसामसहमान इव । पयसि प्रपित्सुरपराम्बुनिधेरधिरोढुमस्तगिरिमभ्यपतथ् ||")</f>
        <v>अभितापसंपदमथोष्णरुचिर्निजतेसामसहमान इव । पयसि प्रपित्सुरपराम्बुनिधेरधिरोढुमस्तगिरिमभ्यपतथ् ||</v>
      </c>
      <c r="B6614" s="4" t="s">
        <v>2</v>
      </c>
      <c r="C6614" s="4"/>
    </row>
    <row r="6615" spans="1:3" ht="24" customHeight="1">
      <c r="A6615" s="4" t="str">
        <f ca="1">IFERROR(__xludf.DUMMYFUNCTION("""COMPUTED_VALUE"""),"गतया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||")</f>
        <v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||</v>
      </c>
      <c r="B6615" s="4" t="s">
        <v>8</v>
      </c>
      <c r="C6615" s="4"/>
    </row>
    <row r="6616" spans="1:3" ht="24" customHeight="1">
      <c r="A6616" s="4" t="str">
        <f ca="1">IFERROR(__xludf.DUMMYFUNCTION("""COMPUTED_VALUE"""),"विरलात पच्छविरनुष्णवपुः परितो विपाण्डु दधदभ्रशिरः । अभवद्गतः परिणतिं शिथिलः परमन्दसूर्यनयनो दिवसः ||")</f>
        <v>विरलात पच्छविरनुष्णवपुः परितो विपाण्डु दधदभ्रशिरः । अभवद्गतः परिणतिं शिथिलः परमन्दसूर्यनयनो दिवसः ||</v>
      </c>
      <c r="B6616" s="4" t="s">
        <v>18</v>
      </c>
      <c r="C6616" s="4"/>
    </row>
    <row r="6617" spans="1:3" ht="24" customHeight="1">
      <c r="A6617" s="4" t="str">
        <f ca="1">IFERROR(__xludf.DUMMYFUNCTION("""COMPUTED_VALUE"""),"अपराह्नशीतलतरेण शनैरनिलेन लोलितलताङ्गुलये । निलयाय शाखिन इवाह्रयते दुदुराकुलाः खगकुलानि गिरः ||")</f>
        <v>अपराह्नशीतलतरेण शनैरनिलेन लोलितलताङ्गुलये । निलयाय शाखिन इवाह्रयते दुदुराकुलाः खगकुलानि गिरः ||</v>
      </c>
      <c r="B6617" s="4" t="s">
        <v>0</v>
      </c>
      <c r="C6617" s="4"/>
    </row>
    <row r="6618" spans="1:3" ht="24" customHeight="1">
      <c r="A6618" s="4" t="str">
        <f ca="1">IFERROR(__xludf.DUMMYFUNCTION("""COMPUTED_VALUE"""),"उपसंध्यमास्त तनु सानुमतः शिखरेषु तत्क्षणमशीतरुचः । करजालमस्तमयेऽपि सतामुतितं खलूच्चतरमेव पदं ||")</f>
        <v>उपसंध्यमास्त तनु सानुमतः शिखरेषु तत्क्षणमशीतरुचः । करजालमस्तमयेऽपि सतामुतितं खलूच्चतरमेव पदं ||</v>
      </c>
      <c r="B6618" s="4" t="s">
        <v>17</v>
      </c>
      <c r="C6618" s="4"/>
    </row>
    <row r="6619" spans="1:3" ht="24" customHeight="1">
      <c r="A6619" s="4" t="str">
        <f ca="1">IFERROR(__xludf.DUMMYFUNCTION("""COMPUTED_VALUE"""),"प्रतिकूलमुपगते हि विधौ विफलत्वमेति बहुसाधनता । अवलम्बनाय दिनभर्तुरभून्न पतिष्यतः करसहस्रमपि ||")</f>
        <v>प्रतिकूलमुपगते हि विधौ विफलत्वमेति बहुसाधनता । अवलम्बनाय दिनभर्तुरभून्न पतिष्यतः करसहस्रमपि ||</v>
      </c>
      <c r="B6619" s="4" t="s">
        <v>9</v>
      </c>
      <c r="C6619" s="4"/>
    </row>
    <row r="6620" spans="1:3" ht="24" customHeight="1">
      <c r="A6620" s="4" t="str">
        <f ca="1">IFERROR(__xludf.DUMMYFUNCTION("""COMPUTED_VALUE"""),"नवकुङ्कुमारुणपयोधरया स्वकरावसक्तरुचिराम्बरया । अतिसक्तिमेत्य वरुणस्य दिशा भृशमन्वरज्यदतुषारकरः ||")</f>
        <v>नवकुङ्कुमारुणपयोधरया स्वकरावसक्तरुचिराम्बरया । अतिसक्तिमेत्य वरुणस्य दिशा भृशमन्वरज्यदतुषारकरः ||</v>
      </c>
      <c r="B6620" s="4" t="s">
        <v>0</v>
      </c>
      <c r="C6620" s="4"/>
    </row>
    <row r="6621" spans="1:3" ht="24" customHeight="1">
      <c r="A6621" s="4" t="str">
        <f ca="1">IFERROR(__xludf.DUMMYFUNCTION("""COMPUTED_VALUE"""),"गतवत्यराजत जपाकुसुमस्तबकद्युतौ दिनकरेऽवनतिं । बहलानुरागकुरुविन्ददलप्रतिबद्धमध्यमिव दिग्वलयं ||")</f>
        <v>गतवत्यराजत जपाकुसुमस्तबकद्युतौ दिनकरेऽवनतिं । बहलानुरागकुरुविन्ददलप्रतिबद्धमध्यमिव दिग्वलयं ||</v>
      </c>
      <c r="B6621" s="4" t="s">
        <v>5</v>
      </c>
      <c r="C6621" s="4"/>
    </row>
    <row r="6622" spans="1:3" ht="24" customHeight="1">
      <c r="A6622" s="4" t="str">
        <f ca="1">IFERROR(__xludf.DUMMYFUNCTION("""COMPUTED_VALUE"""),"द्रुतशातकुम्भनिभमंशुमतो वपुरर्धमग्नवपुषः पयसि । रुरुचे विरिञ्चिनखभिन्नबृहद्दणडकैकतरखण्डमिव ||")</f>
        <v>द्रुतशातकुम्भनिभमंशुमतो वपुरर्धमग्नवपुषः पयसि । रुरुचे विरिञ्चिनखभिन्नबृहद्दणडकैकतरखण्डमिव ||</v>
      </c>
      <c r="B6622" s="4" t="s">
        <v>4</v>
      </c>
      <c r="C6622" s="4"/>
    </row>
    <row r="6623" spans="1:3" ht="24" customHeight="1">
      <c r="A6623" s="4" t="str">
        <f ca="1">IFERROR(__xludf.DUMMYFUNCTION("""COMPUTED_VALUE"""),"अनुरागवन्तमपि लोचनयोर्दधतं वपुः सुखमतापकरं । निरकासयद्रविमपेतवसुं वियदालयादपरदिग्गणिका ||")</f>
        <v>अनुरागवन्तमपि लोचनयोर्दधतं वपुः सुखमतापकरं । निरकासयद्रविमपेतवसुं वियदालयादपरदिग्गणिका ||</v>
      </c>
      <c r="B6623" s="4" t="s">
        <v>19</v>
      </c>
      <c r="C6623" s="4"/>
    </row>
    <row r="6624" spans="1:3" ht="24" customHeight="1">
      <c r="A6624" s="4" t="str">
        <f ca="1">IFERROR(__xludf.DUMMYFUNCTION("""COMPUTED_VALUE"""),"अभितिग्मरश्मि चिरमविरमादवधानखिन्नमनिमेषतया । विगलन्नमधुव्रतकुलाश्रुजलं न्ममीलदब्जनयनं नलिनी ||")</f>
        <v>अभितिग्मरश्मि चिरमविरमादवधानखिन्नमनिमेषतया । विगलन्नमधुव्रतकुलाश्रुजलं न्ममीलदब्जनयनं नलिनी ||</v>
      </c>
      <c r="B6624" s="4" t="s">
        <v>1</v>
      </c>
      <c r="C6624" s="4"/>
    </row>
    <row r="6625" spans="1:3" ht="24" customHeight="1">
      <c r="A6625" s="4" t="str">
        <f ca="1">IFERROR(__xludf.DUMMYFUNCTION("""COMPUTED_VALUE"""),"अविभाव्यतारकमदृष्टहिमद्युतिबिम्बमस्तमितभानु नभः । अवसन्नतापमतमिस्रमभादपदोषतैव विगुणस्य गुणः ||")</f>
        <v>अविभाव्यतारकमदृष्टहिमद्युतिबिम्बमस्तमितभानु नभः । अवसन्नतापमतमिस्रमभादपदोषतैव विगुणस्य गुणः ||</v>
      </c>
      <c r="B6625" s="4" t="s">
        <v>7</v>
      </c>
      <c r="C6625" s="4"/>
    </row>
    <row r="6626" spans="1:3" ht="24" customHeight="1">
      <c r="A6626" s="4" t="str">
        <f ca="1">IFERROR(__xludf.DUMMYFUNCTION("""COMPUTED_VALUE"""),"रुचिधाम्नि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||")</f>
        <v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||</v>
      </c>
      <c r="B6626" s="4" t="s">
        <v>2</v>
      </c>
      <c r="C6626" s="4"/>
    </row>
    <row r="6627" spans="1:3" ht="24" customHeight="1">
      <c r="A6627" s="4" t="str">
        <f ca="1">IFERROR(__xludf.DUMMYFUNCTION("""COMPUTED_VALUE"""),"विहिताञ्जलिर्जनतया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||")</f>
        <v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||</v>
      </c>
      <c r="B6627" s="4" t="s">
        <v>4</v>
      </c>
      <c r="C6627" s="4"/>
    </row>
    <row r="6628" spans="1:3" ht="24" customHeight="1">
      <c r="A6628" s="4" t="str">
        <f ca="1">IFERROR(__xludf.DUMMYFUNCTION("""COMPUTED_VALUE"""),"अथ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||")</f>
        <v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||</v>
      </c>
      <c r="B6628" s="4" t="s">
        <v>4</v>
      </c>
      <c r="C6628" s="4"/>
    </row>
    <row r="6629" spans="1:3" ht="24" customHeight="1">
      <c r="A6629" s="4" t="str">
        <f ca="1">IFERROR(__xludf.DUMMYFUNCTION("""COMPUTED_VALUE"""),"निलयः श्रियः सततमेतदिति प्रथितं यदेव जलजन्म तया । दिवसात्ययात्तदपि मुक्तमहो चपलाजनं प्रति न चोद्यमदः ||")</f>
        <v>निलयः श्रियः सततमेतदिति प्रथितं यदेव जलजन्म तया । दिवसात्ययात्तदपि मुक्तमहो चपलाजनं प्रति न चोद्यमदः ||</v>
      </c>
      <c r="B6629" s="4" t="s">
        <v>17</v>
      </c>
      <c r="C6629" s="4"/>
    </row>
    <row r="6630" spans="1:3" ht="24" customHeight="1">
      <c r="A6630" s="4" t="str">
        <f ca="1">IFERROR(__xludf.DUMMYFUNCTION("""COMPUTED_VALUE"""),"दिवसोऽनुमित्रमगमद्वलयं किमिहास्यते बत मयाबलया । रुचिभर्तुरस्य विरहाधिगमादिति संध्ययापि सपदि व्यगमि ||")</f>
        <v>दिवसोऽनुमित्रमगमद्वलयं किमिहास्यते बत मयाबलया । रुचिभर्तुरस्य विरहाधिगमादिति संध्ययापि सपदि व्यगमि ||</v>
      </c>
      <c r="B6630" s="4" t="s">
        <v>12</v>
      </c>
      <c r="C6630" s="4"/>
    </row>
    <row r="6631" spans="1:3" ht="24" customHeight="1">
      <c r="A6631" s="4" t="str">
        <f ca="1">IFERROR(__xludf.DUMMYFUNCTION("""COMPUTED_VALUE"""),"पतिते पतङ्गमृगराजि निजप्रतिबिम्बरोषित इवाम्बुनिधौ । अथ नागयूथमलिनानि जगत्परितस्तमांसि परितस्तरिरे ||")</f>
        <v>पतिते पतङ्गमृगराजि निजप्रतिबिम्बरोषित इवाम्बुनिधौ । अथ नागयूथमलिनानि जगत्परितस्तमांसि परितस्तरिरे ||</v>
      </c>
      <c r="B6631" s="4" t="s">
        <v>0</v>
      </c>
      <c r="C6631" s="4"/>
    </row>
    <row r="6632" spans="1:3" ht="24" customHeight="1">
      <c r="A6632" s="4" t="str">
        <f ca="1">IFERROR(__xludf.DUMMYFUNCTION("""COMPUTED_VALUE"""),"व्यसरन्नु भूधरगुहान्तरतः पचलं बहिर्भहलपङ्करुचि । दिवसावसानपटुनस्तमसो बहिरेत्य चाधिकमभक्त गुहाः ||")</f>
        <v>व्यसरन्नु भूधरगुहान्तरतः पचलं बहिर्भहलपङ्करुचि । दिवसावसानपटुनस्तमसो बहिरेत्य चाधिकमभक्त गुहाः ||</v>
      </c>
      <c r="B6632" s="4" t="s">
        <v>24</v>
      </c>
      <c r="C6632" s="4"/>
    </row>
    <row r="6633" spans="1:3" ht="24" customHeight="1">
      <c r="A6633" s="4" t="str">
        <f ca="1">IFERROR(__xludf.DUMMYFUNCTION("""COMPUTED_VALUE"""),"किमलम्बताम्बरविलग्नमधः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||")</f>
        <v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||</v>
      </c>
      <c r="B6633" s="4" t="s">
        <v>12</v>
      </c>
      <c r="C6633" s="4"/>
    </row>
    <row r="6634" spans="1:3" ht="24" customHeight="1">
      <c r="A6634" s="4" t="str">
        <f ca="1">IFERROR(__xludf.DUMMYFUNCTION("""COMPUTED_VALUE"""),"स्थगिताम्बरक्षितितले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||")</f>
        <v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||</v>
      </c>
      <c r="B6634" s="4" t="s">
        <v>8</v>
      </c>
      <c r="C6634" s="4"/>
    </row>
    <row r="6635" spans="1:3" ht="24" customHeight="1">
      <c r="A6635" s="4" t="str">
        <f ca="1">IFERROR(__xludf.DUMMYFUNCTION("""COMPUTED_VALUE"""),"अवधार्य कार्यगुरुतामभवन्न भयाय सान्द्रतमसन्तमसं । सुतनोः स्तनौ च दयितोपगमे तनुर्ॐअराजिपथवेपथवे ||")</f>
        <v>अवधार्य कार्यगुरुतामभवन्न भयाय सान्द्रतमसन्तमसं । सुतनोः स्तनौ च दयितोपगमे तनुर्ॐअराजिपथवेपथवे ||</v>
      </c>
      <c r="B6635" s="4" t="s">
        <v>4</v>
      </c>
      <c r="C6635" s="4"/>
    </row>
    <row r="6636" spans="1:3" ht="24" customHeight="1">
      <c r="A6636" s="4" t="str">
        <f ca="1">IFERROR(__xludf.DUMMYFUNCTION("""COMPUTED_VALUE"""),"ददृशेऽपि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||")</f>
        <v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||</v>
      </c>
      <c r="B6636" s="4" t="s">
        <v>2</v>
      </c>
      <c r="C6636" s="4"/>
    </row>
    <row r="6637" spans="1:3" ht="24" customHeight="1">
      <c r="A6637" s="4" t="str">
        <f ca="1">IFERROR(__xludf.DUMMYFUNCTION("""COMPUTED_VALUE"""),"अनुलेपनानि कुसुमान्यबलाः कृतमन्यवः पतिषु धीपशिखाः ।समयेन तेन चिरसुप्तमनोभवबोधनं सममबोधिषत ||")</f>
        <v>अनुलेपनानि कुसुमान्यबलाः कृतमन्यवः पतिषु धीपशिखाः ।समयेन तेन चिरसुप्तमनोभवबोधनं सममबोधिषत ||</v>
      </c>
      <c r="B6637" s="4" t="s">
        <v>2</v>
      </c>
      <c r="C6637" s="4"/>
    </row>
    <row r="6638" spans="1:3" ht="24" customHeight="1">
      <c r="A6638" s="4" t="str">
        <f ca="1">IFERROR(__xludf.DUMMYFUNCTION("""COMPUTED_VALUE"""),"वसुधान्तनिःसृतमिवाहिपतेः पटलं फणामणिसहस्ररुचां । स्फुरदंशुजालमथ शीतरुचः ककुभं समस्कुरुत माधवनीं ||")</f>
        <v>वसुधान्तनिःसृतमिवाहिपतेः पटलं फणामणिसहस्ररुचां । स्फुरदंशुजालमथ शीतरुचः ककुभं समस्कुरुत माधवनीं ||</v>
      </c>
      <c r="B6638" s="4" t="s">
        <v>1</v>
      </c>
      <c r="C6638" s="4"/>
    </row>
    <row r="6639" spans="1:3" ht="24" customHeight="1">
      <c r="A6639" s="4" t="str">
        <f ca="1">IFERROR(__xludf.DUMMYFUNCTION("""COMPUTED_VALUE"""),"विशदप्रभापरिगतं विबभावुदयाचलव्यवहितेन्दुवपुः । मुखमप्रकाशदशनं शनकैः सविलासहासमिव शक्रदिशः ||")</f>
        <v>विशदप्रभापरिगतं विबभावुदयाचलव्यवहितेन्दुवपुः । मुखमप्रकाशदशनं शनकैः सविलासहासमिव शक्रदिशः ||</v>
      </c>
      <c r="B6639" s="4" t="s">
        <v>8</v>
      </c>
      <c r="C6639" s="4"/>
    </row>
    <row r="6640" spans="1:3" ht="24" customHeight="1">
      <c r="A6640" s="4" t="str">
        <f ca="1">IFERROR(__xludf.DUMMYFUNCTION("""COMPUTED_VALUE"""),"कलया तुषारकिरणस्य पुरः परिमन्दभिन्नतिमिरौघजटं । क्षणमभ्यपद्यत जनैर्न मृषा गगनं गणादिपतिमूर्तिरिति ||")</f>
        <v>कलया तुषारकिरणस्य पुरः परिमन्दभिन्नतिमिरौघजटं । क्षणमभ्यपद्यत जनैर्न मृषा गगनं गणादिपतिमूर्तिरिति ||</v>
      </c>
      <c r="B6640" s="4" t="s">
        <v>2</v>
      </c>
      <c r="C6640" s="4"/>
    </row>
    <row r="6641" spans="1:3" ht="24" customHeight="1">
      <c r="A6641" s="4" t="str">
        <f ca="1">IFERROR(__xludf.DUMMYFUNCTION("""COMPUTED_VALUE"""),"नवचन्द्रकाकुसुमकीर्णतमःकबरीभृतो मलयजार्द्रमिव । ददृशे ललाटतटहारि हरेर्हरितो मुखे तुहिनरश्मिदलं ||")</f>
        <v>नवचन्द्रकाकुसुमकीर्णतमःकबरीभृतो मलयजार्द्रमिव । ददृशे ललाटतटहारि हरेर्हरितो मुखे तुहिनरश्मिदलं ||</v>
      </c>
      <c r="B6641" s="4" t="s">
        <v>11</v>
      </c>
      <c r="C6641" s="4"/>
    </row>
    <row r="6642" spans="1:3" ht="24" customHeight="1">
      <c r="A6642" s="4" t="str">
        <f ca="1">IFERROR(__xludf.DUMMYFUNCTION("""COMPUTED_VALUE"""),"प्रथमं कलाभवदथार्धमथो हिमदीधितिर्महदभूदुदितः । दधति ध्रुवं क्रमश एव न तु द्युतिशालिनोऽपि सहसोपचयं ||")</f>
        <v>प्रथमं कलाभवदथार्धमथो हिमदीधितिर्महदभूदुदितः । दधति ध्रुवं क्रमश एव न तु द्युतिशालिनोऽपि सहसोपचयं ||</v>
      </c>
      <c r="B6642" s="4" t="s">
        <v>5</v>
      </c>
      <c r="C6642" s="4"/>
    </row>
    <row r="6643" spans="1:3" ht="24" customHeight="1">
      <c r="A6643" s="4" t="str">
        <f ca="1">IFERROR(__xludf.DUMMYFUNCTION("""COMPUTED_VALUE"""),"उदमज्जि कैटभजितः शयनादपनिद्रपाण्डुरसरोजरुचा । प्रथमप्रबुद्धनदराजसुतावदनेन्दुनेव तुहिनद्युतिना ||")</f>
        <v>उदमज्जि कैटभजितः शयनादपनिद्रपाण्डुरसरोजरुचा । प्रथमप्रबुद्धनदराजसुतावदनेन्दुनेव तुहिनद्युतिना ||</v>
      </c>
      <c r="B6643" s="4" t="s">
        <v>1</v>
      </c>
      <c r="C6643" s="4"/>
    </row>
    <row r="6644" spans="1:3" ht="24" customHeight="1">
      <c r="A6644" s="4" t="str">
        <f ca="1">IFERROR(__xludf.DUMMYFUNCTION("""COMPUTED_VALUE"""),"अथ लक्षमणागतकान्तवपुर्जलधिं विलङ्घ्य शशिदाशरथिः । परिवारितः परित ऋक्षगणैस्तिरौघराक्षसकुलं बिभिदे ||")</f>
        <v>अथ लक्षमणागतकान्तवपुर्जलधिं विलङ्घ्य शशिदाशरथिः । परिवारितः परित ऋक्षगणैस्तिरौघराक्षसकुलं बिभिदे ||</v>
      </c>
      <c r="B6644" s="4" t="s">
        <v>17</v>
      </c>
      <c r="C6644" s="4"/>
    </row>
    <row r="6645" spans="1:3" ht="24" customHeight="1">
      <c r="A6645" s="4" t="str">
        <f ca="1">IFERROR(__xludf.DUMMYFUNCTION("""COMPUTED_VALUE"""),"उपजीवति स्म सततं दधतः परिमुग्धतां वणिगिवोडुपतेः । घनवीथवीथिमवतीर्णवतो निधिरम्भसामुपचयाय कलाः ||")</f>
        <v>उपजीवति स्म सततं दधतः परिमुग्धतां वणिगिवोडुपतेः । घनवीथवीथिमवतीर्णवतो निधिरम्भसामुपचयाय कलाः ||</v>
      </c>
      <c r="B6645" s="4" t="s">
        <v>11</v>
      </c>
      <c r="C6645" s="4"/>
    </row>
    <row r="6646" spans="1:3" ht="24" customHeight="1">
      <c r="A6646" s="4" t="str">
        <f ca="1">IFERROR(__xludf.DUMMYFUNCTION("""COMPUTED_VALUE"""),"रजनीमवाप्य रुचमाप शशी सपदि व्यभूषयदसावपि तां । अविलम्बितक्रममहो महतामितरेतरकृतिमच्चरितं ||")</f>
        <v>रजनीमवाप्य रुचमाप शशी सपदि व्यभूषयदसावपि तां । अविलम्बितक्रममहो महतामितरेतरकृतिमच्चरितं ||</v>
      </c>
      <c r="B6646" s="4" t="s">
        <v>2</v>
      </c>
      <c r="C6646" s="4"/>
    </row>
    <row r="6647" spans="1:3" ht="24" customHeight="1">
      <c r="A6647" s="4" t="str">
        <f ca="1">IFERROR(__xludf.DUMMYFUNCTION("""COMPUTED_VALUE"""),"दिवसं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||")</f>
        <v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||</v>
      </c>
      <c r="B6647" s="4" t="s">
        <v>2</v>
      </c>
      <c r="C6647" s="4"/>
    </row>
    <row r="6648" spans="1:3" ht="24" customHeight="1">
      <c r="A6648" s="4" t="str">
        <f ca="1">IFERROR(__xludf.DUMMYFUNCTION("""COMPUTED_VALUE"""),"प्रतिकामिनीति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||")</f>
        <v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||</v>
      </c>
      <c r="B6648" s="4" t="s">
        <v>20</v>
      </c>
      <c r="C6648" s="4"/>
    </row>
    <row r="6649" spans="1:3" ht="24" customHeight="1">
      <c r="A6649" s="4" t="str">
        <f ca="1">IFERROR(__xludf.DUMMYFUNCTION("""COMPUTED_VALUE"""),"अमृतद्रवैर्विदधब्जदृशाममपमार्गमोषधिपतिः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||")</f>
        <v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||</v>
      </c>
      <c r="B6649" s="4" t="s">
        <v>13</v>
      </c>
      <c r="C6649" s="4"/>
    </row>
    <row r="6650" spans="1:3" ht="24" customHeight="1">
      <c r="A6650" s="4" t="str">
        <f ca="1">IFERROR(__xludf.DUMMYFUNCTION("""COMPUTED_VALUE"""),"अमलात्मसु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||")</f>
        <v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||</v>
      </c>
      <c r="B6650" s="4" t="s">
        <v>0</v>
      </c>
      <c r="C6650" s="4"/>
    </row>
    <row r="6651" spans="1:3" ht="24" customHeight="1">
      <c r="A6651" s="4" t="str">
        <f ca="1">IFERROR(__xludf.DUMMYFUNCTION("""COMPUTED_VALUE"""),"उपगूढवेलमलघूर्मिभुजैः सरितामचुक्षुपदधीशमपि । रजनीकरः किमिव चित्रमदो यदुरागिणां गणमनङ्गलघुं ||")</f>
        <v>उपगूढवेलमलघूर्मिभुजैः सरितामचुक्षुपदधीशमपि । रजनीकरः किमिव चित्रमदो यदुरागिणां गणमनङ्गलघुं ||</v>
      </c>
      <c r="B6651" s="4" t="s">
        <v>28</v>
      </c>
      <c r="C6651" s="4"/>
    </row>
    <row r="6652" spans="1:3" ht="24" customHeight="1">
      <c r="A6652" s="4" t="str">
        <f ca="1">IFERROR(__xludf.DUMMYFUNCTION("""COMPUTED_VALUE"""),"भवनोदरेषु परिमन्दतया शयितोऽलसः स्फटिकयष्टिरुचः । अवलम्ब्य जालकमुखोपगतानुदतिष्ठदिन्दुकिरणान्मदनः ||")</f>
        <v>भवनोदरेषु परिमन्दतया शयितोऽलसः स्फटिकयष्टिरुचः । अवलम्ब्य जालकमुखोपगतानुदतिष्ठदिन्दुकिरणान्मदनः ||</v>
      </c>
      <c r="B6652" s="4" t="s">
        <v>1</v>
      </c>
      <c r="C6652" s="4"/>
    </row>
    <row r="6653" spans="1:3" ht="24" customHeight="1">
      <c r="A6653" s="4" t="str">
        <f ca="1">IFERROR(__xludf.DUMMYFUNCTION("""COMPUTED_VALUE"""),"अविभावितेषुविषयः प्रथमं मदनोऽपि नूनमभवत्तमसा । उदिते दिशः प्रकटयत्यमुना यदघर्मधाम्नि धनुराचकृषे ||")</f>
        <v>अविभावितेषुविषयः प्रथमं मदनोऽपि नूनमभवत्तमसा । उदिते दिशः प्रकटयत्यमुना यदघर्मधाम्नि धनुराचकृषे ||</v>
      </c>
      <c r="B6653" s="4" t="s">
        <v>13</v>
      </c>
      <c r="C6653" s="4"/>
    </row>
    <row r="6654" spans="1:3" ht="24" customHeight="1">
      <c r="A6654" s="4" t="str">
        <f ca="1">IFERROR(__xludf.DUMMYFUNCTION("""COMPUTED_VALUE"""),"युगपद्विकासमुदयाद्गमिते शशिनः शिलीमुखगणोऽलभत । द्रुतमेत्य पुष्पधनुषो धनुषः कुमुदेऽङ्गनामनसि चावसरं ||")</f>
        <v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||</v>
      </c>
      <c r="B6654" s="4" t="s">
        <v>0</v>
      </c>
      <c r="C6654" s="4"/>
    </row>
    <row r="6655" spans="1:3" ht="24" customHeight="1">
      <c r="A6655" s="4" t="str">
        <f ca="1">IFERROR(__xludf.DUMMYFUNCTION("""COMPUTED_VALUE"""),"ककुभां मुखानि सहसोज्ज्वलयन्दधदाकुलत्वमधिकं रतये । अदिदीपदिन्दुरपरो दहनः कुसुमेषुमत्रिनयनप्रभवः ||")</f>
        <v>ककुभां मुखानि सहसोज्ज्वलयन्दधदाकुलत्वमधिकं रतये । अदिदीपदिन्दुरपरो दहनः कुसुमेषुमत्रिनयनप्रभवः ||</v>
      </c>
      <c r="B6655" s="4" t="s">
        <v>4</v>
      </c>
      <c r="C6655" s="4"/>
    </row>
    <row r="6656" spans="1:3" ht="24" customHeight="1">
      <c r="A6656" s="4" t="str">
        <f ca="1">IFERROR(__xludf.DUMMYFUNCTION("""COMPUTED_VALUE"""),"इति निश्चितप्रियतमागतयः सितदीधितावदयवत्यबलाः । प्रतिकर्म कर्तुमुचक्रमिरे समये हि सर्वमुपकारि कृतं ||")</f>
        <v>इति निश्चितप्रियतमागतयः सितदीधितावदयवत्यबलाः । प्रतिकर्म कर्तुमुचक्रमिरे समये हि सर्वमुपकारि कृतं ||</v>
      </c>
      <c r="B6656" s="4" t="s">
        <v>2</v>
      </c>
      <c r="C6656" s="4"/>
    </row>
    <row r="6657" spans="1:3" ht="24" customHeight="1">
      <c r="A6657" s="4" t="str">
        <f ca="1">IFERROR(__xludf.DUMMYFUNCTION("""COMPUTED_VALUE"""),"सममेकमेव दधतुः सुतनोरु हारभूषणमुरोजतटौ । घटते हि संहततया जनितामिदमेव निर्विरतां दधतोः ||")</f>
        <v>सममेकमेव दधतुः सुतनोरु हारभूषणमुरोजतटौ । घटते हि संहततया जनितामिदमेव निर्विरतां दधतोः ||</v>
      </c>
      <c r="B6657" s="4" t="s">
        <v>2</v>
      </c>
      <c r="C6657" s="4"/>
    </row>
    <row r="6658" spans="1:3" ht="24" customHeight="1">
      <c r="A6658" s="4" t="str">
        <f ca="1">IFERROR(__xludf.DUMMYFUNCTION("""COMPUTED_VALUE"""),"कदलीप्रकाण्डरुचिरोरुतरौ जघनस्थलीपरिसरे महति । रशनाकलापकगुणेन वधूर्मकरध्वजद्विरदमाकलयथ् ||")</f>
        <v>कदलीप्रकाण्डरुचिरोरुतरौ जघनस्थलीपरिसरे महति । रशनाकलापकगुणेन वधूर्मकरध्वजद्विरदमाकलयथ् ||</v>
      </c>
      <c r="B6658" s="4" t="s">
        <v>5</v>
      </c>
      <c r="C6658" s="4"/>
    </row>
    <row r="6659" spans="1:3" ht="24" customHeight="1">
      <c r="A6659" s="4" t="str">
        <f ca="1">IFERROR(__xludf.DUMMYFUNCTION("""COMPUTED_VALUE"""),"अदरेष्वलक्तकरसः सुदृशां विशदं कपोलभुवि लोध्ररजः । नवमञ्जनं नयनपङ्कजयोर्बिभिदे न शङ्खनिहितात्पयसः ||")</f>
        <v>अदरेष्वलक्तकरसः सुदृशां विशदं कपोलभुवि लोध्ररजः । नवमञ्जनं नयनपङ्कजयोर्बिभिदे न शङ्खनिहितात्पयसः ||</v>
      </c>
      <c r="B6659" s="4" t="s">
        <v>18</v>
      </c>
      <c r="C6659" s="4"/>
    </row>
    <row r="6660" spans="1:3" ht="24" customHeight="1">
      <c r="A6660" s="4" t="str">
        <f ca="1">IFERROR(__xludf.DUMMYFUNCTION("""COMPUTED_VALUE"""),"स्फुरदुज्वलाधरदलैर्विसद्दशनांशुकेशकरैः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||")</f>
        <v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||</v>
      </c>
      <c r="B6660" s="4" t="s">
        <v>17</v>
      </c>
      <c r="C6660" s="4"/>
    </row>
    <row r="6661" spans="1:3" ht="24" customHeight="1">
      <c r="A6661" s="4" t="str">
        <f ca="1">IFERROR(__xludf.DUMMYFUNCTION("""COMPUTED_VALUE"""),"भजते विदेशमधिकेन जितस्तदनुप्रवेशमथवा कुशलः । म खमिन्दुरुज्ज्वलकपोलमतः प्रतिमाच्छलेन सुदृशामविशथ् ||")</f>
        <v>भजते विदेशमधिकेन जितस्तदनुप्रवेशमथवा कुशलः । म खमिन्दुरुज्ज्वलकपोलमतः प्रतिमाच्छलेन सुदृशामविशथ् ||</v>
      </c>
      <c r="B6661" s="4" t="s">
        <v>8</v>
      </c>
      <c r="C6661" s="4"/>
    </row>
    <row r="6662" spans="1:3" ht="24" customHeight="1">
      <c r="A6662" s="4" t="str">
        <f ca="1">IFERROR(__xludf.DUMMYFUNCTION("""COMPUTED_VALUE"""),"ध्रुवमागताः प्रतिहतिं कठिने मदनेषवः कुचतटेमहति । इतराङ्गवन्न यदिदं गरिमग्लपितावलग्नमगमत्तनुतां ||")</f>
        <v>ध्रुवमागताः प्रतिहतिं कठिने मदनेषवः कुचतटेमहति । इतराङ्गवन्न यदिदं गरिमग्लपितावलग्नमगमत्तनुतां ||</v>
      </c>
      <c r="B6662" s="4" t="s">
        <v>2</v>
      </c>
      <c r="C6662" s="4"/>
    </row>
    <row r="6663" spans="1:3" ht="24" customHeight="1">
      <c r="A6663" s="4" t="str">
        <f ca="1">IFERROR(__xludf.DUMMYFUNCTION("""COMPUTED_VALUE"""),"न मनोरमास्वपि विशेषविदां निरचेष्ट योग्यमिदमिति । गृहमेष्यति प्रियतमे सुदृशां वसनाङ्गरागसुमनःसु मनः ||")</f>
        <v>न मनोरमास्वपि विशेषविदां निरचेष्ट योग्यमिदमिति । गृहमेष्यति प्रियतमे सुदृशां वसनाङ्गरागसुमनःसु मनः ||</v>
      </c>
      <c r="B6663" s="4" t="s">
        <v>1</v>
      </c>
      <c r="C6663" s="4"/>
    </row>
    <row r="6664" spans="1:3" ht="24" customHeight="1">
      <c r="A6664" s="4" t="str">
        <f ca="1">IFERROR(__xludf.DUMMYFUNCTION("""COMPUTED_VALUE"""),"वपुरन्वलिप्त परिरम्भसुखव्यवधानभीरुकतया न वधूः । क्षमस्य वाढमिदमेव हि यत्प्रियसंगमेष्वनवलेपमदः ||")</f>
        <v>वपुरन्वलिप्त परिरम्भसुखव्यवधानभीरुकतया न वधूः । क्षमस्य वाढमिदमेव हि यत्प्रियसंगमेष्वनवलेपमदः ||</v>
      </c>
      <c r="B6664" s="4" t="s">
        <v>17</v>
      </c>
      <c r="C6664" s="4"/>
    </row>
    <row r="6665" spans="1:3" ht="24" customHeight="1">
      <c r="A6665" s="4" t="str">
        <f ca="1">IFERROR(__xludf.DUMMYFUNCTION("""COMPUTED_VALUE"""),"निजपाणिपल्लवतलस्खलनादभिनासिकविवरमुत्पतितैः । अपरा परीक्ष्य शनकैर्मुमुदे मुखवासमास्यकमलश्वसनैः ||")</f>
        <v>निजपाणिपल्लवतलस्खलनादभिनासिकविवरमुत्पतितैः । अपरा परीक्ष्य शनकैर्मुमुदे मुखवासमास्यकमलश्वसनैः ||</v>
      </c>
      <c r="B6665" s="4" t="s">
        <v>1</v>
      </c>
      <c r="C6665" s="4"/>
    </row>
    <row r="6666" spans="1:3" ht="24" customHeight="1">
      <c r="A6666" s="4" t="str">
        <f ca="1">IFERROR(__xludf.DUMMYFUNCTION("""COMPUTED_VALUE"""),"विधृते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||")</f>
        <v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||</v>
      </c>
      <c r="B6666" s="4" t="s">
        <v>8</v>
      </c>
      <c r="C6666" s="4"/>
    </row>
    <row r="6667" spans="1:3" ht="24" customHeight="1">
      <c r="A6667" s="4" t="str">
        <f ca="1">IFERROR(__xludf.DUMMYFUNCTION("""COMPUTED_VALUE"""),"अधिजानु बाहुमुपधाय नमत्करपल्लवार्पितकपोलतलं । उदकण्ठि कण्ठपरिवर्तिकलस्वरसून्यगानपयापरया ||")</f>
        <v>अधिजानु बाहुमुपधाय नमत्करपल्लवार्पितकपोलतलं । उदकण्ठि कण्ठपरिवर्तिकलस्वरसून्यगानपयापरया ||</v>
      </c>
      <c r="B6667" s="4" t="s">
        <v>5</v>
      </c>
      <c r="C6667" s="4"/>
    </row>
    <row r="6668" spans="1:3" ht="24" customHeight="1">
      <c r="A6668" s="4" t="str">
        <f ca="1">IFERROR(__xludf.DUMMYFUNCTION("""COMPUTED_VALUE"""),"प्रणयप्रकाशनविदो मधुराः सुतरामभीष्टजनचित्तहृतः । प्रजिघाय कान्तमनु मुग्धतरस्तरुणीजनो दृश इवाथ सखीः ||")</f>
        <v>प्रणयप्रकाशनविदो मधुराः सुतरामभीष्टजनचित्तहृतः । प्रजिघाय कान्तमनु मुग्धतरस्तरुणीजनो दृश इवाथ सखीः ||</v>
      </c>
      <c r="B6668" s="4" t="s">
        <v>14</v>
      </c>
      <c r="C6668" s="4"/>
    </row>
    <row r="6669" spans="1:3" ht="24" customHeight="1">
      <c r="A6669" s="4" t="str">
        <f ca="1">IFERROR(__xludf.DUMMYFUNCTION("""COMPUTED_VALUE"""),"न च मेऽवगच्छति यथा लघुतां करुणां यथा च कुरुते स मयि । निपुणं तथैनमुपगम्य वदेरभिदूति काचिदिति संदिदिशे ||")</f>
        <v>न च मेऽवगच्छति यथा लघुतां करुणां यथा च कुरुते स मयि । निपुणं तथैनमुपगम्य वदेरभिदूति काचिदिति संदिदिशे ||</v>
      </c>
      <c r="B6669" s="4" t="s">
        <v>8</v>
      </c>
      <c r="C6669" s="4"/>
    </row>
    <row r="6670" spans="1:3" ht="24" customHeight="1">
      <c r="A6670" s="4" t="str">
        <f ca="1">IFERROR(__xludf.DUMMYFUNCTION("""COMPUTED_VALUE"""),"दयितया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||")</f>
        <v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||</v>
      </c>
      <c r="B6670" s="4" t="s">
        <v>17</v>
      </c>
      <c r="C6670" s="4"/>
    </row>
    <row r="6671" spans="1:3" ht="24" customHeight="1">
      <c r="A6671" s="4" t="str">
        <f ca="1">IFERROR(__xludf.DUMMYFUNCTION("""COMPUTED_VALUE"""),"प्रतिभिद्य कान्तमपराधकृतं यदि तावदस्य पुनरेव मया । क्रियतेऽनुवृत्तिरुचितैव ततः कलयेदमानमनसं सखि मां ||")</f>
        <v>प्रतिभिद्य कान्तमपराधकृतं यदि तावदस्य पुनरेव मया । क्रियतेऽनुवृत्तिरुचितैव ततः कलयेदमानमनसं सखि मां ||</v>
      </c>
      <c r="B6671" s="4" t="s">
        <v>12</v>
      </c>
      <c r="C6671" s="4"/>
    </row>
    <row r="6672" spans="1:3" ht="24" customHeight="1">
      <c r="A6672" s="4" t="str">
        <f ca="1">IFERROR(__xludf.DUMMYFUNCTION("""COMPUTED_VALUE"""),"अवधीर्य धैर्यकलिता दयितं विदधे विरोधमथ तेन सह । तव गोप्यते किमिव कर्तुमिदं न सहास्मि साहसमसाहसिकी ||")</f>
        <v>अवधीर्य धैर्यकलिता दयितं विदधे विरोधमथ तेन सह । तव गोप्यते किमिव कर्तुमिदं न सहास्मि साहसमसाहसिकी ||</v>
      </c>
      <c r="B6672" s="4" t="s">
        <v>19</v>
      </c>
      <c r="C6672" s="4"/>
    </row>
    <row r="6673" spans="1:3" ht="24" customHeight="1">
      <c r="A6673" s="4" t="str">
        <f ca="1">IFERROR(__xludf.DUMMYFUNCTION("""COMPUTED_VALUE"""),"तदुपेत्य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||")</f>
        <v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||</v>
      </c>
      <c r="B6673" s="4" t="s">
        <v>14</v>
      </c>
      <c r="C6673" s="4"/>
    </row>
    <row r="6674" spans="1:3" ht="24" customHeight="1">
      <c r="A6674" s="4" t="str">
        <f ca="1">IFERROR(__xludf.DUMMYFUNCTION("""COMPUTED_VALUE"""),"ननु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||")</f>
        <v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||</v>
      </c>
      <c r="B6674" s="4" t="s">
        <v>0</v>
      </c>
      <c r="C6674" s="4"/>
    </row>
    <row r="6675" spans="1:3" ht="24" customHeight="1">
      <c r="A6675" s="4" t="str">
        <f ca="1">IFERROR(__xludf.DUMMYFUNCTION("""COMPUTED_VALUE"""),"ब्रुवते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||")</f>
        <v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||</v>
      </c>
      <c r="B6675" s="4" t="s">
        <v>9</v>
      </c>
      <c r="C6675" s="4"/>
    </row>
    <row r="6676" spans="1:3" ht="24" customHeight="1">
      <c r="A6676" s="4" t="str">
        <f ca="1">IFERROR(__xludf.DUMMYFUNCTION("""COMPUTED_VALUE"""),"मम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||")</f>
        <v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||</v>
      </c>
      <c r="B6676" s="4" t="s">
        <v>1</v>
      </c>
      <c r="C6676" s="4"/>
    </row>
    <row r="6677" spans="1:3" ht="24" customHeight="1">
      <c r="A6677" s="4" t="str">
        <f ca="1">IFERROR(__xludf.DUMMYFUNCTION("""COMPUTED_VALUE"""),"तव सा कथासु परिघट्टयति श्रवणं यदङ्गुलिमुखेन मुहुः । घनतां ध्रुवं नयति तेन भवद्गुणपूगपूरितमतृप्ततया ||")</f>
        <v>तव सा कथासु परिघट्टयति श्रवणं यदङ्गुलिमुखेन मुहुः । घनतां ध्रुवं नयति तेन भवद्गुणपूगपूरितमतृप्ततया ||</v>
      </c>
      <c r="B6677" s="4" t="s">
        <v>5</v>
      </c>
      <c r="C6677" s="4"/>
    </row>
    <row r="6678" spans="1:3" ht="24" customHeight="1">
      <c r="A6678" s="4" t="str">
        <f ca="1">IFERROR(__xludf.DUMMYFUNCTION("""COMPUTED_VALUE"""),"उपतप्यमानमलघूष्णिभिः श्वसितैः सितेतरसरोजदृशः । द्रवतां न नेतुमधरं क्षमते नवनागवल्लिदलरागरसः ||")</f>
        <v>उपतप्यमानमलघूष्णिभिः श्वसितैः सितेतरसरोजदृशः । द्रवतां न नेतुमधरं क्षमते नवनागवल्लिदलरागरसः ||</v>
      </c>
      <c r="B6678" s="4" t="s">
        <v>18</v>
      </c>
      <c r="C6678" s="4"/>
    </row>
    <row r="6679" spans="1:3" ht="24" customHeight="1">
      <c r="A6679" s="4" t="str">
        <f ca="1">IFERROR(__xludf.DUMMYFUNCTION("""COMPUTED_VALUE"""),"दधति स्फुटं रत्पतेरिषवः शिततां यदुत्पलपलाशदृशः । हृदयं निरन्तरबृहत्कठिनस्तनमणडलावरणमप्यभिदन् ||")</f>
        <v>दधति स्फुटं रत्पतेरिषवः शिततां यदुत्पलपलाशदृशः । हृदयं निरन्तरबृहत्कठिनस्तनमणडलावरणमप्यभिदन् ||</v>
      </c>
      <c r="B6679" s="4" t="s">
        <v>17</v>
      </c>
      <c r="C6679" s="4"/>
    </row>
    <row r="6680" spans="1:3" ht="24" customHeight="1">
      <c r="A6680" s="4" t="str">
        <f ca="1">IFERROR(__xludf.DUMMYFUNCTION("""COMPUTED_VALUE"""),"कुसुमादपि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||")</f>
        <v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||</v>
      </c>
      <c r="B6680" s="4" t="s">
        <v>14</v>
      </c>
      <c r="C6680" s="4"/>
    </row>
    <row r="6681" spans="1:3" ht="24" customHeight="1">
      <c r="A6681" s="4" t="str">
        <f ca="1">IFERROR(__xludf.DUMMYFUNCTION("""COMPUTED_VALUE"""),"विषतां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||")</f>
        <v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||</v>
      </c>
      <c r="B6681" s="4" t="s">
        <v>16</v>
      </c>
      <c r="C6681" s="4"/>
    </row>
    <row r="6682" spans="1:3" ht="24" customHeight="1">
      <c r="A6682" s="4" t="str">
        <f ca="1">IFERROR(__xludf.DUMMYFUNCTION("""COMPUTED_VALUE"""),"उदितं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||")</f>
        <v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||</v>
      </c>
      <c r="B6682" s="4" t="s">
        <v>0</v>
      </c>
      <c r="C6682" s="4"/>
    </row>
    <row r="6683" spans="1:3" ht="24" customHeight="1">
      <c r="A6683" s="4" t="str">
        <f ca="1">IFERROR(__xludf.DUMMYFUNCTION("""COMPUTED_VALUE"""),"दयिताहृतस्य युवभिर्मनसः परिमूढतामिव गतैः प्रथमं । उदिते ततः सपदि लब्धपदैः क्षणदाकरेऽनुपदिभिः प्रयये ||")</f>
        <v>दयिताहृतस्य युवभिर्मनसः परिमूढतामिव गतैः प्रथमं । उदिते ततः सपदि लब्धपदैः क्षणदाकरेऽनुपदिभिः प्रयये ||</v>
      </c>
      <c r="B6683" s="4" t="s">
        <v>5</v>
      </c>
      <c r="C6683" s="4"/>
    </row>
    <row r="6684" spans="1:3" ht="24" customHeight="1">
      <c r="A6684" s="4" t="str">
        <f ca="1">IFERROR(__xludf.DUMMYFUNCTION("""COMPUTED_VALUE"""),"निपपात सम्भ्रमभृतः श्रवणादसितभ्रुवः प्रणदितासिकुलं । दयितावलोकविकसन्नयनप्रसरप्रणुन्नमिव वारिरुहं ||")</f>
        <v>निपपात सम्भ्रमभृतः श्रवणादसितभ्रुवः प्रणदितासिकुलं । दयितावलोकविकसन्नयनप्रसरप्रणुन्नमिव वारिरुहं ||</v>
      </c>
      <c r="B6684" s="4" t="s">
        <v>24</v>
      </c>
      <c r="C6684" s="4"/>
    </row>
    <row r="6685" spans="1:3" ht="24" customHeight="1">
      <c r="A6685" s="4" t="str">
        <f ca="1">IFERROR(__xludf.DUMMYFUNCTION("""COMPUTED_VALUE"""),"उपनेतुमुन्नतिमतेव दिवं कुचयोर्युगेन तरसा कलितां । रभसोत्थितामुपगतः सहसा परिरभ्य कञ्चन वधूमरुधथ् ||")</f>
        <v>उपनेतुमुन्नतिमतेव दिवं कुचयोर्युगेन तरसा कलितां । रभसोत्थितामुपगतः सहसा परिरभ्य कञ्चन वधूमरुधथ् ||</v>
      </c>
      <c r="B6685" s="4" t="s">
        <v>20</v>
      </c>
      <c r="C6685" s="4"/>
    </row>
    <row r="6686" spans="1:3" ht="24" customHeight="1">
      <c r="A6686" s="4" t="str">
        <f ca="1">IFERROR(__xludf.DUMMYFUNCTION("""COMPUTED_VALUE"""),"अनुदेहमागतवतः प्रतिमां परिणायकस्य गुरुमुद्वहता । मुकुरेण वेपथुभृतोऽतिभरात्कथमप्यपाति न वधूकरतः ||")</f>
        <v>अनुदेहमागतवतः प्रतिमां परिणायकस्य गुरुमुद्वहता । मुकुरेण वेपथुभृतोऽतिभरात्कथमप्यपाति न वधूकरतः ||</v>
      </c>
      <c r="B6686" s="4" t="s">
        <v>2</v>
      </c>
      <c r="C6686" s="4"/>
    </row>
    <row r="6687" spans="1:3" ht="24" customHeight="1">
      <c r="A6687" s="4" t="str">
        <f ca="1">IFERROR(__xludf.DUMMYFUNCTION("""COMPUTED_VALUE"""),"अवनम्य वक्षसि निमग्नकुचद्वितयेन गाढमुपगूढवता । दयितेन तत्क्षणचलद्रशनाकलकिङ्किणीरवमुदासि वधूः ||")</f>
        <v>अवनम्य वक्षसि निमग्नकुचद्वितयेन गाढमुपगूढवता । दयितेन तत्क्षणचलद्रशनाकलकिङ्किणीरवमुदासि वधूः ||</v>
      </c>
      <c r="B6687" s="4" t="s">
        <v>20</v>
      </c>
      <c r="C6687" s="4"/>
    </row>
    <row r="6688" spans="1:3" ht="24" customHeight="1">
      <c r="A6688" s="4" t="str">
        <f ca="1">IFERROR(__xludf.DUMMYFUNCTION("""COMPUTED_VALUE"""),"कररुद्धनीवि दयितोपगतौ गलितं त्वराविरहितासनया । क्षणदृष्टहाटकशिलासदृशस्फुरदूरुभित्ति वसनं ववसे ||")</f>
        <v>कररुद्धनीवि दयितोपगतौ गलितं त्वराविरहितासनया । क्षणदृष्टहाटकशिलासदृशस्फुरदूरुभित्ति वसनं ववसे ||</v>
      </c>
      <c r="B6688" s="4" t="s">
        <v>18</v>
      </c>
      <c r="C6688" s="4"/>
    </row>
    <row r="6689" spans="1:3" ht="24" customHeight="1">
      <c r="A6689" s="4" t="str">
        <f ca="1">IFERROR(__xludf.DUMMYFUNCTION("""COMPUTED_VALUE"""),"पिदधानमन्वगुपगम्य दृशौ ब्रुवते जनाय वद कोऽयमिति । अभिधातुमध्यवससौ न गिरा पुलकैः प्रियं नववधून्यगदथ् ||")</f>
        <v>पिदधानमन्वगुपगम्य दृशौ ब्रुवते जनाय वद कोऽयमिति । अभिधातुमध्यवससौ न गिरा पुलकैः प्रियं नववधून्यगदथ् ||</v>
      </c>
      <c r="B6689" s="4" t="s">
        <v>17</v>
      </c>
      <c r="C6689" s="4"/>
    </row>
    <row r="6690" spans="1:3" ht="24" customHeight="1">
      <c r="A6690" s="4" t="str">
        <f ca="1">IFERROR(__xludf.DUMMYFUNCTION("""COMPUTED_VALUE"""),"उदितोरुसादमतिवेपथुमत्सुदृशोऽभिभर्तृ विधुरं त्रपया । वपुरादरातिशयशंसि पुनः प्रतिपत्तिमूढमपि वाढमभूथ् ||")</f>
        <v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वाढमभूथ् ||</v>
      </c>
      <c r="B6690" s="4" t="s">
        <v>6</v>
      </c>
      <c r="C6690" s="4"/>
    </row>
    <row r="6691" spans="1:3" ht="24" customHeight="1">
      <c r="A6691" s="4" t="str">
        <f ca="1">IFERROR(__xludf.DUMMYFUNCTION("""COMPUTED_VALUE"""),"पिमन्धराभिरलघूरुभरादधिवेश्म पत्युरुपचारविधौ । स्खलिताभिरप्यनुपदं प्रमदाः प्रणयातिभूमिमगमन्गतिभिः ||")</f>
        <v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||</v>
      </c>
      <c r="B6691" s="4" t="s">
        <v>6</v>
      </c>
      <c r="C6691" s="4"/>
    </row>
    <row r="6692" spans="1:3" ht="24" customHeight="1">
      <c r="A6692" s="4" t="str">
        <f ca="1">IFERROR(__xludf.DUMMYFUNCTION("""COMPUTED_VALUE"""),"मधुरान्नतभ्रू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||")</f>
        <v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||</v>
      </c>
      <c r="B6692" s="4" t="s">
        <v>1</v>
      </c>
      <c r="C6692" s="4"/>
    </row>
    <row r="6693" spans="1:3" ht="24" customHeight="1">
      <c r="A6693" s="4" t="str">
        <f ca="1">IFERROR(__xludf.DUMMYFUNCTION("""COMPUTED_VALUE"""),"तदयुक्तमङ्ग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||")</f>
        <v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||</v>
      </c>
      <c r="B6693" s="4" t="s">
        <v>17</v>
      </c>
      <c r="C6693" s="4"/>
    </row>
    <row r="6694" spans="1:3" ht="24" customHeight="1">
      <c r="A6694" s="4" t="str">
        <f ca="1">IFERROR(__xludf.DUMMYFUNCTION("""COMPUTED_VALUE"""),"न विभावयत्यनिशमक्षिगतामपि मां भवानतिसमीपतया । हृदयस्थितामपि पुनः परितः कथमीक्षते बहिरभीष्टतामां ||")</f>
        <v>न विभावयत्यनिशमक्षिगतामपि मां भवानतिसमीपतया । हृदयस्थितामपि पुनः परितः कथमीक्षते बहिरभीष्टतामां ||</v>
      </c>
      <c r="B6694" s="4" t="s">
        <v>12</v>
      </c>
      <c r="C6694" s="4"/>
    </row>
    <row r="6695" spans="1:3" ht="24" customHeight="1">
      <c r="A6695" s="4" t="str">
        <f ca="1">IFERROR(__xludf.DUMMYFUNCTION("""COMPUTED_VALUE"""),"इति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||")</f>
        <v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||</v>
      </c>
      <c r="B6695" s="4" t="s">
        <v>7</v>
      </c>
      <c r="C6695" s="4"/>
    </row>
    <row r="6696" spans="1:3" ht="24" customHeight="1">
      <c r="A6696" s="4" t="str">
        <f ca="1">IFERROR(__xludf.DUMMYFUNCTION("""COMPUTED_VALUE"""),"अपयाति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||")</f>
        <v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||</v>
      </c>
      <c r="B6696" s="4" t="s">
        <v>9</v>
      </c>
      <c r="C6696" s="4"/>
    </row>
    <row r="6697" spans="1:3" ht="24" customHeight="1">
      <c r="A6697" s="4" t="str">
        <f ca="1">IFERROR(__xludf.DUMMYFUNCTION("""COMPUTED_VALUE"""),"आलोक्य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||")</f>
        <v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||</v>
      </c>
      <c r="B6697" s="4" t="s">
        <v>5</v>
      </c>
      <c r="C6697" s="4"/>
    </row>
    <row r="6698" spans="1:3" ht="24" customHeight="1">
      <c r="A6698" s="4" t="str">
        <f ca="1">IFERROR(__xludf.DUMMYFUNCTION("""COMPUTED_VALUE"""),"सुदृशः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||")</f>
        <v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||</v>
      </c>
      <c r="B6698" s="4" t="s">
        <v>5</v>
      </c>
      <c r="C6698" s="4"/>
    </row>
    <row r="6699" spans="1:3" ht="24" customHeight="1">
      <c r="A6699" s="4" t="str">
        <f ca="1">IFERROR(__xludf.DUMMYFUNCTION("""COMPUTED_VALUE"""),"दधत्युरोजद्वयमुर्वशीतलं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||")</f>
        <v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||</v>
      </c>
      <c r="B6699" s="4" t="s">
        <v>1</v>
      </c>
      <c r="C6699" s="4"/>
    </row>
    <row r="6700" spans="1:3" ht="24" customHeight="1">
      <c r="A6700" s="4" t="str">
        <f ca="1">IFERROR(__xludf.DUMMYFUNCTION("""COMPUTED_VALUE"""),"इत्थं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||")</f>
        <v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||</v>
      </c>
      <c r="B6700" s="4" t="s">
        <v>18</v>
      </c>
      <c r="C6700" s="4"/>
    </row>
    <row r="6701" spans="1:3" ht="24" customHeight="1">
      <c r="A6701" s="4" t="str">
        <f ca="1">IFERROR(__xludf.DUMMYFUNCTION("""COMPUTED_VALUE"""),"सञ्जितानि सुरभीण्यथ यूनामुल्लसन्नयनवारिरुहाणि । आयुषः शुघटितानि सुरायाः पात्रतां प्रियतमावदनानि ||")</f>
        <v>सञ्जितानि सुरभीण्यथ यूनामुल्लसन्नयनवारिरुहाणि । आयुषः शुघटितानि सुरायाः पात्रतां प्रियतमावदनानि ||</v>
      </c>
      <c r="B6701" s="4" t="s">
        <v>1</v>
      </c>
      <c r="C6701" s="4"/>
    </row>
    <row r="6702" spans="1:3" ht="24" customHeight="1">
      <c r="A6702" s="4" t="str">
        <f ca="1">IFERROR(__xludf.DUMMYFUNCTION("""COMPUTED_VALUE"""),"सोपचारमुपशान्तविचारं सानुतर्षमनुतर्षपदेन । ते मुहूर्तमथ मूर्तमपीप्यन्प्रेम मानमवधूय वधूः स्वाः ||")</f>
        <v>सोपचारमुपशान्तविचारं सानुतर्षमनुतर्षपदेन । ते मुहूर्तमथ मूर्तमपीप्यन्प्रेम मानमवधूय वधूः स्वाः ||</v>
      </c>
      <c r="B6702" s="4" t="s">
        <v>4</v>
      </c>
      <c r="C6702" s="4"/>
    </row>
    <row r="6703" spans="1:3" ht="24" customHeight="1">
      <c r="A6703" s="4" t="str">
        <f ca="1">IFERROR(__xludf.DUMMYFUNCTION("""COMPUTED_VALUE"""),"कान्तकान्तवदनप्रतिबिम्बे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||")</f>
        <v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||</v>
      </c>
      <c r="B6703" s="4" t="s">
        <v>15</v>
      </c>
      <c r="C6703" s="4"/>
    </row>
    <row r="6704" spans="1:3" ht="24" customHeight="1">
      <c r="A6704" s="4" t="str">
        <f ca="1">IFERROR(__xludf.DUMMYFUNCTION("""COMPUTED_VALUE"""),"कापिशायनसुगन्धि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||")</f>
        <v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||</v>
      </c>
      <c r="B6704" s="4" t="s">
        <v>0</v>
      </c>
      <c r="C6704" s="4"/>
    </row>
    <row r="6705" spans="1:3" ht="24" customHeight="1">
      <c r="A6705" s="4" t="str">
        <f ca="1">IFERROR(__xludf.DUMMYFUNCTION("""COMPUTED_VALUE"""),"बिम्बितं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||")</f>
        <v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||</v>
      </c>
      <c r="B6705" s="4" t="s">
        <v>19</v>
      </c>
      <c r="C6705" s="4"/>
    </row>
    <row r="6706" spans="1:3" ht="24" customHeight="1">
      <c r="A6706" s="4" t="str">
        <f ca="1">IFERROR(__xludf.DUMMYFUNCTION("""COMPUTED_VALUE"""),"दत्तमिष्टतमया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||")</f>
        <v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||</v>
      </c>
      <c r="B6706" s="4" t="s">
        <v>1</v>
      </c>
      <c r="C6706" s="4"/>
    </row>
    <row r="6707" spans="1:3" ht="24" customHeight="1">
      <c r="A6707" s="4" t="str">
        <f ca="1">IFERROR(__xludf.DUMMYFUNCTION("""COMPUTED_VALUE"""),"स्वेदनेन सुतनोरविचारादोष्ठतः समचरिष्ट रसोऽत्र । अन्यमन्यदिव यन्मधु यूनः स्वादमिष्टमतनिष्ट तदेव ||")</f>
        <v>स्वेदनेन सुतनोरविचारादोष्ठतः समचरिष्ट रसोऽत्र । अन्यमन्यदिव यन्मधु यूनः स्वादमिष्टमतनिष्ट तदेव ||</v>
      </c>
      <c r="B6707" s="4" t="s">
        <v>4</v>
      </c>
      <c r="C6707" s="4"/>
    </row>
    <row r="6708" spans="1:3" ht="24" customHeight="1">
      <c r="A6708" s="4" t="str">
        <f ca="1">IFERROR(__xludf.DUMMYFUNCTION("""COMPUTED_VALUE"""),"बिभ्रतौ मधुरतामतिमात्रं रागिभिर्युगपदेव पपाते । आननैर्मधुरसो विकसद्भिर्नासिकाभिरसितोत्पलगन्धः ||")</f>
        <v>बिभ्रतौ मधुरतामतिमात्रं रागिभिर्युगपदेव पपाते । आननैर्मधुरसो विकसद्भिर्नासिकाभिरसितोत्पलगन्धः ||</v>
      </c>
      <c r="B6708" s="4" t="s">
        <v>20</v>
      </c>
      <c r="C6708" s="4"/>
    </row>
    <row r="6709" spans="1:3" ht="24" customHeight="1">
      <c r="A6709" s="4" t="str">
        <f ca="1">IFERROR(__xludf.DUMMYFUNCTION("""COMPUTED_VALUE"""),"पत्रिवत्यभिमते मधुतुल्यस्वादमोष्ठकं विददङ्क्षौ । लभ्यते स्म परिरक्ततयात्मा यावकेन वियतापि युवत्याः ||")</f>
        <v>पत्रिवत्यभिमते मधुतुल्यस्वादमोष्ठकं विददङ्क्षौ । लभ्यते स्म परिरक्ततयात्मा यावकेन वियतापि युवत्याः ||</v>
      </c>
      <c r="B6709" s="4" t="s">
        <v>5</v>
      </c>
      <c r="C6709" s="4"/>
    </row>
    <row r="6710" spans="1:3" ht="24" customHeight="1">
      <c r="A6710" s="4" t="str">
        <f ca="1">IFERROR(__xludf.DUMMYFUNCTION("""COMPUTED_VALUE"""),"कस्यचित्समदनं मदनीयप्रेयसीवदनपानपरस्य । स्वादितः सकृदिवासव एव प्रत्युत क्षणविदंशपदेऽभूत् ||")</f>
        <v>कस्यचित्समदनं मदनीयप्रेयसीवदनपानपरस्य । स्वादितः सकृदिवासव एव प्रत्युत क्षणविदंशपदेऽभूत् ||</v>
      </c>
      <c r="B6710" s="4" t="s">
        <v>6</v>
      </c>
      <c r="C6710" s="4"/>
    </row>
    <row r="6711" spans="1:3" ht="24" customHeight="1">
      <c r="A6711" s="4" t="str">
        <f ca="1">IFERROR(__xludf.DUMMYFUNCTION("""COMPUTED_VALUE"""),"पीतशीतमधुरैर्मिथुनानामाननैः परिहृतं चषकान्तः । व्रीडया रुददिवालिविरावैर्नीलनीरजमगच्छदधस्तात् ||")</f>
        <v>पीतशीतमधुरैर्मिथुनानामाननैः परिहृतं चषकान्तः । व्रीडया रुददिवालिविरावैर्नीलनीरजमगच्छदधस्तात् ||</v>
      </c>
      <c r="B6711" s="4" t="s">
        <v>2</v>
      </c>
      <c r="C6711" s="4"/>
    </row>
    <row r="6712" spans="1:3" ht="24" customHeight="1">
      <c r="A6712" s="4" t="str">
        <f ca="1">IFERROR(__xludf.DUMMYFUNCTION("""COMPUTED_VALUE"""),"प्रातिभत्रिसरकेण गतानां वक्रवाक्यरचनारमणीयः । गूढसूचितरहस्यसहासः सुभ्रुवां प्रववृते परिहासः ||")</f>
        <v>प्रातिभत्रिसरकेण गतानां वक्रवाक्यरचनारमणीयः । गूढसूचितरहस्यसहासः सुभ्रुवां प्रववृते परिहासः ||</v>
      </c>
      <c r="B6712" s="4" t="s">
        <v>18</v>
      </c>
      <c r="C6712" s="4"/>
    </row>
    <row r="6713" spans="1:3" ht="24" customHeight="1">
      <c r="A6713" s="4" t="str">
        <f ca="1">IFERROR(__xludf.DUMMYFUNCTION("""COMPUTED_VALUE"""),"हावकारि हसितं वचनानां खौशलं दृशि विकारविशेषाः । चकिरे भृशमृजोरपि वध्वाः कामिनेव तरुणेन मदेन ||")</f>
        <v>हावकारि हसितं वचनानां खौशलं दृशि विकारविशेषाः । चकिरे भृशमृजोरपि वध्वाः कामिनेव तरुणेन मदेन ||</v>
      </c>
      <c r="B6713" s="4" t="s">
        <v>1</v>
      </c>
      <c r="C6713" s="4"/>
    </row>
    <row r="6714" spans="1:3" ht="24" customHeight="1">
      <c r="A6714" s="4" t="str">
        <f ca="1">IFERROR(__xludf.DUMMYFUNCTION("""COMPUTED_VALUE"""),"अप्रसन्नमपराद्धरि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||")</f>
        <v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||</v>
      </c>
      <c r="B6714" s="4" t="s">
        <v>0</v>
      </c>
      <c r="C6714" s="4"/>
    </row>
    <row r="6715" spans="1:3" ht="24" customHeight="1">
      <c r="A6715" s="4" t="str">
        <f ca="1">IFERROR(__xludf.DUMMYFUNCTION("""COMPUTED_VALUE"""),"सन्तमेव चिरप्रकृतत्वादप्रकाशितमद्द्युतङ्गे । विभ्रमं मधुमदः प्रमदानां धातुलीनमुपसर्ग इवार्थं ||")</f>
        <v>सन्तमेव चिरप्रकृतत्वादप्रकाशितमद्द्युतङ्गे । विभ्रमं मधुमदः प्रमदानां धातुलीनमुपसर्ग इवार्थं ||</v>
      </c>
      <c r="B6715" s="4" t="s">
        <v>10</v>
      </c>
      <c r="C6715" s="4"/>
    </row>
    <row r="6716" spans="1:3" ht="24" customHeight="1">
      <c r="A6716" s="4" t="str">
        <f ca="1">IFERROR(__xludf.DUMMYFUNCTION("""COMPUTED_VALUE"""),"सावशेषपदमुक्तमुपेक्षा स्रस्तमाल्यवसनाभरणेषु । गन्तुमुत्थिमकारणतः स्म द्योतयन्ति मदविभ्रममासां ||")</f>
        <v>सावशेषपदमुक्तमुपेक्षा स्रस्तमाल्यवसनाभरणेषु । गन्तुमुत्थिमकारणतः स्म द्योतयन्ति मदविभ्रममासां ||</v>
      </c>
      <c r="B6716" s="4" t="s">
        <v>18</v>
      </c>
      <c r="C6716" s="4"/>
    </row>
    <row r="6717" spans="1:3" ht="24" customHeight="1">
      <c r="A6717" s="4" t="str">
        <f ca="1">IFERROR(__xludf.DUMMYFUNCTION("""COMPUTED_VALUE"""),"मद्यमन्दविगलत्त्रपमीषच्चक्षुरुन्मिषितपक्ष्म दधत्या । वीक्ष्यते स्म शनकैर्नववध्वा कामिन्ॐउखमध्ॐउखयैव ||")</f>
        <v>मद्यमन्दविगलत्त्रपमीषच्चक्षुरुन्मिषितपक्ष्म दधत्या । वीक्ष्यते स्म शनकैर्नववध्वा कामिन्ॐउखमध्ॐउखयैव ||</v>
      </c>
      <c r="B6717" s="4" t="s">
        <v>4</v>
      </c>
      <c r="C6717" s="4"/>
    </row>
    <row r="6718" spans="1:3" ht="24" customHeight="1">
      <c r="A6718" s="4" t="str">
        <f ca="1">IFERROR(__xludf.DUMMYFUNCTION("""COMPUTED_VALUE"""),"या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||")</f>
        <v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||</v>
      </c>
      <c r="B6718" s="4" t="s">
        <v>4</v>
      </c>
      <c r="C6718" s="4"/>
    </row>
    <row r="6719" spans="1:3" ht="24" customHeight="1">
      <c r="A6719" s="4" t="str">
        <f ca="1">IFERROR(__xludf.DUMMYFUNCTION("""COMPUTED_VALUE"""),"छादितः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||")</f>
        <v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||</v>
      </c>
      <c r="B6719" s="4" t="s">
        <v>15</v>
      </c>
      <c r="C6719" s="4"/>
    </row>
    <row r="6720" spans="1:3" ht="24" customHeight="1">
      <c r="A6720" s="4" t="str">
        <f ca="1">IFERROR(__xludf.DUMMYFUNCTION("""COMPUTED_VALUE"""),"आगतानगणितप्रतियातान्वल्लभानभिसिसारयिषूणां । प्रापि चेतसि सविप्रतिसारे सुभ्रुवामवसरः सरकेण ||")</f>
        <v>आगतानगणितप्रतियातान्वल्लभानभिसिसारयिषूणां । प्रापि चेतसि सविप्रतिसारे सुभ्रुवामवसरः सरकेण ||</v>
      </c>
      <c r="B6720" s="4" t="s">
        <v>7</v>
      </c>
      <c r="C6720" s="4"/>
    </row>
    <row r="6721" spans="1:3" ht="24" customHeight="1">
      <c r="A6721" s="4" t="str">
        <f ca="1">IFERROR(__xludf.DUMMYFUNCTION("""COMPUTED_VALUE"""),"मा पुनस्तमभिसीसरमागस्कारिणं मदविमोहितचित्ता । योषिदित्यभिलाष न हालां दुस्त्यजः खलु सुखादपि मानः ||")</f>
        <v>मा पुनस्तमभिसीसरमागस्कारिणं मदविमोहितचित्ता । योषिदित्यभिलाष न हालां दुस्त्यजः खलु सुखादपि मानः ||</v>
      </c>
      <c r="B6721" s="4" t="s">
        <v>1</v>
      </c>
      <c r="C6721" s="4"/>
    </row>
    <row r="6722" spans="1:3" ht="24" customHeight="1">
      <c r="A6722" s="4" t="str">
        <f ca="1">IFERROR(__xludf.DUMMYFUNCTION("""COMPUTED_VALUE"""),"ह्रीविमोहमहरद्दयितानामन्तिकं रतिसुखाय निनाय । सप्रसादमिव सेवितमासीत्सद्य एव फलदं मधु तासां ||")</f>
        <v>ह्रीविमोहमहरद्दयितानामन्तिकं रतिसुखाय निनाय । सप्रसादमिव सेवितमासीत्सद्य एव फलदं मधु तासां ||</v>
      </c>
      <c r="B6722" s="4" t="s">
        <v>18</v>
      </c>
      <c r="C6722" s="4"/>
    </row>
    <row r="6723" spans="1:3" ht="24" customHeight="1">
      <c r="A6723" s="4" t="str">
        <f ca="1">IFERROR(__xludf.DUMMYFUNCTION("""COMPUTED_VALUE"""),"दत्तमात्तमदनं दयितेन व्याप्तमतिशाकेन रसेन । सस्वदे मुखसुरं प्रमदाभ्यो नाम रूढमपि च व्युदपादि ||")</f>
        <v>दत्तमात्तमदनं दयितेन व्याप्तमतिशाकेन रसेन । सस्वदे मुखसुरं प्रमदाभ्यो नाम रूढमपि च व्युदपादि ||</v>
      </c>
      <c r="B6723" s="4" t="s">
        <v>17</v>
      </c>
      <c r="C6723" s="4"/>
    </row>
    <row r="6724" spans="1:3" ht="24" customHeight="1">
      <c r="A6724" s="4" t="str">
        <f ca="1">IFERROR(__xludf.DUMMYFUNCTION("""COMPUTED_VALUE"""),"लब्धसौरभगुणो मदिराणामङ्गनास्यचषकस्य च गन्धः । मोदितालिरितरेतरयोगादन्यतामभजतातिशयं नु ||")</f>
        <v>लब्धसौरभगुणो मदिराणामङ्गनास्यचषकस्य च गन्धः । मोदितालिरितरेतरयोगादन्यतामभजतातिशयं नु ||</v>
      </c>
      <c r="B6724" s="4" t="s">
        <v>1</v>
      </c>
      <c r="C6724" s="4"/>
    </row>
    <row r="6725" spans="1:3" ht="24" customHeight="1">
      <c r="A6725" s="4" t="str">
        <f ca="1">IFERROR(__xludf.DUMMYFUNCTION("""COMPUTED_VALUE"""),"मानभङ्गपचटुना सुरतेच्छां तन्वता प्रथयता दृशि रागं । लेभिरे सपदि भावयतान्तर्योषितः प्रणयिनेव मदेन ||")</f>
        <v>मानभङ्गपचटुना सुरतेच्छां तन्वता प्रथयता दृशि रागं । लेभिरे सपदि भावयतान्तर्योषितः प्रणयिनेव मदेन ||</v>
      </c>
      <c r="B6725" s="4" t="s">
        <v>1</v>
      </c>
      <c r="C6725" s="4"/>
    </row>
    <row r="6726" spans="1:3" ht="24" customHeight="1">
      <c r="A6726" s="4" t="str">
        <f ca="1">IFERROR(__xludf.DUMMYFUNCTION("""COMPUTED_VALUE"""),"पानधौतनवयावकरागं सुभ्रुवो निभृतचुम्बनदक्षाः । प्रेयसामधररागरसेन स्वं किलाधरमुपालि ररञ्जुः ||")</f>
        <v>पानधौतनवयावकरागं सुभ्रुवो निभृतचुम्बनदक्षाः । प्रेयसामधररागरसेन स्वं किलाधरमुपालि ररञ्जुः ||</v>
      </c>
      <c r="B6726" s="4" t="s">
        <v>3</v>
      </c>
      <c r="C6726" s="4"/>
    </row>
    <row r="6727" spans="1:3" ht="24" customHeight="1">
      <c r="A6727" s="4" t="str">
        <f ca="1">IFERROR(__xludf.DUMMYFUNCTION("""COMPUTED_VALUE"""),"अर्पितं रसितवत्यपि नामग्राहमन्ययुवतेर्दयितेन । उज्झति स्म मदमप्यपिबन्ती वीक्ष्य मद्यमितरा तु ममाद ||")</f>
        <v>अर्पितं रसितवत्यपि नामग्राहमन्ययुवतेर्दयितेन । उज्झति स्म मदमप्यपिबन्ती वीक्ष्य मद्यमितरा तु ममाद ||</v>
      </c>
      <c r="B6727" s="4" t="s">
        <v>17</v>
      </c>
      <c r="C6727" s="4"/>
    </row>
    <row r="6728" spans="1:3" ht="24" customHeight="1">
      <c r="A6728" s="4" t="str">
        <f ca="1">IFERROR(__xludf.DUMMYFUNCTION("""COMPUTED_VALUE"""),"अन्यान्यवनितागतचित्तं चित्तनाथमभिशङ्कितवत्या । पीतभूरिसुरयापि नमेदे निर्वृतिर्हिमनसो मदहेतुः ||")</f>
        <v>अन्यान्यवनितागतचित्तं चित्तनाथमभिशङ्कितवत्या । पीतभूरिसुरयापि नमेदे निर्वृतिर्हिमनसो मदहेतुः ||</v>
      </c>
      <c r="B6728" s="4" t="s">
        <v>2</v>
      </c>
      <c r="C6728" s="4"/>
    </row>
    <row r="6729" spans="1:3" ht="24" customHeight="1">
      <c r="A6729" s="4" t="str">
        <f ca="1">IFERROR(__xludf.DUMMYFUNCTION("""COMPUTED_VALUE"""),"कोपवत्यनुनयानगृहीत्वा प्रागथो मधुमदाहितमोहा । कोपितं विरहखेदितचित्ता कान्तमेव कलयन्त्यनुनिन्ये ||")</f>
        <v>कोपवत्यनुनयानगृहीत्वा प्रागथो मधुमदाहितमोहा । कोपितं विरहखेदितचित्ता कान्तमेव कलयन्त्यनुनिन्ये ||</v>
      </c>
      <c r="B6729" s="4" t="s">
        <v>5</v>
      </c>
      <c r="C6729" s="4"/>
    </row>
    <row r="6730" spans="1:3" ht="24" customHeight="1">
      <c r="A6730" s="4" t="str">
        <f ca="1">IFERROR(__xludf.DUMMYFUNCTION("""COMPUTED_VALUE"""),"कुर्वता मुकुलिताक्षियुगानामङ्गसादमवसादितवगचां । ईर्ष्ययेव हरता ह्रियमासां तद्गुणः स्वयमकारि मदेन ||")</f>
        <v>कुर्वता मुकुलिताक्षियुगानामङ्गसादमवसादितवगचां । ईर्ष्ययेव हरता ह्रियमासां तद्गुणः स्वयमकारि मदेन ||</v>
      </c>
      <c r="B6730" s="4" t="s">
        <v>1</v>
      </c>
      <c r="C6730" s="4"/>
    </row>
    <row r="6731" spans="1:3" ht="24" customHeight="1">
      <c r="A6731" s="4" t="str">
        <f ca="1">IFERROR(__xludf.DUMMYFUNCTION("""COMPUTED_VALUE"""),"गण्डभित्तिषु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पश्चाल्लोध्रचूर्णतिलकाकृतिरासीथ् ||")</f>
        <v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पश्चाल्लोध्रचूर्णतिलकाकृतिरासीथ् ||</v>
      </c>
      <c r="B6731" s="4" t="s">
        <v>18</v>
      </c>
      <c r="C6731" s="4"/>
    </row>
    <row r="6732" spans="1:3" ht="24" customHeight="1">
      <c r="A6732" s="4" t="str">
        <f ca="1">IFERROR(__xludf.DUMMYFUNCTION("""COMPUTED_VALUE"""),"उद्धतैरिव परस्परसङ्गादीरितान्युभयतः कुचकुम्भैः । योषितामतिमदेन जुघूर्णुर्विभ्रमातिशयपुंसि वपूंषि ||")</f>
        <v>उद्धतैरिव परस्परसङ्गादीरितान्युभयतः कुचकुम्भैः । योषितामतिमदेन जुघूर्णुर्विभ्रमातिशयपुंसि वपूंषि ||</v>
      </c>
      <c r="B6732" s="4" t="s">
        <v>13</v>
      </c>
      <c r="C6732" s="4"/>
    </row>
    <row r="6733" spans="1:3" ht="24" customHeight="1">
      <c r="A6733" s="4" t="str">
        <f ca="1">IFERROR(__xludf.DUMMYFUNCTION("""COMPUTED_VALUE"""),"चारुता वपुरभूषयदासां तामनूननवयौवनयोगः । तं पुनर्मकरकेतनलक्षक्ष्मीस्तां मदो दयितसंगमभूषः ||")</f>
        <v>चारुता वपुरभूषयदासां तामनूननवयौवनयोगः । तं पुनर्मकरकेतनलक्षक्ष्मीस्तां मदो दयितसंगमभूषः ||</v>
      </c>
      <c r="B6733" s="4" t="s">
        <v>13</v>
      </c>
      <c r="C6733" s="4"/>
    </row>
    <row r="6734" spans="1:3" ht="24" customHeight="1">
      <c r="A6734" s="4" t="str">
        <f ca="1">IFERROR(__xludf.DUMMYFUNCTION("""COMPUTED_VALUE"""),"क्षीबतामनुगतास्वनुवेलं तासु रोषपरितोषवतीषु । अग्रहीन्न सशरं धनुरुज्झामास नूज्झितनिषङ्गमनङ्गः ||")</f>
        <v>क्षीबतामनुगतास्वनुवेलं तासु रोषपरितोषवतीषु । अग्रहीन्न सशरं धनुरुज्झामास नूज्झितनिषङ्गमनङ्गः ||</v>
      </c>
      <c r="B6734" s="4" t="s">
        <v>15</v>
      </c>
      <c r="C6734" s="4"/>
    </row>
    <row r="6735" spans="1:3" ht="24" customHeight="1">
      <c r="A6735" s="4" t="str">
        <f ca="1">IFERROR(__xludf.DUMMYFUNCTION("""COMPUTED_VALUE"""),"शहङ्गयान्ययुवतौ वनिताभिः प्रत्यभेदि दयितः स्फुटमेव । न क्षमं भवति तत्वविचारे मत्सरेण हतसंवृति चेतः ||")</f>
        <v>शहङ्गयान्ययुवतौ वनिताभिः प्रत्यभेदि दयितः स्फुटमेव । न क्षमं भवति तत्वविचारे मत्सरेण हतसंवृति चेतः ||</v>
      </c>
      <c r="B6735" s="4" t="s">
        <v>2</v>
      </c>
      <c r="C6735" s="4"/>
    </row>
    <row r="6736" spans="1:3" ht="24" customHeight="1">
      <c r="A6736" s="4" t="str">
        <f ca="1">IFERROR(__xludf.DUMMYFUNCTION("""COMPUTED_VALUE"""),"आननैर्विचकसे हृषिताभिर्वल्लभानभि तनूभिरभावि । आर्द्रतां हृदयमाप च रोषो लोलति स्म वचनेषु वधूनां ||")</f>
        <v>आननैर्विचकसे हृषिताभिर्वल्लभानभि तनूभिरभावि । आर्द्रतां हृदयमाप च रोषो लोलति स्म वचनेषु वधूनां ||</v>
      </c>
      <c r="B6736" s="4" t="s">
        <v>1</v>
      </c>
      <c r="C6736" s="4"/>
    </row>
    <row r="6737" spans="1:3" ht="24" customHeight="1">
      <c r="A6737" s="4" t="str">
        <f ca="1">IFERROR(__xludf.DUMMYFUNCTION("""COMPUTED_VALUE"""),"रूपमप्रतिविधानमनोज्ञं प्रेम कार्यमनपेक्ष्य विकासि । चाटु चाकृतकसंभ्रममासां कार्मणत्वमगमन्रमणेषु ||")</f>
        <v>रूपमप्रतिविधानमनोज्ञं प्रेम कार्यमनपेक्ष्य विकासि । चाटु चाकृतकसंभ्रममासां कार्मणत्वमगमन्रमणेषु ||</v>
      </c>
      <c r="B6737" s="4" t="s">
        <v>13</v>
      </c>
      <c r="C6737" s="4"/>
    </row>
    <row r="6738" spans="1:3" ht="24" customHeight="1">
      <c r="A6738" s="4" t="str">
        <f ca="1">IFERROR(__xludf.DUMMYFUNCTION("""COMPUTED_VALUE"""),"लीलयैव सुतनोस्तुलयित्वा गौरवाढ्यमपि लावणिकेन । मानवञ्जनविदा वदनेन क्रीतमेव हृदयं दयितस्य ||")</f>
        <v>लीलयैव सुतनोस्तुलयित्वा गौरवाढ्यमपि लावणिकेन । मानवञ्जनविदा वदनेन क्रीतमेव हृदयं दयितस्य ||</v>
      </c>
      <c r="B6738" s="4" t="s">
        <v>5</v>
      </c>
      <c r="C6738" s="4"/>
    </row>
    <row r="6739" spans="1:3" ht="24" customHeight="1">
      <c r="A6739" s="4" t="str">
        <f ca="1">IFERROR(__xludf.DUMMYFUNCTION("""COMPUTED_VALUE"""),"स्पर्शभाजि विशदच्छविचारौ कल्पिते मृगदृशां सुरताय । सन्नतिं दधति पेतुरजस्रं दृष्टयः प्रियतमे शयने च ||")</f>
        <v>स्पर्शभाजि विशदच्छविचारौ कल्पिते मृगदृशां सुरताय । सन्नतिं दधति पेतुरजस्रं दृष्टयः प्रियतमे शयने च ||</v>
      </c>
      <c r="B6739" s="4" t="s">
        <v>16</v>
      </c>
      <c r="C6739" s="4"/>
    </row>
    <row r="6740" spans="1:3" ht="24" customHeight="1">
      <c r="A6740" s="4" t="str">
        <f ca="1">IFERROR(__xludf.DUMMYFUNCTION("""COMPUTED_VALUE"""),"यूनि रागतरलैरपि तिर्यक्पातिभिः श्रुतिगुणेन युतस्य । दीर्घदर्शिभिरकारि वधूनां लङ्घनं न नयनैः श्रवणस्य ||")</f>
        <v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||</v>
      </c>
      <c r="B6740" s="4" t="s">
        <v>5</v>
      </c>
      <c r="C6740" s="4"/>
    </row>
    <row r="6741" spans="1:3" ht="24" customHeight="1">
      <c r="A6741" s="4" t="str">
        <f ca="1">IFERROR(__xludf.DUMMYFUNCTION("""COMPUTED_VALUE"""),"संकथेच्छुरभिधातुमनीशा संमुखी न च बभूव दिदृक्षुः । स्पर्शनेन दयितस्य नतभ्रूरङ्गचपलापि चकम्पे ||")</f>
        <v>संकथेच्छुरभिधातुमनीशा संमुखी न च बभूव दिदृक्षुः । स्पर्शनेन दयितस्य नतभ्रूरङ्गचपलापि चकम्पे ||</v>
      </c>
      <c r="B6741" s="4" t="s">
        <v>9</v>
      </c>
      <c r="C6741" s="4"/>
    </row>
    <row r="6742" spans="1:3" ht="24" customHeight="1">
      <c r="A6742" s="4" t="str">
        <f ca="1">IFERROR(__xludf.DUMMYFUNCTION("""COMPUTED_VALUE"""),"उत्तरीयविनयात्त्रपमाणा रुन्धती किल तदीक्षणमार्गं । आचरिष्ट विकटेन विवोढुर्वक्षसैव कुचमणडलमन्या ||")</f>
        <v>उत्तरीयविनयात्त्रपमाणा रुन्धती किल तदीक्षणमार्गं । आचरिष्ट विकटेन विवोढुर्वक्षसैव कुचमणडलमन्या ||</v>
      </c>
      <c r="B6742" s="4" t="s">
        <v>5</v>
      </c>
      <c r="C6742" s="4"/>
    </row>
    <row r="6743" spans="1:3" ht="24" customHeight="1">
      <c r="A6743" s="4" t="str">
        <f ca="1">IFERROR(__xludf.DUMMYFUNCTION("""COMPUTED_VALUE"""),"अंशुकं हृतवता तनुबाहुस्वस्तिकापिहितमुग्धकुचाग्रा । भिन्नशङ्खवलयं परिणेत्रा पर्यरम्भि रभसादचिरोढा ||")</f>
        <v>अंशुकं हृतवता तनुबाहुस्वस्तिकापिहितमुग्धकुचाग्रा । भिन्नशङ्खवलयं परिणेत्रा पर्यरम्भि रभसादचिरोढा ||</v>
      </c>
      <c r="B6743" s="4" t="s">
        <v>30</v>
      </c>
      <c r="C6743" s="4"/>
    </row>
    <row r="6744" spans="1:3" ht="24" customHeight="1">
      <c r="A6744" s="4" t="str">
        <f ca="1">IFERROR(__xludf.DUMMYFUNCTION("""COMPUTED_VALUE"""),"संजहार सहसा परिरब्धप्रेयसीषु विरहय्य विरोधं । संहितं रतिपतिः स्मितभिन्नक्रोधमाशु तरुणेषु महेषुं ||")</f>
        <v>संजहार सहसा परिरब्धप्रेयसीषु विरहय्य विरोधं । संहितं रतिपतिः स्मितभिन्नक्रोधमाशु तरुणेषु महेषुं ||</v>
      </c>
      <c r="B6744" s="4" t="s">
        <v>13</v>
      </c>
      <c r="C6744" s="4"/>
    </row>
    <row r="6745" spans="1:3" ht="24" customHeight="1">
      <c r="A6745" s="4" t="str">
        <f ca="1">IFERROR(__xludf.DUMMYFUNCTION("""COMPUTED_VALUE"""),"स्रंसमानमुपयन्तरि वध्वाः श्लिष्टवत्युपसपक्षि रसेन । आत्मनैव रुरुधे कृतिनेव स्वसङ्गि वसनं जघनेन ||")</f>
        <v>स्रंसमानमुपयन्तरि वध्वाः श्लिष्टवत्युपसपक्षि रसेन । आत्मनैव रुरुधे कृतिनेव स्वसङ्गि वसनं जघनेन ||</v>
      </c>
      <c r="B6745" s="4" t="s">
        <v>1</v>
      </c>
      <c r="C6745" s="4"/>
    </row>
    <row r="6746" spans="1:3" ht="24" customHeight="1">
      <c r="A6746" s="4" t="str">
        <f ca="1">IFERROR(__xludf.DUMMYFUNCTION("""COMPUTED_VALUE"""),"पीडिते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||")</f>
        <v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||</v>
      </c>
      <c r="B6746" s="4" t="s">
        <v>5</v>
      </c>
      <c r="C6746" s="4"/>
    </row>
    <row r="6747" spans="1:3" ht="24" customHeight="1">
      <c r="A6747" s="4" t="str">
        <f ca="1">IFERROR(__xludf.DUMMYFUNCTION("""COMPUTED_VALUE"""),"दीपितस्मरमुरस्यपपीडं वल्लभे घनमभिष्वजमाने । वक्रतां न ययतुः कुचकुम्भौ सुभ्रुवः कठिनतातिशयेन ||")</f>
        <v>दीपितस्मरमुरस्यपपीडं वल्लभे घनमभिष्वजमाने । वक्रतां न ययतुः कुचकुम्भौ सुभ्रुवः कठिनतातिशयेन ||</v>
      </c>
      <c r="B6747" s="4" t="s">
        <v>1</v>
      </c>
      <c r="C6747" s="4"/>
    </row>
    <row r="6748" spans="1:3" ht="24" customHeight="1">
      <c r="A6748" s="4" t="str">
        <f ca="1">IFERROR(__xludf.DUMMYFUNCTION("""COMPUTED_VALUE"""),"संप्रवेष्टुमिव योषित ईषुः श्लिष्यतां हृदयमिष्टतमानां । आत्मनः सततमेव तदन्तर्वर्तिनो न खलु नूनमजानन् ||")</f>
        <v>संप्रवेष्टुमिव योषित ईषुः श्लिष्यतां हृदयमिष्टतमानां । आत्मनः सततमेव तदन्तर्वर्तिनो न खलु नूनमजानन् ||</v>
      </c>
      <c r="B6748" s="4" t="s">
        <v>1</v>
      </c>
      <c r="C6748" s="4"/>
    </row>
    <row r="6749" spans="1:3" ht="24" customHeight="1">
      <c r="A6749" s="4" t="str">
        <f ca="1">IFERROR(__xludf.DUMMYFUNCTION("""COMPUTED_VALUE"""),"स्नहनिर्भरमदत्त वधूनामार्द्रतां वपुरसंशयमन्तः । यूनि गाढपरिरम्भिणि वस्त्रक्नोपमम्बु ववृषे यदनेन ||")</f>
        <v>स्नहनिर्भरमदत्त वधूनामार्द्रतां वपुरसंशयमन्तः । यूनि गाढपरिरम्भिणि वस्त्रक्नोपमम्बु ववृषे यदनेन ||</v>
      </c>
      <c r="B6749" s="4" t="s">
        <v>1</v>
      </c>
      <c r="C6749" s="4"/>
    </row>
    <row r="6750" spans="1:3" ht="24" customHeight="1">
      <c r="A6750" s="4" t="str">
        <f ca="1">IFERROR(__xludf.DUMMYFUNCTION("""COMPUTED_VALUE"""),"न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||")</f>
        <v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||</v>
      </c>
      <c r="B6750" s="4" t="s">
        <v>13</v>
      </c>
      <c r="C6750" s="4"/>
    </row>
    <row r="6751" spans="1:3" ht="24" customHeight="1">
      <c r="A6751" s="4" t="str">
        <f ca="1">IFERROR(__xludf.DUMMYFUNCTION("""COMPUTED_VALUE"""),"यत्प्रियव्यतिकराद्वनितानमङ्गजेन पुलकेन बभूवे । प्रापि तेन भृशमुच्छ्वसिभिर्नीविभिः सपदि बन्धनमोक्षः ||")</f>
        <v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||</v>
      </c>
      <c r="B6751" s="4" t="s">
        <v>13</v>
      </c>
      <c r="C6751" s="4"/>
    </row>
    <row r="6752" spans="1:3" ht="24" customHeight="1">
      <c r="A6752" s="4" t="str">
        <f ca="1">IFERROR(__xludf.DUMMYFUNCTION("""COMPUTED_VALUE"""),"ह्रीभरादवनतं परिरम्भे रागवानवटुजेष्ववकृष्य । अर्पितोष्ठदलमाननपद्मं योषितो मुकुलिताक्षमधासीथ् ||")</f>
        <v>ह्रीभरादवनतं परिरम्भे रागवानवटुजेष्ववकृष्य । अर्पितोष्ठदलमाननपद्मं योषितो मुकुलिताक्षमधासीथ् ||</v>
      </c>
      <c r="B6752" s="4" t="s">
        <v>18</v>
      </c>
      <c r="C6752" s="4"/>
    </row>
    <row r="6753" spans="1:3" ht="24" customHeight="1">
      <c r="A6753" s="4" t="str">
        <f ca="1">IFERROR(__xludf.DUMMYFUNCTION("""COMPUTED_VALUE"""),"पल्वोपमितसाम्यसपक्षं दष्टत्यधरबिम्बमभीष्टे । पर्यकूजि सरुजेव तरुण्यास्तारलोलवलयेन करेण ||")</f>
        <v>पल्वोपमितसाम्यसपक्षं दष्टत्यधरबिम्बमभीष्टे । पर्यकूजि सरुजेव तरुण्यास्तारलोलवलयेन करेण ||</v>
      </c>
      <c r="B6753" s="4" t="s">
        <v>7</v>
      </c>
      <c r="C6753" s="4"/>
    </row>
    <row r="6754" spans="1:3" ht="24" customHeight="1">
      <c r="A6754" s="4" t="str">
        <f ca="1">IFERROR(__xludf.DUMMYFUNCTION("""COMPUTED_VALUE"""),"केनचितन्मधुरमुल्बणरागं बाष्पतप्तमधिकं विरहेषु । ओष्ठपल्लवमवाप्य मुहूर्त सुभ्रुवः सरसमक्षि चुचुम्बे ||")</f>
        <v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||</v>
      </c>
      <c r="B6754" s="4" t="s">
        <v>26</v>
      </c>
      <c r="C6754" s="4"/>
    </row>
    <row r="6755" spans="1:3" ht="24" customHeight="1">
      <c r="A6755" s="4" t="str">
        <f ca="1">IFERROR(__xludf.DUMMYFUNCTION("""COMPUTED_VALUE"""),"रेचितं परिजनेन महीयः केवलाभिरतदम्पति धाम । साम्यमाप कमलासखविष्वक्सेनसेवितयुगान्तपयोधेः ||")</f>
        <v>रेचितं परिजनेन महीयः केवलाभिरतदम्पति धाम । साम्यमाप कमलासखविष्वक्सेनसेवितयुगान्तपयोधेः ||</v>
      </c>
      <c r="B6755" s="4" t="s">
        <v>20</v>
      </c>
      <c r="C6755" s="4"/>
    </row>
    <row r="6756" spans="1:3" ht="24" customHeight="1">
      <c r="A6756" s="4" t="str">
        <f ca="1">IFERROR(__xludf.DUMMYFUNCTION("""COMPUTED_VALUE"""),"आवृतान्यपि निरन्तरमुच्चैर्योषितामुरसिजद्वतयेन । रागिणामित इतो विमृशद्भिः पाणिभिर्जगृहिरे हृदयानि ||")</f>
        <v>आवृतान्यपि निरन्तरमुच्चैर्योषितामुरसिजद्वतयेन । रागिणामित इतो विमृशद्भिः पाणिभिर्जगृहिरे हृदयानि ||</v>
      </c>
      <c r="B6756" s="4" t="s">
        <v>1</v>
      </c>
      <c r="C6756" s="4"/>
    </row>
    <row r="6757" spans="1:3" ht="24" customHeight="1">
      <c r="A6757" s="4" t="str">
        <f ca="1">IFERROR(__xludf.DUMMYFUNCTION("""COMPUTED_VALUE"""),"कामिनामसकलानि विभुग्नैः स्वदवारिमृदुभिः करजाग्रैः । आक्रियन्त कठिनेषु कथञ्चित्कामिनीकुचतटेषु पदानि ||")</f>
        <v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||</v>
      </c>
      <c r="B6757" s="4" t="s">
        <v>1</v>
      </c>
      <c r="C6757" s="4"/>
    </row>
    <row r="6758" spans="1:3" ht="24" customHeight="1">
      <c r="A6758" s="4" t="str">
        <f ca="1">IFERROR(__xludf.DUMMYFUNCTION("""COMPUTED_VALUE"""),"सोष्मणः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||")</f>
        <v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||</v>
      </c>
      <c r="B6758" s="4" t="s">
        <v>2</v>
      </c>
      <c r="C6758" s="4"/>
    </row>
    <row r="6759" spans="1:3" ht="24" customHeight="1">
      <c r="A6759" s="4" t="str">
        <f ca="1">IFERROR(__xludf.DUMMYFUNCTION("""COMPUTED_VALUE"""),"आमृशद्भिरभितो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||")</f>
        <v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||</v>
      </c>
      <c r="B6759" s="4" t="s">
        <v>23</v>
      </c>
      <c r="C6759" s="4"/>
    </row>
    <row r="6760" spans="1:3" ht="24" customHeight="1">
      <c r="A6760" s="4" t="str">
        <f ca="1">IFERROR(__xludf.DUMMYFUNCTION("""COMPUTED_VALUE"""),"प्राप्य नाभिनदमज्जनमाशु प्रस्थितं निवसनग्रहणाय । औपनीविकमरुन्ध किल स्त्री वल्लभस्य करमात्मकराभ्यां ||")</f>
        <v>प्राप्य नाभिनदमज्जनमाशु प्रस्थितं निवसनग्रहणाय । औपनीविकमरुन्ध किल स्त्री वल्लभस्य करमात्मकराभ्यां ||</v>
      </c>
      <c r="B6760" s="4" t="s">
        <v>5</v>
      </c>
      <c r="C6760" s="4"/>
    </row>
    <row r="6761" spans="1:3" ht="24" customHeight="1">
      <c r="A6761" s="4" t="str">
        <f ca="1">IFERROR(__xludf.DUMMYFUNCTION("""COMPUTED_VALUE"""),"कामिनः कृतरतोत्सवकालक्षेपमाकुलवधूकरसङ्गि । मेखलागुणविलग्नमसूयां दीर्घसूत्रमकरोत्परिधानं ||")</f>
        <v>कामिनः कृतरतोत्सवकालक्षेपमाकुलवधूकरसङ्गि । मेखलागुणविलग्नमसूयां दीर्घसूत्रमकरोत्परिधानं ||</v>
      </c>
      <c r="B6761" s="4" t="s">
        <v>1</v>
      </c>
      <c r="C6761" s="4"/>
    </row>
    <row r="6762" spans="1:3" ht="24" customHeight="1">
      <c r="A6762" s="4" t="str">
        <f ca="1">IFERROR(__xludf.DUMMYFUNCTION("""COMPUTED_VALUE"""),"अम्बरं विनयतः प्रियपाणेर्योषितस्य करयोः कलहस्य । वारणमिव विधातुमभीक्ष्णं कक्ष्यया च वलयैश्च शिशिञ्चे ||")</f>
        <v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||</v>
      </c>
      <c r="B6762" s="4" t="s">
        <v>16</v>
      </c>
      <c r="C6762" s="4"/>
    </row>
    <row r="6763" spans="1:3" ht="24" customHeight="1">
      <c r="A6763" s="4" t="str">
        <f ca="1">IFERROR(__xludf.DUMMYFUNCTION("""COMPUTED_VALUE"""),"ग्रन्थिमुद्ग्रथयितुं हृदयदेशे वाससः स्पृशति मानधनायाः । भ्रूयुगेण सपदि प्रतिपेदे र्ॐअभिश्च सममेव विभेदः ||")</f>
        <v>ग्रन्थिमुद्ग्रथयितुं हृदयदेशे वाससः स्पृशति मानधनायाः । भ्रूयुगेण सपदि प्रतिपेदे र्ॐअभिश्च सममेव विभेदः ||</v>
      </c>
      <c r="B6763" s="4" t="s">
        <v>17</v>
      </c>
      <c r="C6763" s="4"/>
    </row>
    <row r="6764" spans="1:3" ht="24" customHeight="1">
      <c r="A6764" s="4" t="str">
        <f ca="1">IFERROR(__xludf.DUMMYFUNCTION("""COMPUTED_VALUE"""),"आशु लङ्घितवतीष्टकराग्रे नीवीमर्धमुकुलीकृतदृष्ट्या । रक्तवैणिक हताधरतन्त्रीमण्डलक्वणितचारु चुकूजे ||")</f>
        <v>आशु लङ्घितवतीष्टकराग्रे नीवीमर्धमुकुलीकृतदृष्ट्या । रक्तवैणिक हताधरतन्त्रीमण्डलक्वणितचारु चुकूजे ||</v>
      </c>
      <c r="B6764" s="4" t="s">
        <v>3</v>
      </c>
      <c r="C6764" s="4"/>
    </row>
    <row r="6765" spans="1:3" ht="24" customHeight="1">
      <c r="A6765" s="4" t="str">
        <f ca="1">IFERROR(__xludf.DUMMYFUNCTION("""COMPUTED_VALUE"""),"आयताङ्गुलिरभूदतिरिक्तः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||")</f>
        <v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||</v>
      </c>
      <c r="B6765" s="4" t="s">
        <v>1</v>
      </c>
      <c r="C6765" s="4"/>
    </row>
    <row r="6766" spans="1:3" ht="24" customHeight="1">
      <c r="A6766" s="4" t="str">
        <f ca="1">IFERROR(__xludf.DUMMYFUNCTION("""COMPUTED_VALUE"""),"चक्रुरेव ललनोरुषु राजीः स्पर्शलोभवशलोलकराणां । कामिनामनिभृतान्यपि रम्भास्त म्भक्ॐअलतलेषु नखानि ||")</f>
        <v>चक्रुरेव ललनोरुषु राजीः स्पर्शलोभवशलोलकराणां । कामिनामनिभृतान्यपि रम्भास्त म्भक्ॐअलतलेषु नखानि ||</v>
      </c>
      <c r="B6766" s="4" t="s">
        <v>1</v>
      </c>
      <c r="C6766" s="4"/>
    </row>
    <row r="6767" spans="1:3" ht="24" customHeight="1">
      <c r="A6767" s="4" t="str">
        <f ca="1">IFERROR(__xludf.DUMMYFUNCTION("""COMPUTED_VALUE"""),"ऊरुमूलचपलेक्षणमघ्नन्यैर्वतंसकुसुमैः प्रियमेताः । चक्रिरे सपदि तानि यथार्थ मन्मथस्य कुसुमायुधनाम ||")</f>
        <v>ऊरुमूलचपलेक्षणमघ्नन्यैर्वतंसकुसुमैः प्रियमेताः । चक्रिरे सपदि तानि यथार्थ मन्मथस्य कुसुमायुधनाम ||</v>
      </c>
      <c r="B6767" s="4" t="s">
        <v>12</v>
      </c>
      <c r="C6767" s="4"/>
    </row>
    <row r="6768" spans="1:3" ht="24" customHeight="1">
      <c r="A6768" s="4" t="str">
        <f ca="1">IFERROR(__xludf.DUMMYFUNCTION("""COMPUTED_VALUE"""),"धैर्यमुल्बणमनोभवभवा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||")</f>
        <v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||</v>
      </c>
      <c r="B6768" s="4" t="s">
        <v>5</v>
      </c>
      <c r="C6768" s="4"/>
    </row>
    <row r="6769" spans="1:3" ht="24" customHeight="1">
      <c r="A6769" s="4" t="str">
        <f ca="1">IFERROR(__xludf.DUMMYFUNCTION("""COMPUTED_VALUE"""),"पाणिरोधमविरोधवाञ्छं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||")</f>
        <v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||</v>
      </c>
      <c r="B6769" s="4" t="s">
        <v>9</v>
      </c>
      <c r="C6769" s="4"/>
    </row>
    <row r="6770" spans="1:3" ht="24" customHeight="1">
      <c r="A6770" s="4" t="str">
        <f ca="1">IFERROR(__xludf.DUMMYFUNCTION("""COMPUTED_VALUE"""),"वारणार्थपदगद्गदवाचामीर्ष्यया मुहुरपत्रपया च । कुर्वते स्म सुदृशामनुकूलं प्रतिकूलिकतयैव युवानः ||")</f>
        <v>वारणार्थपदगद्गदवाचामीर्ष्यया मुहुरपत्रपया च । कुर्वते स्म सुदृशामनुकूलं प्रतिकूलिकतयैव युवानः ||</v>
      </c>
      <c r="B6770" s="4" t="s">
        <v>1</v>
      </c>
      <c r="C6770" s="4"/>
    </row>
    <row r="6771" spans="1:3" ht="24" customHeight="1">
      <c r="A6771" s="4" t="str">
        <f ca="1">IFERROR(__xludf.DUMMYFUNCTION("""COMPUTED_VALUE"""),"अन्यकालपरिहार्यमजस्रं तद्द्वयेन विदधे द्वयमेव । धृष्टता रहसि भर्तृषु ताभिर्निर्दयत्वमितरैरबलासु ||")</f>
        <v>अन्यकालपरिहार्यमजस्रं तद्द्वयेन विदधे द्वयमेव । धृष्टता रहसि भर्तृषु ताभिर्निर्दयत्वमितरैरबलासु ||</v>
      </c>
      <c r="B6771" s="4" t="s">
        <v>18</v>
      </c>
      <c r="C6771" s="4"/>
    </row>
    <row r="6772" spans="1:3" ht="24" customHeight="1">
      <c r="A6772" s="4" t="str">
        <f ca="1">IFERROR(__xludf.DUMMYFUNCTION("""COMPUTED_VALUE"""),"बाहुपीडनकचग३हणाभ्यामाहतेन नखदन्तनिपातैः । बोधितस्तनुशयतरुणीनामुन्मिमील विशदं विषमेषु ||")</f>
        <v>बाहुपीडनकचग३हणाभ्यामाहतेन नखदन्तनिपातैः । बोधितस्तनुशयतरुणीनामुन्मिमील विशदं विषमेषु ||</v>
      </c>
      <c r="B6772" s="4" t="s">
        <v>13</v>
      </c>
      <c r="C6772" s="4"/>
    </row>
    <row r="6773" spans="1:3" ht="24" customHeight="1">
      <c r="A6773" s="4" t="str">
        <f ca="1">IFERROR(__xludf.DUMMYFUNCTION("""COMPUTED_VALUE"""),"कान्तया सपदि कोऽप्युपगूढः प्रौढपाणिरपनेतुमियेष । संहतस्तनतिरस्कृतदृष्टिर्भ्रष्टमेव न दुकूलमपश्यथ् ||")</f>
        <v>कान्तया सपदि कोऽप्युपगूढः प्रौढपाणिरपनेतुमियेष । संहतस्तनतिरस्कृतदृष्टिर्भ्रष्टमेव न दुकूलमपश्यथ् ||</v>
      </c>
      <c r="B6773" s="4" t="s">
        <v>5</v>
      </c>
      <c r="C6773" s="4"/>
    </row>
    <row r="6774" spans="1:3" ht="24" customHeight="1">
      <c r="A6774" s="4" t="str">
        <f ca="1">IFERROR(__xludf.DUMMYFUNCTION("""COMPUTED_VALUE"""),"आहतं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||")</f>
        <v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||</v>
      </c>
      <c r="B6774" s="4" t="s">
        <v>23</v>
      </c>
      <c r="C6774" s="4"/>
    </row>
    <row r="6775" spans="1:3" ht="24" customHeight="1">
      <c r="A6775" s="4" t="str">
        <f ca="1">IFERROR(__xludf.DUMMYFUNCTION("""COMPUTED_VALUE"""),"सीत्कृतानि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||")</f>
        <v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||</v>
      </c>
      <c r="B6775" s="4" t="s">
        <v>12</v>
      </c>
      <c r="C6775" s="4"/>
    </row>
    <row r="6776" spans="1:3" ht="24" customHeight="1">
      <c r="A6776" s="4" t="str">
        <f ca="1">IFERROR(__xludf.DUMMYFUNCTION("""COMPUTED_VALUE"""),"उद्धतैर्निभृतमेकमनेकैश्छदवन्मृगदृशामविरामैः । श्रूयते स्म मणितं कलकाञ्चीनूपुरध्वनिभिरक्षतमेव ||")</f>
        <v>उद्धतैर्निभृतमेकमनेकैश्छदवन्मृगदृशामविरामैः । श्रूयते स्म मणितं कलकाञ्चीनूपुरध्वनिभिरक्षतमेव ||</v>
      </c>
      <c r="B6776" s="4" t="s">
        <v>4</v>
      </c>
      <c r="C6776" s="4"/>
    </row>
    <row r="6777" spans="1:3" ht="24" customHeight="1">
      <c r="A6777" s="4" t="str">
        <f ca="1">IFERROR(__xludf.DUMMYFUNCTION("""COMPUTED_VALUE"""),"ईदृशस्य भवतः खतमेतल्लाघवं मुहुरतीव रतेषु । क्षिप्तमायतमदर्शयदुर्व्या काञ्चिदाम जघनस्य महत्वं ||")</f>
        <v>ईदृशस्य भवतः खतमेतल्लाघवं मुहुरतीव रतेषु । क्षिप्तमायतमदर्शयदुर्व्या काञ्चिदाम जघनस्य महत्वं ||</v>
      </c>
      <c r="B6777" s="4" t="s">
        <v>4</v>
      </c>
      <c r="C6777" s="4"/>
    </row>
    <row r="6778" spans="1:3" ht="24" customHeight="1">
      <c r="A6778" s="4" t="str">
        <f ca="1">IFERROR(__xludf.DUMMYFUNCTION("""COMPUTED_VALUE"""),"प्रप्यते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||")</f>
        <v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||</v>
      </c>
      <c r="B6778" s="4" t="s">
        <v>2</v>
      </c>
      <c r="C6778" s="4"/>
    </row>
    <row r="6779" spans="1:3" ht="24" customHeight="1">
      <c r="A6779" s="4" t="str">
        <f ca="1">IFERROR(__xludf.DUMMYFUNCTION("""COMPUTED_VALUE"""),"यद्यदेव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||")</f>
        <v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||</v>
      </c>
      <c r="B6779" s="4" t="s">
        <v>5</v>
      </c>
      <c r="C6779" s="4"/>
    </row>
    <row r="6780" spans="1:3" ht="24" customHeight="1">
      <c r="A6780" s="4" t="str">
        <f ca="1">IFERROR(__xludf.DUMMYFUNCTION("""COMPUTED_VALUE"""),"प्राप्य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||")</f>
        <v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||</v>
      </c>
      <c r="B6780" s="4" t="s">
        <v>5</v>
      </c>
      <c r="C6780" s="4"/>
    </row>
    <row r="6781" spans="1:3" ht="24" customHeight="1">
      <c r="A6781" s="4" t="str">
        <f ca="1">IFERROR(__xludf.DUMMYFUNCTION("""COMPUTED_VALUE"""),"संगताभिरुचितैश्चलितापि प्रागमुच्यत चिरेण सखीव । भूय एव समगंस्त रतान्ते ह्रीवधूभिरसहा विरहस्य ||")</f>
        <v>संगताभिरुचितैश्चलितापि प्रागमुच्यत चिरेण सखीव । भूय एव समगंस्त रतान्ते ह्रीवधूभिरसहा विरहस्य ||</v>
      </c>
      <c r="B6781" s="4" t="s">
        <v>5</v>
      </c>
      <c r="C6781" s="4"/>
    </row>
    <row r="6782" spans="1:3" ht="24" customHeight="1">
      <c r="A6782" s="4" t="str">
        <f ca="1">IFERROR(__xludf.DUMMYFUNCTION("""COMPUTED_VALUE"""),"प्रेक्षणीयकमेव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||")</f>
        <v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||</v>
      </c>
      <c r="B6782" s="4" t="s">
        <v>2</v>
      </c>
      <c r="C6782" s="4"/>
    </row>
    <row r="6783" spans="1:3" ht="24" customHeight="1">
      <c r="A6783" s="4" t="str">
        <f ca="1">IFERROR(__xludf.DUMMYFUNCTION("""COMPUTED_VALUE"""),"अप्रभूतमतनीयसि तन्वी काञ्चिधाम्निपिहितैकतरोरु । क्ष्ॐअमाकुलकरा विचकर्ष कान्तापल्लवमभीष्टतमेन ||")</f>
        <v>अप्रभूतमतनीयसि तन्वी काञ्चिधाम्निपिहितैकतरोरु । क्ष्ॐअमाकुलकरा विचकर्ष कान्तापल्लवमभीष्टतमेन ||</v>
      </c>
      <c r="B6783" s="4" t="s">
        <v>1</v>
      </c>
      <c r="C6783" s="4"/>
    </row>
    <row r="6784" spans="1:3" ht="24" customHeight="1">
      <c r="A6784" s="4" t="str">
        <f ca="1">IFERROR(__xludf.DUMMYFUNCTION("""COMPUTED_VALUE"""),"मृष्टचन्दनविशेषकभक्तिर्म्रषाटभूषणकदर्थितमाल्यः । सापराध इव मण्डनमासीदात्मनैव सुदृशामुपभोगः ||")</f>
        <v>मृष्टचन्दनविशेषकभक्तिर्म्रषाटभूषणकदर्थितमाल्यः । सापराध इव मण्डनमासीदात्मनैव सुदृशामुपभोगः ||</v>
      </c>
      <c r="B6784" s="4" t="s">
        <v>15</v>
      </c>
      <c r="C6784" s="4"/>
    </row>
    <row r="6785" spans="1:3" ht="24" customHeight="1">
      <c r="A6785" s="4" t="str">
        <f ca="1">IFERROR(__xludf.DUMMYFUNCTION("""COMPUTED_VALUE"""),"योषितः पतितकाञ्चनकाञ्चौ मोहनातिरभसेन नितम्बे । मेखलेव परितः स्म विचित्रा राजते वननखक्षतलक्ष्मीः ||")</f>
        <v>योषितः पतितकाञ्चनकाञ्चौ मोहनातिरभसेन नितम्बे । मेखलेव परितः स्म विचित्रा राजते वननखक्षतलक्ष्मीः ||</v>
      </c>
      <c r="B6785" s="4" t="s">
        <v>12</v>
      </c>
      <c r="C6785" s="4"/>
    </row>
    <row r="6786" spans="1:3" ht="24" customHeight="1">
      <c r="A6786" s="4" t="str">
        <f ca="1">IFERROR(__xludf.DUMMYFUNCTION("""COMPUTED_VALUE"""),"भातु नाम सुदृशां दशनाङ्कः पाटलो धवलगणडतलेषु । दन्तवाससि समानगुणश्रीः संमुखोऽपि परभागमवाप ||")</f>
        <v>भातु नाम सुदृशां दशनाङ्कः पाटलो धवलगणडतलेषु । दन्तवाससि समानगुणश्रीः संमुखोऽपि परभागमवाप ||</v>
      </c>
      <c r="B6786" s="4" t="s">
        <v>9</v>
      </c>
      <c r="C6786" s="4"/>
    </row>
    <row r="6787" spans="1:3" ht="24" customHeight="1">
      <c r="A6787" s="4" t="str">
        <f ca="1">IFERROR(__xludf.DUMMYFUNCTION("""COMPUTED_VALUE"""),"सुभ्रुवामधिपयोधरपीठं पीडनैस्त्रुटितवत्यपि पत्युः । णुक्तमौक्तिकलघुगुणशेषा हारयष्चिरभवत्गुरुरेव ||")</f>
        <v>सुभ्रुवामधिपयोधरपीठं पीडनैस्त्रुटितवत्यपि पत्युः । णुक्तमौक्तिकलघुगुणशेषा हारयष्चिरभवत्गुरुरेव ||</v>
      </c>
      <c r="B6787" s="4" t="s">
        <v>4</v>
      </c>
      <c r="C6787" s="4"/>
    </row>
    <row r="6788" spans="1:3" ht="24" customHeight="1">
      <c r="A6788" s="4" t="str">
        <f ca="1">IFERROR(__xludf.DUMMYFUNCTION("""COMPUTED_VALUE"""),"विश्रमार्थमुपगूढमजस्रं यत्प्रियैः प्रथमरत्यवसाने । योषितामुदितमन्मथमादौ तद्द्वितीयसुरतस्य बभूव ||")</f>
        <v>विश्रमार्थमुपगूढमजस्रं यत्प्रियैः प्रथमरत्यवसाने । योषितामुदितमन्मथमादौ तद्द्वितीयसुरतस्य बभूव ||</v>
      </c>
      <c r="B6788" s="4" t="s">
        <v>4</v>
      </c>
      <c r="C6788" s="4"/>
    </row>
    <row r="6789" spans="1:3" ht="24" customHeight="1">
      <c r="A6789" s="4" t="str">
        <f ca="1">IFERROR(__xludf.DUMMYFUNCTION("""COMPUTED_VALUE"""),"आस्तृतेऽभिनवपल्लवपुष्पैरप्यनारतरताभिरताभ्यः । दीयते स्म शयितुं शयनीये न क्षणः क्षणदयापि वधूभ्यः ||")</f>
        <v>आस्तृतेऽभिनवपल्लवपुष्पैरप्यनारतरताभिरताभ्यः । दीयते स्म शयितुं शयनीये न क्षणः क्षणदयापि वधूभ्यः ||</v>
      </c>
      <c r="B6789" s="4" t="s">
        <v>5</v>
      </c>
      <c r="C6789" s="4"/>
    </row>
    <row r="6790" spans="1:3" ht="24" customHeight="1">
      <c r="A6790" s="4" t="str">
        <f ca="1">IFERROR(__xludf.DUMMYFUNCTION("""COMPUTED_VALUE"""),"योषितामतितरां नखलूनं गात्रमुज्जवलतया न खलूनं । क्षोभमाशु हृदयं नयदूनां रागवृद्धिमकरोन्न यदूनां ||")</f>
        <v>योषितामतितरां नखलूनं गात्रमुज्जवलतया न खलूनं । क्षोभमाशु हृदयं नयदूनां रागवृद्धिमकरोन्न यदूनां ||</v>
      </c>
      <c r="B6790" s="4" t="s">
        <v>1</v>
      </c>
      <c r="C6790" s="4"/>
    </row>
    <row r="6791" spans="1:3" ht="24" customHeight="1">
      <c r="A6791" s="4" t="str">
        <f ca="1">IFERROR(__xludf.DUMMYFUNCTION("""COMPUTED_VALUE"""),"इति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रजनिरवनतेन्दुर्लज्जयाध्ॐउखीव ||")</f>
        <v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रजनिरवनतेन्दुर्लज्जयाध्ॐउखीव ||</v>
      </c>
      <c r="B6791" s="4" t="s">
        <v>4</v>
      </c>
      <c r="C6791" s="4"/>
    </row>
    <row r="6792" spans="1:3" ht="24" customHeight="1">
      <c r="A6792" s="4" t="str">
        <f ca="1">IFERROR(__xludf.DUMMYFUNCTION("""COMPUTED_VALUE"""),"श्रुतिसमधिकमुच्चैः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||")</f>
        <v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||</v>
      </c>
      <c r="B6792" s="4" t="s">
        <v>5</v>
      </c>
      <c r="C6792" s="4"/>
    </row>
    <row r="6793" spans="1:3" ht="24" customHeight="1">
      <c r="A6793" s="4" t="str">
        <f ca="1">IFERROR(__xludf.DUMMYFUNCTION("""COMPUTED_VALUE"""),"रतिरभसविलासाभ्यासतान्तं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||")</f>
        <v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||</v>
      </c>
      <c r="B6793" s="4" t="s">
        <v>15</v>
      </c>
      <c r="C6793" s="4"/>
    </row>
    <row r="6794" spans="1:3" ht="24" customHeight="1">
      <c r="A6794" s="4" t="str">
        <f ca="1">IFERROR(__xludf.DUMMYFUNCTION("""COMPUTED_VALUE"""),"स्फुटतरमुपरिष्टादल्पमूर्तेर्ध्रुवस्य स्फुरति सुरमुनीनां मण्डलं व्यस्तमेथ् । शकटमिव महीयः शैशवे शार्ङ्गपाणेश्चपलचरणकाब्जप्रेरणोत्तुङ्गिताग्रं ||")</f>
        <v>स्फुटतरमुपरिष्टादल्पमूर्तेर्ध्रुवस्य स्फुरति सुरमुनीनां मण्डलं व्यस्तमेथ् । शकटमिव महीयः शैशवे शार्ङ्गपाणेश्चपलचरणकाब्जप्रेरणोत्तुङ्गिताग्रं ||</v>
      </c>
      <c r="B6794" s="4" t="s">
        <v>0</v>
      </c>
      <c r="C6794" s="4"/>
    </row>
    <row r="6795" spans="1:3" ht="24" customHeight="1">
      <c r="A6795" s="4" t="str">
        <f ca="1">IFERROR(__xludf.DUMMYFUNCTION("""COMPUTED_VALUE"""),"प्रहरकमपनीय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||")</f>
        <v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||</v>
      </c>
      <c r="B6795" s="4" t="s">
        <v>5</v>
      </c>
      <c r="C6795" s="4"/>
    </row>
    <row r="6796" spans="1:3" ht="24" customHeight="1">
      <c r="A6796" s="4" t="str">
        <f ca="1">IFERROR(__xludf.DUMMYFUNCTION("""COMPUTED_VALUE"""),"विपुलतरनितम्बाभोगरुद्धे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||")</f>
        <v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||</v>
      </c>
      <c r="B6796" s="4" t="s">
        <v>2</v>
      </c>
      <c r="C6796" s="4"/>
    </row>
    <row r="6797" spans="1:3" ht="24" customHeight="1">
      <c r="A6797" s="4" t="str">
        <f ca="1">IFERROR(__xludf.DUMMYFUNCTION("""COMPUTED_VALUE"""),"क्षणशयितविबुद्धाः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||")</f>
        <v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||</v>
      </c>
      <c r="B6797" s="4" t="s">
        <v>2</v>
      </c>
      <c r="C6797" s="4"/>
    </row>
    <row r="6798" spans="1:3" ht="24" customHeight="1">
      <c r="A6798" s="4" t="str">
        <f ca="1">IFERROR(__xludf.DUMMYFUNCTION("""COMPUTED_VALUE"""),"क्षितितटशयनान्तादुत्थितं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||")</f>
        <v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||</v>
      </c>
      <c r="B6798" s="4" t="s">
        <v>1</v>
      </c>
      <c r="C6798" s="4"/>
    </row>
    <row r="6799" spans="1:3" ht="24" customHeight="1">
      <c r="A6799" s="4" t="str">
        <f ca="1">IFERROR(__xludf.DUMMYFUNCTION("""COMPUTED_VALUE"""),"द्रुततरकरदक्षाः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||")</f>
        <v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||</v>
      </c>
      <c r="B6799" s="4" t="s">
        <v>2</v>
      </c>
      <c r="C6799" s="4"/>
    </row>
    <row r="6800" spans="1:3" ht="24" customHeight="1">
      <c r="A6800" s="4" t="str">
        <f ca="1">IFERROR(__xludf.DUMMYFUNCTION("""COMPUTED_VALUE"""),"अनुनयमगृहीत्वा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प्राणनाथं ||")</f>
        <v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प्राणनाथं ||</v>
      </c>
      <c r="B6800" s="4" t="s">
        <v>10</v>
      </c>
      <c r="C6800" s="4"/>
    </row>
    <row r="6801" spans="1:3" ht="24" customHeight="1">
      <c r="A6801" s="4" t="str">
        <f ca="1">IFERROR(__xludf.DUMMYFUNCTION("""COMPUTED_VALUE"""),"गतमनुगतवीणैरेकतां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||")</f>
        <v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||</v>
      </c>
      <c r="B6801" s="4" t="s">
        <v>0</v>
      </c>
      <c r="C6801" s="4"/>
    </row>
    <row r="6802" spans="1:3" ht="24" customHeight="1">
      <c r="A6802" s="4" t="str">
        <f ca="1">IFERROR(__xludf.DUMMYFUNCTION("""COMPUTED_VALUE"""),"परिशिथिलितकर्णग्रीवमामीलिताक्षः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||")</f>
        <v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||</v>
      </c>
      <c r="B6802" s="4" t="s">
        <v>4</v>
      </c>
      <c r="C6802" s="4"/>
    </row>
    <row r="6803" spans="1:3" ht="24" customHeight="1">
      <c r="A6803" s="4" t="str">
        <f ca="1">IFERROR(__xludf.DUMMYFUNCTION("""COMPUTED_VALUE"""),"उदयमुदितदीप्तिर्याति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||")</f>
        <v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||</v>
      </c>
      <c r="B6803" s="4" t="s">
        <v>5</v>
      </c>
      <c r="C6803" s="4"/>
    </row>
    <row r="6804" spans="1:3" ht="24" customHeight="1">
      <c r="A6804" s="4" t="str">
        <f ca="1">IFERROR(__xludf.DUMMYFUNCTION("""COMPUTED_VALUE"""),"चिररतिपरिखेद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||")</f>
        <v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||</v>
      </c>
      <c r="B6804" s="4" t="s">
        <v>5</v>
      </c>
      <c r="C6804" s="4"/>
    </row>
    <row r="6805" spans="1:3" ht="24" customHeight="1">
      <c r="A6805" s="4" t="str">
        <f ca="1">IFERROR(__xludf.DUMMYFUNCTION("""COMPUTED_VALUE"""),"कृतधवलिमभेदैः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||")</f>
        <v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||</v>
      </c>
      <c r="B6805" s="4" t="s">
        <v>14</v>
      </c>
      <c r="C6805" s="4"/>
    </row>
    <row r="6806" spans="1:3" ht="24" customHeight="1">
      <c r="A6806" s="4" t="str">
        <f ca="1">IFERROR(__xludf.DUMMYFUNCTION("""COMPUTED_VALUE"""),"दधदसकलमेकं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||")</f>
        <v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||</v>
      </c>
      <c r="B6806" s="4" t="s">
        <v>10</v>
      </c>
      <c r="C6806" s="4"/>
    </row>
    <row r="6807" spans="1:3" ht="24" customHeight="1">
      <c r="A6807" s="4" t="str">
        <f ca="1">IFERROR(__xludf.DUMMYFUNCTION("""COMPUTED_VALUE"""),"मदरुचिमरुणेनोद्गच्छता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||")</f>
        <v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||</v>
      </c>
      <c r="B6807" s="4" t="s">
        <v>5</v>
      </c>
      <c r="C6807" s="4"/>
    </row>
    <row r="6808" spans="1:3" ht="24" customHeight="1">
      <c r="A6808" s="4" t="str">
        <f ca="1">IFERROR(__xludf.DUMMYFUNCTION("""COMPUTED_VALUE"""),"अविरतरतलीलायाःसजातश्रमाणां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||")</f>
        <v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||</v>
      </c>
      <c r="B6808" s="4" t="s">
        <v>6</v>
      </c>
      <c r="C6808" s="4"/>
    </row>
    <row r="6809" spans="1:3" ht="24" customHeight="1">
      <c r="A6809" s="4" t="str">
        <f ca="1">IFERROR(__xludf.DUMMYFUNCTION("""COMPUTED_VALUE"""),"अनिमिषमविरामा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||")</f>
        <v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||</v>
      </c>
      <c r="B6809" s="4" t="s">
        <v>16</v>
      </c>
      <c r="C6809" s="4"/>
    </row>
    <row r="6810" spans="1:3" ht="24" customHeight="1">
      <c r="A6810" s="4" t="str">
        <f ca="1">IFERROR(__xludf.DUMMYFUNCTION("""COMPUTED_VALUE"""),"विकचकमलगन्धैरन्धयन्भृङ्गमालाः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||")</f>
        <v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||</v>
      </c>
      <c r="B6810" s="4" t="s">
        <v>13</v>
      </c>
      <c r="C6810" s="4"/>
    </row>
    <row r="6811" spans="1:3" ht="24" customHeight="1">
      <c r="A6811" s="4" t="str">
        <f ca="1">IFERROR(__xludf.DUMMYFUNCTION("""COMPUTED_VALUE"""),"लुलितनयनताराः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||")</f>
        <v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||</v>
      </c>
      <c r="B6811" s="4" t="s">
        <v>4</v>
      </c>
      <c r="C6811" s="4"/>
    </row>
    <row r="6812" spans="1:3" ht="24" customHeight="1">
      <c r="A6812" s="4" t="str">
        <f ca="1">IFERROR(__xludf.DUMMYFUNCTION("""COMPUTED_VALUE"""),"शिशिरकिरणकान्तं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||")</f>
        <v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||</v>
      </c>
      <c r="B6812" s="4" t="s">
        <v>2</v>
      </c>
      <c r="C6812" s="4"/>
    </row>
    <row r="6813" spans="1:3" ht="24" customHeight="1">
      <c r="A6813" s="4" t="str">
        <f ca="1">IFERROR(__xludf.DUMMYFUNCTION("""COMPUTED_VALUE"""),"नवकुमुदवनश्रीहासकेलिप्रसङ्गादधिकरुचिरशेषामप्युषां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||")</f>
        <v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||</v>
      </c>
      <c r="B6813" s="4" t="s">
        <v>17</v>
      </c>
      <c r="C6813" s="4"/>
    </row>
    <row r="6814" spans="1:3" ht="24" customHeight="1">
      <c r="A6814" s="4" t="str">
        <f ca="1">IFERROR(__xludf.DUMMYFUNCTION("""COMPUTED_VALUE"""),"सरभसपरिरम्भारम्भसंरम्भभाजा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||")</f>
        <v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||</v>
      </c>
      <c r="B6814" s="4" t="s">
        <v>1</v>
      </c>
      <c r="C6814" s="4"/>
    </row>
    <row r="6815" spans="1:3" ht="24" customHeight="1">
      <c r="A6815" s="4" t="str">
        <f ca="1">IFERROR(__xludf.DUMMYFUNCTION("""COMPUTED_VALUE"""),"सपदि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||")</f>
        <v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||</v>
      </c>
      <c r="B6815" s="4" t="s">
        <v>4</v>
      </c>
      <c r="C6815" s="4"/>
    </row>
    <row r="6816" spans="1:3" ht="24" customHeight="1">
      <c r="A6816" s="4" t="str">
        <f ca="1">IFERROR(__xludf.DUMMYFUNCTION("""COMPUTED_VALUE"""),"व्रजतिविषयमक्ष्णामंशुमाली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||")</f>
        <v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||</v>
      </c>
      <c r="B6816" s="4" t="s">
        <v>9</v>
      </c>
      <c r="C6816" s="4"/>
    </row>
    <row r="6817" spans="1:3" ht="24" customHeight="1">
      <c r="A6817" s="4" t="str">
        <f ca="1">IFERROR(__xludf.DUMMYFUNCTION("""COMPUTED_VALUE"""),"विगततिमिरपङ्गं पश्यति व्य्ॐअ यावद्धुवति विरहखिन्नः पक्षती यावदेव । रथचरणसमाह्वस्तावदौत्सुक्यनुन्ना सरिदपरतटान्तादागता चक्रवाकी ||")</f>
        <v>विगततिमिरपङ्गं पश्यति व्य्ॐअ यावद्धुवति विरहखिन्नः पक्षती यावदेव । रथचरणसमाह्वस्तावदौत्सुक्यनुन्ना सरिदपरतटान्तादागता चक्रवाकी ||</v>
      </c>
      <c r="B6817" s="4" t="s">
        <v>19</v>
      </c>
      <c r="C6817" s="4"/>
    </row>
    <row r="6818" spans="1:3" ht="24" customHeight="1">
      <c r="A6818" s="4" t="str">
        <f ca="1">IFERROR(__xludf.DUMMYFUNCTION("""COMPUTED_VALUE"""),"मुदितयुवमनस्कास्तुल्यमेव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||")</f>
        <v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||</v>
      </c>
      <c r="B6818" s="4" t="s">
        <v>11</v>
      </c>
      <c r="C6818" s="4"/>
    </row>
    <row r="6819" spans="1:3" ht="24" customHeight="1">
      <c r="A6819" s="4" t="str">
        <f ca="1">IFERROR(__xludf.DUMMYFUNCTION("""COMPUTED_VALUE"""),"विलुलितकमलौघः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||")</f>
        <v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||</v>
      </c>
      <c r="B6819" s="4" t="s">
        <v>13</v>
      </c>
      <c r="C6819" s="4"/>
    </row>
    <row r="6820" spans="1:3" ht="24" customHeight="1">
      <c r="A6820" s="4" t="str">
        <f ca="1">IFERROR(__xludf.DUMMYFUNCTION("""COMPUTED_VALUE"""),"नखपदवलिनाभीसन्धिभागेषु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||")</f>
        <v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||</v>
      </c>
      <c r="B6820" s="4" t="s">
        <v>18</v>
      </c>
      <c r="C6820" s="4"/>
    </row>
    <row r="6821" spans="1:3" ht="24" customHeight="1">
      <c r="A6821" s="4" t="str">
        <f ca="1">IFERROR(__xludf.DUMMYFUNCTION("""COMPUTED_VALUE"""),"प्रकटमलिनलक्ष्मा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||")</f>
        <v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||</v>
      </c>
      <c r="B6821" s="4" t="s">
        <v>15</v>
      </c>
      <c r="C6821" s="4"/>
    </row>
    <row r="6822" spans="1:3" ht="24" customHeight="1">
      <c r="A6822" s="4" t="str">
        <f ca="1">IFERROR(__xludf.DUMMYFUNCTION("""COMPUTED_VALUE"""),"सकलमपि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||")</f>
        <v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||</v>
      </c>
      <c r="B6822" s="4" t="s">
        <v>2</v>
      </c>
      <c r="C6822" s="4"/>
    </row>
    <row r="6823" spans="1:3" ht="24" customHeight="1">
      <c r="A6823" s="4" t="str">
        <f ca="1">IFERROR(__xludf.DUMMYFUNCTION("""COMPUTED_VALUE"""),"प्रकटतरमिमं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||")</f>
        <v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||</v>
      </c>
      <c r="B6823" s="4" t="s">
        <v>2</v>
      </c>
      <c r="C6823" s="4"/>
    </row>
    <row r="6824" spans="1:3" ht="24" customHeight="1">
      <c r="A6824" s="4" t="str">
        <f ca="1">IFERROR(__xludf.DUMMYFUNCTION("""COMPUTED_VALUE"""),"तदवितथमवादीर्यन्मम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||")</f>
        <v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||</v>
      </c>
      <c r="B6824" s="4" t="s">
        <v>1</v>
      </c>
      <c r="C6824" s="4"/>
    </row>
    <row r="6825" spans="1:3" ht="24" customHeight="1">
      <c r="A6825" s="4" t="str">
        <f ca="1">IFERROR(__xludf.DUMMYFUNCTION("""COMPUTED_VALUE"""),"नवनखपदमङ्गं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||")</f>
        <v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||</v>
      </c>
      <c r="B6825" s="4" t="s">
        <v>2</v>
      </c>
      <c r="C6825" s="4"/>
    </row>
    <row r="6826" spans="1:3" ht="24" customHeight="1">
      <c r="A6826" s="4" t="str">
        <f ca="1">IFERROR(__xludf.DUMMYFUNCTION("""COMPUTED_VALUE"""),"इतिकृतवचनायाः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||")</f>
        <v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||</v>
      </c>
      <c r="B6826" s="4" t="s">
        <v>13</v>
      </c>
      <c r="C6826" s="4"/>
    </row>
    <row r="6827" spans="1:3" ht="24" customHeight="1">
      <c r="A6827" s="4" t="str">
        <f ca="1">IFERROR(__xludf.DUMMYFUNCTION("""COMPUTED_VALUE"""),"मदनमदनविकासस्पष्टधार्ष्ट्येदयानां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||")</f>
        <v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||</v>
      </c>
      <c r="B6827" s="4" t="s">
        <v>5</v>
      </c>
      <c r="C6827" s="4"/>
    </row>
    <row r="6828" spans="1:3" ht="24" customHeight="1">
      <c r="A6828" s="4" t="str">
        <f ca="1">IFERROR(__xludf.DUMMYFUNCTION("""COMPUTED_VALUE"""),"करजदशनचिह्नं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||")</f>
        <v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||</v>
      </c>
      <c r="B6828" s="4" t="s">
        <v>18</v>
      </c>
      <c r="C6828" s="4"/>
    </row>
    <row r="6829" spans="1:3" ht="24" customHeight="1">
      <c r="A6829" s="4" t="str">
        <f ca="1">IFERROR(__xludf.DUMMYFUNCTION("""COMPUTED_VALUE"""),"कृतगुरुतरहारच्छेदमालिङ्ग्य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||")</f>
        <v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||</v>
      </c>
      <c r="B6829" s="4" t="s">
        <v>4</v>
      </c>
      <c r="C6829" s="4"/>
    </row>
    <row r="6830" spans="1:3" ht="24" customHeight="1">
      <c r="A6830" s="4" t="str">
        <f ca="1">IFERROR(__xludf.DUMMYFUNCTION("""COMPUTED_VALUE"""),"बहुजगदपुरस्तात्तस्य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||")</f>
        <v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||</v>
      </c>
      <c r="B6830" s="4" t="s">
        <v>4</v>
      </c>
      <c r="C6830" s="4"/>
    </row>
    <row r="6831" spans="1:3" ht="24" customHeight="1">
      <c r="A6831" s="4" t="str">
        <f ca="1">IFERROR(__xludf.DUMMYFUNCTION("""COMPUTED_VALUE"""),"अरुणजलजराजीमुग्धहस्ताग्रपादा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||")</f>
        <v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||</v>
      </c>
      <c r="B6831" s="4" t="s">
        <v>4</v>
      </c>
      <c r="C6831" s="4"/>
    </row>
    <row r="6832" spans="1:3" ht="24" customHeight="1">
      <c r="A6832" s="4" t="str">
        <f ca="1">IFERROR(__xludf.DUMMYFUNCTION("""COMPUTED_VALUE"""),"प्रतिशरणमशीर्णज्योतिरग्न्याहितानां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||")</f>
        <v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||</v>
      </c>
      <c r="B6832" s="4" t="s">
        <v>1</v>
      </c>
      <c r="C6832" s="4"/>
    </row>
    <row r="6833" spans="1:3" ht="24" customHeight="1">
      <c r="A6833" s="4" t="str">
        <f ca="1">IFERROR(__xludf.DUMMYFUNCTION("""COMPUTED_VALUE"""),"प्रकृतजपविधीनामास्यमुद्रश्मिदन्तं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||")</f>
        <v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||</v>
      </c>
      <c r="B6833" s="4" t="s">
        <v>5</v>
      </c>
      <c r="C6833" s="4"/>
    </row>
    <row r="6834" spans="1:3" ht="24" customHeight="1">
      <c r="A6834" s="4" t="str">
        <f ca="1">IFERROR(__xludf.DUMMYFUNCTION("""COMPUTED_VALUE"""),"नवकनकपिशङ्गं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||")</f>
        <v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||</v>
      </c>
      <c r="B6834" s="4" t="s">
        <v>16</v>
      </c>
      <c r="C6834" s="4"/>
    </row>
    <row r="6835" spans="1:3" ht="24" customHeight="1">
      <c r="A6835" s="4" t="str">
        <f ca="1">IFERROR(__xludf.DUMMYFUNCTION("""COMPUTED_VALUE"""),"विततपृथुवरत्रातुल्यरूपैर्मयूखैः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||")</f>
        <v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||</v>
      </c>
      <c r="B6835" s="4" t="s">
        <v>19</v>
      </c>
      <c r="C6835" s="4"/>
    </row>
    <row r="6836" spans="1:3" ht="24" customHeight="1">
      <c r="A6836" s="4" t="str">
        <f ca="1">IFERROR(__xludf.DUMMYFUNCTION("""COMPUTED_VALUE"""),"पयसि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||")</f>
        <v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||</v>
      </c>
      <c r="B6836" s="4" t="s">
        <v>4</v>
      </c>
      <c r="C6836" s="4"/>
    </row>
    <row r="6837" spans="1:3" ht="24" customHeight="1">
      <c r="A6837" s="4" t="str">
        <f ca="1">IFERROR(__xludf.DUMMYFUNCTION("""COMPUTED_VALUE"""),"अतुहिनरुचिनासौ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||")</f>
        <v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||</v>
      </c>
      <c r="B6837" s="4" t="s">
        <v>4</v>
      </c>
      <c r="C6837" s="4"/>
    </row>
    <row r="6838" spans="1:3" ht="24" customHeight="1">
      <c r="A6838" s="4" t="str">
        <f ca="1">IFERROR(__xludf.DUMMYFUNCTION("""COMPUTED_VALUE"""),"उदयशिखरिशृङ्गप्राङ्गणेष्वेव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||")</f>
        <v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||</v>
      </c>
      <c r="B6838" s="4" t="s">
        <v>5</v>
      </c>
      <c r="C6838" s="4"/>
    </row>
    <row r="6839" spans="1:3" ht="24" customHeight="1">
      <c r="A6839" s="4" t="str">
        <f ca="1">IFERROR(__xludf.DUMMYFUNCTION("""COMPUTED_VALUE"""),"क्षणमयमुपविष्टः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||")</f>
        <v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||</v>
      </c>
      <c r="B6839" s="4" t="s">
        <v>2</v>
      </c>
      <c r="C6839" s="4"/>
    </row>
    <row r="6840" spans="1:3" ht="24" customHeight="1">
      <c r="A6840" s="4" t="str">
        <f ca="1">IFERROR(__xludf.DUMMYFUNCTION("""COMPUTED_VALUE"""),"परिणतमदिराभं भास्करेण्ॐशुबाणैस्तिमिरकरिघटायाः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||")</f>
        <v>परिणतमदिराभं भास्करेण्ॐशुबाणैस्तिमिरकरिघटायाः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||</v>
      </c>
      <c r="B6840" s="4" t="s">
        <v>5</v>
      </c>
      <c r="C6840" s="4"/>
    </row>
    <row r="6841" spans="1:3" ht="24" customHeight="1">
      <c r="A6841" s="4" t="str">
        <f ca="1">IFERROR(__xludf.DUMMYFUNCTION("""COMPUTED_VALUE"""),"दधतिपरिपतन्त्यो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||")</f>
        <v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||</v>
      </c>
      <c r="B6841" s="4" t="s">
        <v>11</v>
      </c>
      <c r="C6841" s="4"/>
    </row>
    <row r="6842" spans="1:3" ht="24" customHeight="1">
      <c r="A6842" s="4" t="str">
        <f ca="1">IFERROR(__xludf.DUMMYFUNCTION("""COMPUTED_VALUE"""),"अधिरजनि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||")</f>
        <v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||</v>
      </c>
      <c r="B6842" s="4" t="s">
        <v>2</v>
      </c>
      <c r="C6842" s="4"/>
    </row>
    <row r="6843" spans="1:3" ht="24" customHeight="1">
      <c r="A6843" s="4" t="str">
        <f ca="1">IFERROR(__xludf.DUMMYFUNCTION("""COMPUTED_VALUE"""),"सितरुचिशयनीये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||")</f>
        <v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||</v>
      </c>
      <c r="B6843" s="4" t="s">
        <v>17</v>
      </c>
      <c r="C6843" s="4"/>
    </row>
    <row r="6844" spans="1:3" ht="24" customHeight="1">
      <c r="A6844" s="4" t="str">
        <f ca="1">IFERROR(__xludf.DUMMYFUNCTION("""COMPUTED_VALUE"""),"प्लुतमिव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||")</f>
        <v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||</v>
      </c>
      <c r="B6844" s="4" t="s">
        <v>1</v>
      </c>
      <c r="C6844" s="4"/>
    </row>
    <row r="6845" spans="1:3" ht="24" customHeight="1">
      <c r="A6845" s="4" t="str">
        <f ca="1">IFERROR(__xludf.DUMMYFUNCTION("""COMPUTED_VALUE"""),"सरसनखपदान्तर्दष्टकेशप्रमोकं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||")</f>
        <v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||</v>
      </c>
      <c r="B6845" s="4" t="s">
        <v>0</v>
      </c>
      <c r="C6845" s="4"/>
    </row>
    <row r="6846" spans="1:3" ht="24" customHeight="1">
      <c r="A6846" s="4" t="str">
        <f ca="1">IFERROR(__xludf.DUMMYFUNCTION("""COMPUTED_VALUE"""),"अविरतदयिताङ्गासङ्गसञ्चरितेन छुरितमभिनवासृक्कान्तिना कुङ्कुमेन । कनकनिकषरेखा क्ॐअलं कामिनीनां भवति वपुरवाप्तच्छायमेवातपेऽपि ||")</f>
        <v>अविरतदयिताङ्गासङ्गसञ्चरितेन छुरितमभिनवासृक्कान्तिना कुङ्कुमेन । कनकनिकषरेखा क्ॐअलं कामिनीनां भवति वपुरवाप्तच्छायमेवातपेऽपि ||</v>
      </c>
      <c r="B6846" s="4" t="s">
        <v>9</v>
      </c>
      <c r="C6846" s="4"/>
    </row>
    <row r="6847" spans="1:3" ht="24" customHeight="1">
      <c r="A6847" s="4" t="str">
        <f ca="1">IFERROR(__xludf.DUMMYFUNCTION("""COMPUTED_VALUE"""),"सरसिजवनकान्तं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||")</f>
        <v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||</v>
      </c>
      <c r="B6847" s="4" t="s">
        <v>2</v>
      </c>
      <c r="C6847" s="4"/>
    </row>
    <row r="6848" spans="1:3" ht="24" customHeight="1">
      <c r="A6848" s="4" t="str">
        <f ca="1">IFERROR(__xludf.DUMMYFUNCTION("""COMPUTED_VALUE"""),"अवतमसभिदायै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||")</f>
        <v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||</v>
      </c>
      <c r="B6848" s="4" t="s">
        <v>13</v>
      </c>
      <c r="C6848" s="4"/>
    </row>
    <row r="6849" spans="1:3" ht="24" customHeight="1">
      <c r="A6849" s="4" t="str">
        <f ca="1">IFERROR(__xludf.DUMMYFUNCTION("""COMPUTED_VALUE"""),"प्रतिफलति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||")</f>
        <v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||</v>
      </c>
      <c r="B6849" s="4" t="s">
        <v>2</v>
      </c>
      <c r="C6849" s="4"/>
    </row>
    <row r="6850" spans="1:3" ht="24" customHeight="1">
      <c r="A6850" s="4" t="str">
        <f ca="1">IFERROR(__xludf.DUMMYFUNCTION("""COMPUTED_VALUE"""),"बहिरपि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||")</f>
        <v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||</v>
      </c>
      <c r="B6850" s="4" t="s">
        <v>4</v>
      </c>
      <c r="C6850" s="4"/>
    </row>
    <row r="6851" spans="1:3" ht="24" customHeight="1">
      <c r="A6851" s="4" t="str">
        <f ca="1">IFERROR(__xludf.DUMMYFUNCTION("""COMPUTED_VALUE"""),"चिरमतिरसलौल्याद्बन्धनं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||")</f>
        <v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||</v>
      </c>
      <c r="B6851" s="4" t="s">
        <v>2</v>
      </c>
      <c r="C6851" s="4"/>
    </row>
    <row r="6852" spans="1:3" ht="24" customHeight="1">
      <c r="A6852" s="4" t="str">
        <f ca="1">IFERROR(__xludf.DUMMYFUNCTION("""COMPUTED_VALUE"""),"युगपदयुगसप्तिस्तुल्यसंख्यैर्मयूखैर्दशशतदलभेदं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||")</f>
        <v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||</v>
      </c>
      <c r="B6852" s="4" t="s">
        <v>4</v>
      </c>
      <c r="C6852" s="4"/>
    </row>
    <row r="6853" spans="1:3" ht="24" customHeight="1">
      <c r="A6853" s="4" t="str">
        <f ca="1">IFERROR(__xludf.DUMMYFUNCTION("""COMPUTED_VALUE"""),"अदयमिव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||")</f>
        <v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||</v>
      </c>
      <c r="B6853" s="4" t="s">
        <v>13</v>
      </c>
      <c r="C6853" s="4"/>
    </row>
    <row r="6854" spans="1:3" ht="24" customHeight="1">
      <c r="A6854" s="4" t="str">
        <f ca="1">IFERROR(__xludf.DUMMYFUNCTION("""COMPUTED_VALUE"""),"प्रविकसति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||")</f>
        <v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||</v>
      </c>
      <c r="B6854" s="4" t="s">
        <v>4</v>
      </c>
      <c r="C6854" s="4"/>
    </row>
    <row r="6855" spans="1:3" ht="24" customHeight="1">
      <c r="A6855" s="4" t="str">
        <f ca="1">IFERROR(__xludf.DUMMYFUNCTION("""COMPUTED_VALUE"""),"कुमुदवनमपश्रि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||")</f>
        <v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||</v>
      </c>
      <c r="B6855" s="4" t="s">
        <v>19</v>
      </c>
      <c r="C6855" s="4"/>
    </row>
    <row r="6856" spans="1:3" ht="24" customHeight="1">
      <c r="A6856" s="4" t="str">
        <f ca="1">IFERROR(__xludf.DUMMYFUNCTION("""COMPUTED_VALUE"""),"क्षणमतुहिनधाम्नि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||")</f>
        <v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||</v>
      </c>
      <c r="B6856" s="4" t="s">
        <v>0</v>
      </c>
      <c r="C6856" s="4"/>
    </row>
    <row r="6857" spans="1:3" ht="24" customHeight="1">
      <c r="A6857" s="4" t="str">
        <f ca="1">IFERROR(__xludf.DUMMYFUNCTION("""COMPUTED_VALUE"""),"प्रलयमखिलतारालोकमह्नाय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||")</f>
        <v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||</v>
      </c>
      <c r="B6857" s="4" t="s">
        <v>2</v>
      </c>
      <c r="C6857" s="4"/>
    </row>
    <row r="6858" spans="1:3" ht="24" customHeight="1">
      <c r="A6858" s="4" t="str">
        <f ca="1">IFERROR(__xludf.DUMMYFUNCTION("""COMPUTED_VALUE"""),"कृतसकलजगद्विबोधोऽवधूतान्धकारोदयः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||")</f>
        <v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||</v>
      </c>
      <c r="B6858" s="4" t="s">
        <v>19</v>
      </c>
      <c r="C6858" s="4"/>
    </row>
    <row r="6859" spans="1:3" ht="24" customHeight="1">
      <c r="A6859" s="4" t="str">
        <f ca="1">IFERROR(__xludf.DUMMYFUNCTION("""COMPUTED_VALUE"""),"इत्थं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||")</f>
        <v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||</v>
      </c>
      <c r="B6859" s="4" t="s">
        <v>2</v>
      </c>
      <c r="C6859" s="4"/>
    </row>
    <row r="6860" spans="1:3" ht="24" customHeight="1">
      <c r="A6860" s="4" t="str">
        <f ca="1">IFERROR(__xludf.DUMMYFUNCTION("""COMPUTED_VALUE"""),"स्वक्षं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||")</f>
        <v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||</v>
      </c>
      <c r="B6860" s="4" t="s">
        <v>1</v>
      </c>
      <c r="C6860" s="4"/>
    </row>
    <row r="6861" spans="1:3" ht="24" customHeight="1">
      <c r="A6861" s="4" t="str">
        <f ca="1">IFERROR(__xludf.DUMMYFUNCTION("""COMPUTED_VALUE"""),"हस्तस्थिताखण्डितचक्रशालिनं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||")</f>
        <v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||</v>
      </c>
      <c r="B6861" s="4" t="s">
        <v>13</v>
      </c>
      <c r="C6861" s="4"/>
    </row>
    <row r="6862" spans="1:3" ht="24" customHeight="1">
      <c r="A6862" s="4" t="str">
        <f ca="1">IFERROR(__xludf.DUMMYFUNCTION("""COMPUTED_VALUE"""),"शुक्लैः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||")</f>
        <v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||</v>
      </c>
      <c r="B6862" s="4" t="s">
        <v>17</v>
      </c>
      <c r="C6862" s="4"/>
    </row>
    <row r="6863" spans="1:3" ht="24" customHeight="1">
      <c r="A6863" s="4" t="str">
        <f ca="1">IFERROR(__xludf.DUMMYFUNCTION("""COMPUTED_VALUE"""),"उत्क्षिप्तगात्रः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||")</f>
        <v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||</v>
      </c>
      <c r="B6863" s="4" t="s">
        <v>1</v>
      </c>
      <c r="C6863" s="4"/>
    </row>
    <row r="6864" spans="1:3" ht="24" customHeight="1">
      <c r="A6864" s="4" t="str">
        <f ca="1">IFERROR(__xludf.DUMMYFUNCTION("""COMPUTED_VALUE"""),"स्वैरं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||")</f>
        <v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||</v>
      </c>
      <c r="B6864" s="4" t="s">
        <v>7</v>
      </c>
      <c r="C6864" s="4"/>
    </row>
    <row r="6865" spans="1:3" ht="24" customHeight="1">
      <c r="A6865" s="4" t="str">
        <f ca="1">IFERROR(__xludf.DUMMYFUNCTION("""COMPUTED_VALUE"""),"अह्नाय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||")</f>
        <v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||</v>
      </c>
      <c r="B6865" s="4" t="s">
        <v>0</v>
      </c>
      <c r="C6865" s="4"/>
    </row>
    <row r="6866" spans="1:3" ht="24" customHeight="1">
      <c r="A6866" s="4" t="str">
        <f ca="1">IFERROR(__xludf.DUMMYFUNCTION("""COMPUTED_VALUE"""),"गण्डोज्वलामुज्ज्वनाभिचक्रया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||")</f>
        <v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||</v>
      </c>
      <c r="B6866" s="4" t="s">
        <v>4</v>
      </c>
      <c r="C6866" s="4"/>
    </row>
    <row r="6867" spans="1:3" ht="24" customHeight="1">
      <c r="A6867" s="4" t="str">
        <f ca="1">IFERROR(__xludf.DUMMYFUNCTION("""COMPUTED_VALUE"""),"उत्थातुमिच्छन्विधृतः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||")</f>
        <v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||</v>
      </c>
      <c r="B6867" s="4" t="s">
        <v>2</v>
      </c>
      <c r="C6867" s="4"/>
    </row>
    <row r="6868" spans="1:3" ht="24" customHeight="1">
      <c r="A6868" s="4" t="str">
        <f ca="1">IFERROR(__xludf.DUMMYFUNCTION("""COMPUTED_VALUE"""),"नस्यागृहीतोऽपि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||")</f>
        <v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||</v>
      </c>
      <c r="B6868" s="4" t="s">
        <v>2</v>
      </c>
      <c r="C6868" s="4"/>
    </row>
    <row r="6869" spans="1:3" ht="24" customHeight="1">
      <c r="A6869" s="4" t="str">
        <f ca="1">IFERROR(__xludf.DUMMYFUNCTION("""COMPUTED_VALUE"""),"नानाविधाविष्कृसामजस्वरः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||")</f>
        <v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||</v>
      </c>
      <c r="B6869" s="4" t="s">
        <v>20</v>
      </c>
      <c r="C6869" s="4"/>
    </row>
    <row r="6870" spans="1:3" ht="24" customHeight="1">
      <c r="A6870" s="4" t="str">
        <f ca="1">IFERROR(__xludf.DUMMYFUNCTION("""COMPUTED_VALUE"""),"प्रत्यन्यनागं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||")</f>
        <v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||</v>
      </c>
      <c r="B6870" s="4" t="s">
        <v>1</v>
      </c>
      <c r="C6870" s="4"/>
    </row>
    <row r="6871" spans="1:3" ht="24" customHeight="1">
      <c r="A6871" s="4" t="str">
        <f ca="1">IFERROR(__xludf.DUMMYFUNCTION("""COMPUTED_VALUE"""),"समूर्च्छदुच्छृङ्खलशङ्खनिस्वनः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||")</f>
        <v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||</v>
      </c>
      <c r="B6871" s="4" t="s">
        <v>2</v>
      </c>
      <c r="C6871" s="4"/>
    </row>
    <row r="6872" spans="1:3" ht="24" customHeight="1">
      <c r="A6872" s="4" t="str">
        <f ca="1">IFERROR(__xludf.DUMMYFUNCTION("""COMPUTED_VALUE"""),"कालीयकक्षोदविलेपनश्रियं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||")</f>
        <v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||</v>
      </c>
      <c r="B6872" s="4" t="s">
        <v>3</v>
      </c>
      <c r="C6872" s="4"/>
    </row>
    <row r="6873" spans="1:3" ht="24" customHeight="1">
      <c r="A6873" s="4" t="str">
        <f ca="1">IFERROR(__xludf.DUMMYFUNCTION("""COMPUTED_VALUE"""),"मन्द्रैगजानां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||")</f>
        <v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||</v>
      </c>
      <c r="B6873" s="4" t="s">
        <v>2</v>
      </c>
      <c r="C6873" s="4"/>
    </row>
    <row r="6874" spans="1:3" ht="24" customHeight="1">
      <c r="A6874" s="4" t="str">
        <f ca="1">IFERROR(__xludf.DUMMYFUNCTION("""COMPUTED_VALUE"""),"अन्वेतुकामोऽवमताङ्गुशग्रहस्तिरोगतं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||")</f>
        <v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||</v>
      </c>
      <c r="B6874" s="4" t="s">
        <v>19</v>
      </c>
      <c r="C6874" s="4"/>
    </row>
    <row r="6875" spans="1:3" ht="24" customHeight="1">
      <c r="A6875" s="4" t="str">
        <f ca="1">IFERROR(__xludf.DUMMYFUNCTION("""COMPUTED_VALUE"""),"यन्तोऽस्पृशन्तश्चरणैरिवावनिं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||")</f>
        <v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||</v>
      </c>
      <c r="B6875" s="4" t="s">
        <v>1</v>
      </c>
      <c r="C6875" s="4"/>
    </row>
    <row r="6876" spans="1:3" ht="24" customHeight="1">
      <c r="A6876" s="4" t="str">
        <f ca="1">IFERROR(__xludf.DUMMYFUNCTION("""COMPUTED_VALUE"""),"ऋज्वीर्दधानैरवतत्य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||")</f>
        <v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||</v>
      </c>
      <c r="B6876" s="4" t="s">
        <v>17</v>
      </c>
      <c r="C6876" s="4"/>
    </row>
    <row r="6877" spans="1:3" ht="24" customHeight="1">
      <c r="A6877" s="4" t="str">
        <f ca="1">IFERROR(__xludf.DUMMYFUNCTION("""COMPUTED_VALUE"""),"तूर्ण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आत्मीयनेमिक्षतसान्द्रमेदिनीरजश्चयाक्रान्तभयादिवाद्रवथ् ||")</f>
        <v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आत्मीयनेमिक्षतसान्द्रमेदिनीरजश्चयाक्रान्तभयादिवाद्रवथ् ||</v>
      </c>
      <c r="B6877" s="4" t="s">
        <v>4</v>
      </c>
      <c r="C6877" s="4"/>
    </row>
    <row r="6878" spans="1:3" ht="24" customHeight="1">
      <c r="A6878" s="4" t="str">
        <f ca="1">IFERROR(__xludf.DUMMYFUNCTION("""COMPUTED_VALUE"""),"व्यावृत्तवक्त्रैरखिलैश्चमूचरैर्व्रजिद्भिरेव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||")</f>
        <v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||</v>
      </c>
      <c r="B6878" s="4" t="s">
        <v>19</v>
      </c>
      <c r="C6878" s="4"/>
    </row>
    <row r="6879" spans="1:3" ht="24" customHeight="1">
      <c r="A6879" s="4" t="str">
        <f ca="1">IFERROR(__xludf.DUMMYFUNCTION("""COMPUTED_VALUE"""),"पादैः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||")</f>
        <v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||</v>
      </c>
      <c r="B6879" s="4" t="s">
        <v>4</v>
      </c>
      <c r="C6879" s="4"/>
    </row>
    <row r="6880" spans="1:3" ht="24" customHeight="1">
      <c r="A6880" s="4" t="str">
        <f ca="1">IFERROR(__xludf.DUMMYFUNCTION("""COMPUTED_VALUE"""),"दुर्दुन्तमुपकृत्य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||")</f>
        <v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||</v>
      </c>
      <c r="B6880" s="4" t="s">
        <v>8</v>
      </c>
      <c r="C6880" s="4"/>
    </row>
    <row r="6881" spans="1:3" ht="24" customHeight="1">
      <c r="A6881" s="4" t="str">
        <f ca="1">IFERROR(__xludf.DUMMYFUNCTION("""COMPUTED_VALUE"""),"भूभृद्भिरप्यस्खलिताः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||")</f>
        <v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||</v>
      </c>
      <c r="B6881" s="4" t="s">
        <v>18</v>
      </c>
      <c r="C6881" s="4"/>
    </row>
    <row r="6882" spans="1:3" ht="24" customHeight="1">
      <c r="A6882" s="4" t="str">
        <f ca="1">IFERROR(__xludf.DUMMYFUNCTION("""COMPUTED_VALUE"""),"त्रस्तौ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||")</f>
        <v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||</v>
      </c>
      <c r="B6882" s="4" t="s">
        <v>2</v>
      </c>
      <c r="C6882" s="4"/>
    </row>
    <row r="6883" spans="1:3" ht="24" customHeight="1">
      <c r="A6883" s="4" t="str">
        <f ca="1">IFERROR(__xludf.DUMMYFUNCTION("""COMPUTED_VALUE"""),"स्रस्ताङ्गसन्धौ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||")</f>
        <v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||</v>
      </c>
      <c r="B6883" s="4" t="s">
        <v>12</v>
      </c>
      <c r="C6883" s="4"/>
    </row>
    <row r="6884" spans="1:3" ht="24" customHeight="1">
      <c r="A6884" s="4" t="str">
        <f ca="1">IFERROR(__xludf.DUMMYFUNCTION("""COMPUTED_VALUE"""),"धूर्भङ्गसंक्षोभविदारितोष्ट्रिका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||")</f>
        <v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||</v>
      </c>
      <c r="B6884" s="4" t="s">
        <v>7</v>
      </c>
      <c r="C6884" s="4"/>
    </row>
    <row r="6885" spans="1:3" ht="24" customHeight="1">
      <c r="A6885" s="4" t="str">
        <f ca="1">IFERROR(__xludf.DUMMYFUNCTION("""COMPUTED_VALUE"""),"भेरिभिराक्रुष्टमहागुहामुखो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||")</f>
        <v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||</v>
      </c>
      <c r="B6885" s="4" t="s">
        <v>0</v>
      </c>
      <c r="C6885" s="4"/>
    </row>
    <row r="6886" spans="1:3" ht="24" customHeight="1">
      <c r="A6886" s="4" t="str">
        <f ca="1">IFERROR(__xludf.DUMMYFUNCTION("""COMPUTED_VALUE"""),"वन्येभदानानिलगन्धददुर्धुराः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||")</f>
        <v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||</v>
      </c>
      <c r="B6886" s="4" t="s">
        <v>0</v>
      </c>
      <c r="C6886" s="4"/>
    </row>
    <row r="6887" spans="1:3" ht="24" customHeight="1">
      <c r="A6887" s="4" t="str">
        <f ca="1">IFERROR(__xludf.DUMMYFUNCTION("""COMPUTED_VALUE"""),"तैर्वजयन्तीवनराजिराजिभिर्गिरिप्रतिच्छन्दमहामतङ्गजैः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||")</f>
        <v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||</v>
      </c>
      <c r="B6887" s="4" t="s">
        <v>0</v>
      </c>
      <c r="C6887" s="4"/>
    </row>
    <row r="6888" spans="1:3" ht="24" customHeight="1">
      <c r="A6888" s="4" t="str">
        <f ca="1">IFERROR(__xludf.DUMMYFUNCTION("""COMPUTED_VALUE"""),"तस्थेमुहूर्त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||")</f>
        <v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||</v>
      </c>
      <c r="B6888" s="4" t="s">
        <v>2</v>
      </c>
      <c r="C6888" s="4"/>
    </row>
    <row r="6889" spans="1:3" ht="24" customHeight="1">
      <c r="A6889" s="4" t="str">
        <f ca="1">IFERROR(__xludf.DUMMYFUNCTION("""COMPUTED_VALUE"""),"निम्नानि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||")</f>
        <v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||</v>
      </c>
      <c r="B6889" s="4" t="s">
        <v>3</v>
      </c>
      <c r="C6889" s="4"/>
    </row>
    <row r="6890" spans="1:3" ht="24" customHeight="1">
      <c r="A6890" s="4" t="str">
        <f ca="1">IFERROR(__xludf.DUMMYFUNCTION("""COMPUTED_VALUE"""),"अध्यध्वमारूढवतैव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||")</f>
        <v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||</v>
      </c>
      <c r="B6890" s="4" t="s">
        <v>11</v>
      </c>
      <c r="C6890" s="4"/>
    </row>
    <row r="6891" spans="1:3" ht="24" customHeight="1">
      <c r="A6891" s="4" t="str">
        <f ca="1">IFERROR(__xludf.DUMMYFUNCTION("""COMPUTED_VALUE"""),"शौरेः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||")</f>
        <v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||</v>
      </c>
      <c r="B6891" s="4" t="s">
        <v>1</v>
      </c>
      <c r="C6891" s="4"/>
    </row>
    <row r="6892" spans="1:3" ht="24" customHeight="1">
      <c r="A6892" s="4" t="str">
        <f ca="1">IFERROR(__xludf.DUMMYFUNCTION("""COMPUTED_VALUE"""),"आगच्छतोऽनूचिगजस्य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||")</f>
        <v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||</v>
      </c>
      <c r="B6892" s="4" t="s">
        <v>0</v>
      </c>
      <c r="C6892" s="4"/>
    </row>
    <row r="6893" spans="1:3" ht="24" customHeight="1">
      <c r="A6893" s="4" t="str">
        <f ca="1">IFERROR(__xludf.DUMMYFUNCTION("""COMPUTED_VALUE"""),"ओजस्विवर्णोज्वलवृत्तशालिनः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||")</f>
        <v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||</v>
      </c>
      <c r="B6893" s="4" t="s">
        <v>1</v>
      </c>
      <c r="C6893" s="4"/>
    </row>
    <row r="6894" spans="1:3" ht="24" customHeight="1">
      <c r="A6894" s="4" t="str">
        <f ca="1">IFERROR(__xludf.DUMMYFUNCTION("""COMPUTED_VALUE"""),"निःश्शेषमाक्रान्तमहीतलो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||")</f>
        <v>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||</v>
      </c>
      <c r="B6894" s="4" t="s">
        <v>4</v>
      </c>
      <c r="C6894" s="4"/>
    </row>
    <row r="6895" spans="1:3" ht="24" customHeight="1">
      <c r="A6895" s="4" t="str">
        <f ca="1">IFERROR(__xludf.DUMMYFUNCTION("""COMPUTED_VALUE"""),"कोशातकीपुष्पगुलुच्छकान्तिभिर्मुखैर्विनिद्रोल्बणबाणचक्षुषः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||")</f>
        <v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||</v>
      </c>
      <c r="B6895" s="4" t="s">
        <v>5</v>
      </c>
      <c r="C6895" s="4"/>
    </row>
    <row r="6896" spans="1:3" ht="24" customHeight="1">
      <c r="A6896" s="4" t="str">
        <f ca="1">IFERROR(__xludf.DUMMYFUNCTION("""COMPUTED_VALUE"""),"गोष्ठेषु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||")</f>
        <v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||</v>
      </c>
      <c r="B6896" s="4" t="s">
        <v>1</v>
      </c>
      <c r="C6896" s="4"/>
    </row>
    <row r="6897" spans="1:3" ht="24" customHeight="1">
      <c r="A6897" s="4" t="str">
        <f ca="1">IFERROR(__xludf.DUMMYFUNCTION("""COMPUTED_VALUE"""),"पश्यन्कृतार्थैरपि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||")</f>
        <v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||</v>
      </c>
      <c r="B6897" s="4" t="s">
        <v>1</v>
      </c>
      <c r="C6897" s="4"/>
    </row>
    <row r="6898" spans="1:3" ht="24" customHeight="1">
      <c r="A6898" s="4" t="str">
        <f ca="1">IFERROR(__xludf.DUMMYFUNCTION("""COMPUTED_VALUE"""),"प्रीत्या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||")</f>
        <v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||</v>
      </c>
      <c r="B6898" s="4" t="s">
        <v>24</v>
      </c>
      <c r="C6898" s="4"/>
    </row>
    <row r="6899" spans="1:3" ht="24" customHeight="1">
      <c r="A6899" s="4" t="str">
        <f ca="1">IFERROR(__xludf.DUMMYFUNCTION("""COMPUTED_VALUE"""),"अभ्याजतोऽभ्यागततूर्णतर्णकान्निर्याणहस्तस्य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ग्ॐअततल्लिकां ||")</f>
        <v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ग्ॐअततल्लिकां ||</v>
      </c>
      <c r="B6899" s="4" t="s">
        <v>19</v>
      </c>
      <c r="C6899" s="4"/>
    </row>
    <row r="6900" spans="1:3" ht="24" customHeight="1">
      <c r="A6900" s="4" t="str">
        <f ca="1">IFERROR(__xludf.DUMMYFUNCTION("""COMPUTED_VALUE"""),"स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||")</f>
        <v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||</v>
      </c>
      <c r="B6900" s="4" t="s">
        <v>19</v>
      </c>
      <c r="C6900" s="4"/>
    </row>
    <row r="6901" spans="1:3" ht="24" customHeight="1">
      <c r="A6901" s="4" t="str">
        <f ca="1">IFERROR(__xludf.DUMMYFUNCTION("""COMPUTED_VALUE"""),"व्येद्धुमस्मानवधानतः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हरिव्यलोकयथ् ||")</f>
        <v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हरिव्यलोकयथ् ||</v>
      </c>
      <c r="B6901" s="4" t="s">
        <v>5</v>
      </c>
      <c r="C6901" s="4"/>
    </row>
    <row r="6902" spans="1:3" ht="24" customHeight="1">
      <c r="A6902" s="4" t="str">
        <f ca="1">IFERROR(__xludf.DUMMYFUNCTION("""COMPUTED_VALUE"""),"लीलाचलत्स्त्रीचरणारुणोत्पलस्खलत्तुलाकोटिनिनादक्ॐअलः । शौरेरुपानूपमापाहरन्मनः स्वनान्तरादुन्मदसारसारवः ||")</f>
        <v>लीलाचलत्स्त्रीचरणारुणोत्पलस्खलत्तुलाकोटिनिनादक्ॐअलः । शौरेरुपानूपमापाहरन्मनः स्वनान्तरादुन्मदसारसारवः ||</v>
      </c>
      <c r="B6902" s="4" t="s">
        <v>4</v>
      </c>
      <c r="C6902" s="4"/>
    </row>
    <row r="6903" spans="1:3" ht="24" customHeight="1">
      <c r="A6903" s="4" t="str">
        <f ca="1">IFERROR(__xludf.DUMMYFUNCTION("""COMPUTED_VALUE"""),"उच्चैर्गतामस्खलितां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||")</f>
        <v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||</v>
      </c>
      <c r="B6903" s="4" t="s">
        <v>2</v>
      </c>
      <c r="C6903" s="4"/>
    </row>
    <row r="6904" spans="1:3" ht="24" customHeight="1">
      <c r="A6904" s="4" t="str">
        <f ca="1">IFERROR(__xludf.DUMMYFUNCTION("""COMPUTED_VALUE"""),"प्रायेण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पुनर्महामहीध्रान्परितोऽध्यरोहयथ् ||")</f>
        <v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पुनर्महामहीध्रान्परितोऽध्यरोहयथ् ||</v>
      </c>
      <c r="B6904" s="4" t="s">
        <v>5</v>
      </c>
      <c r="C6904" s="4"/>
    </row>
    <row r="6905" spans="1:3" ht="24" customHeight="1">
      <c r="A6905" s="4" t="str">
        <f ca="1">IFERROR(__xludf.DUMMYFUNCTION("""COMPUTED_VALUE"""),"दन्ताग्रनिर्भिन्नपयोदमुन्मुखाः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||")</f>
        <v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||</v>
      </c>
      <c r="B6905" s="4" t="s">
        <v>9</v>
      </c>
      <c r="C6905" s="4"/>
    </row>
    <row r="6906" spans="1:3" ht="24" customHeight="1">
      <c r="A6906" s="4" t="str">
        <f ca="1">IFERROR(__xludf.DUMMYFUNCTION("""COMPUTED_VALUE"""),"श्च्योतमन्मदाम्भकणकेन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||")</f>
        <v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||</v>
      </c>
      <c r="B6906" s="4" t="s">
        <v>1</v>
      </c>
      <c r="C6906" s="4"/>
    </row>
    <row r="6907" spans="1:3" ht="24" customHeight="1">
      <c r="A6907" s="4" t="str">
        <f ca="1">IFERROR(__xludf.DUMMYFUNCTION("""COMPUTED_VALUE"""),"भग्नद्रुमाश्चक्रुरितस्ततो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||")</f>
        <v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||</v>
      </c>
      <c r="B6907" s="4" t="s">
        <v>4</v>
      </c>
      <c r="C6907" s="4"/>
    </row>
    <row r="6908" spans="1:3" ht="24" customHeight="1">
      <c r="A6908" s="4" t="str">
        <f ca="1">IFERROR(__xludf.DUMMYFUNCTION("""COMPUTED_VALUE"""),"आलोकयामास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||")</f>
        <v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||</v>
      </c>
      <c r="B6908" s="4" t="s">
        <v>4</v>
      </c>
      <c r="C6908" s="4"/>
    </row>
    <row r="6909" spans="1:3" ht="24" customHeight="1">
      <c r="A6909" s="4" t="str">
        <f ca="1">IFERROR(__xludf.DUMMYFUNCTION("""COMPUTED_VALUE"""),"शैलाधिरोहाब्यसनाधिकोद्धुरैः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||")</f>
        <v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||</v>
      </c>
      <c r="B6909" s="4" t="s">
        <v>7</v>
      </c>
      <c r="C6909" s="4"/>
    </row>
    <row r="6910" spans="1:3" ht="24" customHeight="1">
      <c r="A6910" s="4" t="str">
        <f ca="1">IFERROR(__xludf.DUMMYFUNCTION("""COMPUTED_VALUE"""),"सावज्ञमुन्मील्य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||")</f>
        <v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||</v>
      </c>
      <c r="B6910" s="4" t="s">
        <v>4</v>
      </c>
      <c r="C6910" s="4"/>
    </row>
    <row r="6911" spans="1:3" ht="24" customHeight="1">
      <c r="A6911" s="4" t="str">
        <f ca="1">IFERROR(__xludf.DUMMYFUNCTION("""COMPUTED_VALUE"""),"उत्सेधनिर्धूतमहीरुहां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||")</f>
        <v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||</v>
      </c>
      <c r="B6911" s="4" t="s">
        <v>2</v>
      </c>
      <c r="C6911" s="4"/>
    </row>
    <row r="6912" spans="1:3" ht="24" customHeight="1">
      <c r="A6912" s="4" t="str">
        <f ca="1">IFERROR(__xludf.DUMMYFUNCTION("""COMPUTED_VALUE"""),"श्मश्रूयमाणे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||")</f>
        <v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||</v>
      </c>
      <c r="B6912" s="4" t="s">
        <v>4</v>
      </c>
      <c r="C6912" s="4"/>
    </row>
    <row r="6913" spans="1:3" ht="24" customHeight="1">
      <c r="A6913" s="4" t="str">
        <f ca="1">IFERROR(__xludf.DUMMYFUNCTION("""COMPUTED_VALUE"""),"नीते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||")</f>
        <v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||</v>
      </c>
      <c r="B6913" s="4" t="s">
        <v>12</v>
      </c>
      <c r="C6913" s="4"/>
    </row>
    <row r="6914" spans="1:3" ht="24" customHeight="1">
      <c r="A6914" s="4" t="str">
        <f ca="1">IFERROR(__xludf.DUMMYFUNCTION("""COMPUTED_VALUE"""),"प्रह्वानतीव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||")</f>
        <v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||</v>
      </c>
      <c r="B6914" s="4" t="s">
        <v>9</v>
      </c>
      <c r="C6914" s="4"/>
    </row>
    <row r="6915" spans="1:3" ht="24" customHeight="1">
      <c r="A6915" s="4" t="str">
        <f ca="1">IFERROR(__xludf.DUMMYFUNCTION("""COMPUTED_VALUE"""),"स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||")</f>
        <v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||</v>
      </c>
      <c r="B6915" s="4" t="s">
        <v>15</v>
      </c>
      <c r="C6915" s="4"/>
    </row>
    <row r="6916" spans="1:3" ht="24" customHeight="1">
      <c r="A6916" s="4" t="str">
        <f ca="1">IFERROR(__xludf.DUMMYFUNCTION("""COMPUTED_VALUE"""),"यावद्व्यगाहन्त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||")</f>
        <v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||</v>
      </c>
      <c r="B6916" s="4" t="s">
        <v>2</v>
      </c>
      <c r="C6916" s="4"/>
    </row>
    <row r="6917" spans="1:3" ht="24" customHeight="1">
      <c r="A6917" s="4" t="str">
        <f ca="1">IFERROR(__xludf.DUMMYFUNCTION("""COMPUTED_VALUE"""),"रन्तुं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||")</f>
        <v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||</v>
      </c>
      <c r="B6917" s="4" t="s">
        <v>6</v>
      </c>
      <c r="C6917" s="4"/>
    </row>
    <row r="6918" spans="1:3" ht="24" customHeight="1">
      <c r="A6918" s="4" t="str">
        <f ca="1">IFERROR(__xludf.DUMMYFUNCTION("""COMPUTED_VALUE"""),"रुग्णोरुरोधः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||")</f>
        <v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||</v>
      </c>
      <c r="B6918" s="4" t="s">
        <v>6</v>
      </c>
      <c r="C6918" s="4"/>
    </row>
    <row r="6919" spans="1:3" ht="24" customHeight="1">
      <c r="A6919" s="4" t="str">
        <f ca="1">IFERROR(__xludf.DUMMYFUNCTION("""COMPUTED_VALUE"""),"पद्मैरनन्वीतवधूमुखद्युतो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||")</f>
        <v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||</v>
      </c>
      <c r="B6919" s="4" t="s">
        <v>15</v>
      </c>
      <c r="C6919" s="4"/>
    </row>
    <row r="6920" spans="1:3" ht="24" customHeight="1">
      <c r="A6920" s="4" t="str">
        <f ca="1">IFERROR(__xludf.DUMMYFUNCTION("""COMPUTED_VALUE"""),"स्नग्धाञ्जनश्यामतनूभिरुन्नतैर्निरन्तराला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||")</f>
        <v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||</v>
      </c>
      <c r="B6920" s="4" t="s">
        <v>18</v>
      </c>
      <c r="C6920" s="4"/>
    </row>
    <row r="6921" spans="1:3" ht="24" customHeight="1">
      <c r="A6921" s="4" t="str">
        <f ca="1">IFERROR(__xludf.DUMMYFUNCTION("""COMPUTED_VALUE"""),"प्रासदशोभातिशयालुभिः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||")</f>
        <v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||</v>
      </c>
      <c r="B6921" s="4" t="s">
        <v>17</v>
      </c>
      <c r="C6921" s="4"/>
    </row>
    <row r="6922" spans="1:3" ht="24" customHeight="1">
      <c r="A6922" s="4" t="str">
        <f ca="1">IFERROR(__xludf.DUMMYFUNCTION("""COMPUTED_VALUE"""),"वर्ष्म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||")</f>
        <v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||</v>
      </c>
      <c r="B6922" s="4" t="s">
        <v>5</v>
      </c>
      <c r="C6922" s="4"/>
    </row>
    <row r="6923" spans="1:3" ht="24" customHeight="1">
      <c r="A6923" s="4" t="str">
        <f ca="1">IFERROR(__xludf.DUMMYFUNCTION("""COMPUTED_VALUE"""),"आयामवद्भिः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||")</f>
        <v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||</v>
      </c>
      <c r="B6923" s="4" t="s">
        <v>2</v>
      </c>
      <c r="C6923" s="4"/>
    </row>
    <row r="6924" spans="1:3" ht="24" customHeight="1">
      <c r="A6924" s="4" t="str">
        <f ca="1">IFERROR(__xludf.DUMMYFUNCTION("""COMPUTED_VALUE"""),"उद्धूतमुच्चैर्ध्वजिनाभिरंशुभिः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||")</f>
        <v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||</v>
      </c>
      <c r="B6924" s="4" t="s">
        <v>3</v>
      </c>
      <c r="C6924" s="4"/>
    </row>
    <row r="6925" spans="1:3" ht="24" customHeight="1">
      <c r="A6925" s="4" t="str">
        <f ca="1">IFERROR(__xludf.DUMMYFUNCTION("""COMPUTED_VALUE"""),"या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||")</f>
        <v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||</v>
      </c>
      <c r="B6925" s="4" t="s">
        <v>18</v>
      </c>
      <c r="C6925" s="4"/>
    </row>
    <row r="6926" spans="1:3" ht="24" customHeight="1">
      <c r="A6926" s="4" t="str">
        <f ca="1">IFERROR(__xludf.DUMMYFUNCTION("""COMPUTED_VALUE"""),"यस्या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||")</f>
        <v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||</v>
      </c>
      <c r="B6926" s="4" t="s">
        <v>1</v>
      </c>
      <c r="C6926" s="4"/>
    </row>
    <row r="6927" spans="1:3" ht="24" customHeight="1">
      <c r="A6927" s="4" t="str">
        <f ca="1">IFERROR(__xludf.DUMMYFUNCTION("""COMPUTED_VALUE"""),"व्यक्तं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तथ् ||")</f>
        <v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तथ् ||</v>
      </c>
      <c r="B6927" s="4" t="s">
        <v>2</v>
      </c>
      <c r="C6927" s="4"/>
    </row>
    <row r="6928" spans="1:3" ht="24" customHeight="1">
      <c r="A6928" s="4" t="str">
        <f ca="1">IFERROR(__xludf.DUMMYFUNCTION("""COMPUTED_VALUE"""),"अभ्युद्यतस्य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||")</f>
        <v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||</v>
      </c>
      <c r="B6928" s="4" t="s">
        <v>15</v>
      </c>
      <c r="C6928" s="4"/>
    </row>
    <row r="6929" spans="1:3" ht="24" customHeight="1">
      <c r="A6929" s="4" t="str">
        <f ca="1">IFERROR(__xludf.DUMMYFUNCTION("""COMPUTED_VALUE"""),"लोलैररित्रैश्चरणैरिवाभितो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||")</f>
        <v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||</v>
      </c>
      <c r="B6929" s="4" t="s">
        <v>2</v>
      </c>
      <c r="C6929" s="4"/>
    </row>
    <row r="6930" spans="1:3" ht="24" customHeight="1">
      <c r="A6930" s="4" t="str">
        <f ca="1">IFERROR(__xludf.DUMMYFUNCTION("""COMPUTED_VALUE"""),"तत्पूर्वमंसद्वयसं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||")</f>
        <v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||</v>
      </c>
      <c r="B6930" s="4" t="s">
        <v>5</v>
      </c>
      <c r="C6930" s="4"/>
    </row>
    <row r="6931" spans="1:3" ht="24" customHeight="1">
      <c r="A6931" s="4" t="str">
        <f ca="1">IFERROR(__xludf.DUMMYFUNCTION("""COMPUTED_VALUE"""),"प्रोथैः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||")</f>
        <v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||</v>
      </c>
      <c r="B6931" s="4" t="s">
        <v>6</v>
      </c>
      <c r="C6931" s="4"/>
    </row>
    <row r="6932" spans="1:3" ht="24" customHeight="1">
      <c r="A6932" s="4" t="str">
        <f ca="1">IFERROR(__xludf.DUMMYFUNCTION("""COMPUTED_VALUE"""),"तीर्त्वा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||")</f>
        <v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||</v>
      </c>
      <c r="B6932" s="4" t="s">
        <v>2</v>
      </c>
      <c r="C6932" s="4"/>
    </row>
    <row r="6933" spans="1:3" ht="24" customHeight="1">
      <c r="A6933" s="4" t="str">
        <f ca="1">IFERROR(__xludf.DUMMYFUNCTION("""COMPUTED_VALUE"""),"सीमन्त्यमाना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||")</f>
        <v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||</v>
      </c>
      <c r="B6933" s="4" t="s">
        <v>4</v>
      </c>
      <c r="C6933" s="4"/>
    </row>
    <row r="6934" spans="1:3" ht="24" customHeight="1">
      <c r="A6934" s="4" t="str">
        <f ca="1">IFERROR(__xludf.DUMMYFUNCTION("""COMPUTED_VALUE"""),"अव्याहतक्षिप्रगतैः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||")</f>
        <v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||</v>
      </c>
      <c r="B6934" s="4" t="s">
        <v>6</v>
      </c>
      <c r="C6934" s="4"/>
    </row>
    <row r="6935" spans="1:3" ht="24" customHeight="1">
      <c r="A6935" s="4" t="str">
        <f ca="1">IFERROR(__xludf.DUMMYFUNCTION("""COMPUTED_VALUE"""),"विदलितमहाकूलामुक्ष्णां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||")</f>
        <v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||</v>
      </c>
      <c r="B6935" s="4" t="s">
        <v>1</v>
      </c>
      <c r="C6935" s="4"/>
    </row>
    <row r="6936" spans="1:3" ht="24" customHeight="1">
      <c r="A6936" s="4" t="str">
        <f ca="1">IFERROR(__xludf.DUMMYFUNCTION("""COMPUTED_VALUE"""),"यमुनामतीतमथ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||")</f>
        <v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||</v>
      </c>
      <c r="B6936" s="4" t="s">
        <v>5</v>
      </c>
      <c r="C6936" s="4"/>
    </row>
    <row r="6937" spans="1:3" ht="24" customHeight="1">
      <c r="A6937" s="4" t="str">
        <f ca="1">IFERROR(__xludf.DUMMYFUNCTION("""COMPUTED_VALUE"""),"यदुभर्तुरागमनलब्धजन्मनः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||")</f>
        <v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||</v>
      </c>
      <c r="B6937" s="4" t="s">
        <v>5</v>
      </c>
      <c r="C6937" s="4"/>
    </row>
    <row r="6938" spans="1:3" ht="24" customHeight="1">
      <c r="A6938" s="4" t="str">
        <f ca="1">IFERROR(__xludf.DUMMYFUNCTION("""COMPUTED_VALUE"""),"रभसप्रवृत्तकुरुचक्रदुन्दुभिध्वनिभिर्जनस्य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||")</f>
        <v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||</v>
      </c>
      <c r="B6938" s="4" t="s">
        <v>5</v>
      </c>
      <c r="C6938" s="4"/>
    </row>
    <row r="6939" spans="1:3" ht="24" customHeight="1">
      <c r="A6939" s="4" t="str">
        <f ca="1">IFERROR(__xludf.DUMMYFUNCTION("""COMPUTED_VALUE"""),"अपदान्तरं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||")</f>
        <v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||</v>
      </c>
      <c r="B6939" s="4" t="s">
        <v>1</v>
      </c>
      <c r="C6939" s="4"/>
    </row>
    <row r="6940" spans="1:3" ht="24" customHeight="1">
      <c r="A6940" s="4" t="str">
        <f ca="1">IFERROR(__xludf.DUMMYFUNCTION("""COMPUTED_VALUE"""),"द्रुतमध्वनन्नुपरि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||")</f>
        <v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||</v>
      </c>
      <c r="B6940" s="4" t="s">
        <v>1</v>
      </c>
      <c r="C6940" s="4"/>
    </row>
    <row r="6941" spans="1:3" ht="24" customHeight="1">
      <c r="A6941" s="4" t="str">
        <f ca="1">IFERROR(__xludf.DUMMYFUNCTION("""COMPUTED_VALUE"""),"व्रजतोरपि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||")</f>
        <v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||</v>
      </c>
      <c r="B6941" s="4" t="s">
        <v>2</v>
      </c>
      <c r="C6941" s="4"/>
    </row>
    <row r="6942" spans="1:3" ht="24" customHeight="1">
      <c r="A6942" s="4" t="str">
        <f ca="1">IFERROR(__xludf.DUMMYFUNCTION("""COMPUTED_VALUE"""),"अवलोक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||")</f>
        <v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||</v>
      </c>
      <c r="B6942" s="4" t="s">
        <v>18</v>
      </c>
      <c r="C6942" s="4"/>
    </row>
    <row r="6943" spans="1:3" ht="24" customHeight="1">
      <c r="A6943" s="4" t="str">
        <f ca="1">IFERROR(__xludf.DUMMYFUNCTION("""COMPUTED_VALUE"""),"वपुषा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||")</f>
        <v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||</v>
      </c>
      <c r="B6943" s="4" t="s">
        <v>18</v>
      </c>
      <c r="C6943" s="4"/>
    </row>
    <row r="6944" spans="1:3" ht="24" customHeight="1">
      <c r="A6944" s="4" t="str">
        <f ca="1">IFERROR(__xludf.DUMMYFUNCTION("""COMPUTED_VALUE"""),"मुकुटांशुरञ्जितपरागमग्रतः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||")</f>
        <v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||</v>
      </c>
      <c r="B6944" s="4" t="s">
        <v>2</v>
      </c>
      <c r="C6944" s="4"/>
    </row>
    <row r="6945" spans="1:3" ht="24" customHeight="1">
      <c r="A6945" s="4" t="str">
        <f ca="1">IFERROR(__xludf.DUMMYFUNCTION("""COMPUTED_VALUE"""),"न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||")</f>
        <v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||</v>
      </c>
      <c r="B6945" s="4" t="s">
        <v>3</v>
      </c>
      <c r="C6945" s="4"/>
    </row>
    <row r="6946" spans="1:3" ht="24" customHeight="1">
      <c r="A6946" s="4" t="str">
        <f ca="1">IFERROR(__xludf.DUMMYFUNCTION("""COMPUTED_VALUE"""),"गतया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||")</f>
        <v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||</v>
      </c>
      <c r="B6946" s="4" t="s">
        <v>5</v>
      </c>
      <c r="C6946" s="4"/>
    </row>
    <row r="6947" spans="1:3" ht="24" customHeight="1">
      <c r="A6947" s="4" t="str">
        <f ca="1">IFERROR(__xludf.DUMMYFUNCTION("""COMPUTED_VALUE"""),"शिरसि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||")</f>
        <v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||</v>
      </c>
      <c r="B6947" s="4" t="s">
        <v>9</v>
      </c>
      <c r="C6947" s="4"/>
    </row>
    <row r="6948" spans="1:3" ht="24" customHeight="1">
      <c r="A6948" s="4" t="str">
        <f ca="1">IFERROR(__xludf.DUMMYFUNCTION("""COMPUTED_VALUE"""),"सुखवेदनाहृषितर्ॐअकूपया शिथिलीकृतेऽपि वसुदेवजन्मनि । कुरुभर्तुरङ्गलतया न तत्यजे विकसत्कदम्बनिकुरम्बचारुता ||")</f>
        <v>सुखवेदनाहृषितर्ॐअकूपया शिथिलीकृतेऽपि वसुदेवजन्मनि । कुरुभर्तुरङ्गलतया न तत्यजे विकसत्कदम्बनिकुरम्बचारुता ||</v>
      </c>
      <c r="B6948" s="4" t="s">
        <v>2</v>
      </c>
      <c r="C6948" s="4"/>
    </row>
    <row r="6949" spans="1:3" ht="24" customHeight="1">
      <c r="A6949" s="4" t="str">
        <f ca="1">IFERROR(__xludf.DUMMYFUNCTION("""COMPUTED_VALUE"""),"इतरानपि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प्रसभोद्धृतासुरसभोऽसभाजयथ् ||")</f>
        <v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प्रसभोद्धृतासुरसभोऽसभाजयथ् ||</v>
      </c>
      <c r="B6949" s="4" t="s">
        <v>5</v>
      </c>
      <c r="C6949" s="4"/>
    </row>
    <row r="6950" spans="1:3" ht="24" customHeight="1">
      <c r="A6950" s="4" t="str">
        <f ca="1">IFERROR(__xludf.DUMMYFUNCTION("""COMPUTED_VALUE"""),"समपेत्य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||")</f>
        <v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||</v>
      </c>
      <c r="B6950" s="4" t="s">
        <v>4</v>
      </c>
      <c r="C6950" s="4"/>
    </row>
    <row r="6951" spans="1:3" ht="24" customHeight="1">
      <c r="A6951" s="4" t="str">
        <f ca="1">IFERROR(__xludf.DUMMYFUNCTION("""COMPUTED_VALUE"""),"इभकुम्भतुंङ्गकठिनेतरेतरस्तनभारदूरविनिवारितोदराः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||")</f>
        <v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||</v>
      </c>
      <c r="B6951" s="4" t="s">
        <v>5</v>
      </c>
      <c r="C6951" s="4"/>
    </row>
    <row r="6952" spans="1:3" ht="24" customHeight="1">
      <c r="A6952" s="4" t="str">
        <f ca="1">IFERROR(__xludf.DUMMYFUNCTION("""COMPUTED_VALUE"""),"रथवाजिपत्तिकरिणीसमाकुलं तदनीकयोः समगत द्वयं मिथः । दधिरे पृथक्करिण एव दूरतो महतां हि सर्वमथवा जनातिगं ||")</f>
        <v>रथवाजिपत्तिकरिणीसमाकुलं तदनीकयोः समगत द्वयं मिथः । दधिरे पृथक्करिण एव दूरतो महतां हि सर्वमथवा जनातिगं ||</v>
      </c>
      <c r="B6952" s="4" t="s">
        <v>15</v>
      </c>
      <c r="C6952" s="4"/>
    </row>
    <row r="6953" spans="1:3" ht="24" customHeight="1">
      <c r="A6953" s="4" t="str">
        <f ca="1">IFERROR(__xludf.DUMMYFUNCTION("""COMPUTED_VALUE"""),"अधिरुह्यतामिति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||")</f>
        <v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||</v>
      </c>
      <c r="B6953" s="4" t="s">
        <v>1</v>
      </c>
      <c r="C6953" s="4"/>
    </row>
    <row r="6954" spans="1:3" ht="24" customHeight="1">
      <c r="A6954" s="4" t="str">
        <f ca="1">IFERROR(__xludf.DUMMYFUNCTION("""COMPUTED_VALUE"""),"रथमास्थितस्य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||")</f>
        <v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||</v>
      </c>
      <c r="B6954" s="4" t="s">
        <v>2</v>
      </c>
      <c r="C6954" s="4"/>
    </row>
    <row r="6955" spans="1:3" ht="24" customHeight="1">
      <c r="A6955" s="4" t="str">
        <f ca="1">IFERROR(__xludf.DUMMYFUNCTION("""COMPUTED_VALUE"""),"शनकैरथास्य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||")</f>
        <v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||</v>
      </c>
      <c r="B6955" s="4" t="s">
        <v>19</v>
      </c>
      <c r="C6955" s="4"/>
    </row>
    <row r="6956" spans="1:3" ht="24" customHeight="1">
      <c r="A6956" s="4" t="str">
        <f ca="1">IFERROR(__xludf.DUMMYFUNCTION("""COMPUTED_VALUE"""),"विकसत्कलायकुसुमासितद्युतेरलघूडुपाण्डु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||")</f>
        <v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||</v>
      </c>
      <c r="B6956" s="4" t="s">
        <v>7</v>
      </c>
      <c r="C6956" s="4"/>
    </row>
    <row r="6957" spans="1:3" ht="24" customHeight="1">
      <c r="A6957" s="4" t="str">
        <f ca="1">IFERROR(__xludf.DUMMYFUNCTION("""COMPUTED_VALUE"""),"पवनात्मजेन्द्रसुतमध्यवर्तिना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||")</f>
        <v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||</v>
      </c>
      <c r="B6957" s="4" t="s">
        <v>1</v>
      </c>
      <c r="C6957" s="4"/>
    </row>
    <row r="6958" spans="1:3" ht="24" customHeight="1">
      <c r="A6958" s="4" t="str">
        <f ca="1">IFERROR(__xludf.DUMMYFUNCTION("""COMPUTED_VALUE"""),"वशिनं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||")</f>
        <v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||</v>
      </c>
      <c r="B6958" s="4" t="s">
        <v>2</v>
      </c>
      <c r="C6958" s="4"/>
    </row>
    <row r="6959" spans="1:3" ht="24" customHeight="1">
      <c r="A6959" s="4" t="str">
        <f ca="1">IFERROR(__xludf.DUMMYFUNCTION("""COMPUTED_VALUE"""),"मुदितैस्तदेति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||")</f>
        <v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||</v>
      </c>
      <c r="B6959" s="4" t="s">
        <v>6</v>
      </c>
      <c r="C6959" s="4"/>
    </row>
    <row r="6960" spans="1:3" ht="24" customHeight="1">
      <c r="A6960" s="4" t="str">
        <f ca="1">IFERROR(__xludf.DUMMYFUNCTION("""COMPUTED_VALUE"""),"गतयोरभेदमिति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||")</f>
        <v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||</v>
      </c>
      <c r="B6960" s="4" t="s">
        <v>1</v>
      </c>
      <c r="C6960" s="4"/>
    </row>
    <row r="6961" spans="1:3" ht="24" customHeight="1">
      <c r="A6961" s="4" t="str">
        <f ca="1">IFERROR(__xludf.DUMMYFUNCTION("""COMPUTED_VALUE"""),"मखमाक्षितुं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||")</f>
        <v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||</v>
      </c>
      <c r="B6961" s="4" t="s">
        <v>2</v>
      </c>
      <c r="C6961" s="4"/>
    </row>
    <row r="6962" spans="1:3" ht="24" customHeight="1">
      <c r="A6962" s="4" t="str">
        <f ca="1">IFERROR(__xludf.DUMMYFUNCTION("""COMPUTED_VALUE"""),"प्रतिनादपूरितदिगन्तरः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||")</f>
        <v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||</v>
      </c>
      <c r="B6962" s="4" t="s">
        <v>4</v>
      </c>
      <c r="C6962" s="4"/>
    </row>
    <row r="6963" spans="1:3" ht="24" customHeight="1">
      <c r="A6963" s="4" t="str">
        <f ca="1">IFERROR(__xludf.DUMMYFUNCTION("""COMPUTED_VALUE"""),"असकृद्गृहीतबहुदेहसम्भवस्तदसौ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||")</f>
        <v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||</v>
      </c>
      <c r="B6963" s="4" t="s">
        <v>6</v>
      </c>
      <c r="C6963" s="4"/>
    </row>
    <row r="6964" spans="1:3" ht="24" customHeight="1">
      <c r="A6964" s="4" t="str">
        <f ca="1">IFERROR(__xludf.DUMMYFUNCTION("""COMPUTED_VALUE"""),"तनुभिस्त्रिनेत्रनयनानवेक्षितस्मरविग्रहद्युतिभिरद्युतन्नराः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||")</f>
        <v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||</v>
      </c>
      <c r="B6964" s="4" t="s">
        <v>14</v>
      </c>
      <c r="C6964" s="4"/>
    </row>
    <row r="6965" spans="1:3" ht="24" customHeight="1">
      <c r="A6965" s="4" t="str">
        <f ca="1">IFERROR(__xludf.DUMMYFUNCTION("""COMPUTED_VALUE"""),"अवलोकनाय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||")</f>
        <v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||</v>
      </c>
      <c r="B6965" s="4" t="s">
        <v>2</v>
      </c>
      <c r="C6965" s="4"/>
    </row>
    <row r="6966" spans="1:3" ht="24" customHeight="1">
      <c r="A6966" s="4" t="str">
        <f ca="1">IFERROR(__xludf.DUMMYFUNCTION("""COMPUTED_VALUE"""),"अभिवीक्ष्य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||")</f>
        <v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||</v>
      </c>
      <c r="B6966" s="4" t="s">
        <v>5</v>
      </c>
      <c r="C6966" s="4"/>
    </row>
    <row r="6967" spans="1:3" ht="24" customHeight="1">
      <c r="A6967" s="4" t="str">
        <f ca="1">IFERROR(__xludf.DUMMYFUNCTION("""COMPUTED_VALUE"""),"रभसेन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||")</f>
        <v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||</v>
      </c>
      <c r="B6967" s="4" t="s">
        <v>5</v>
      </c>
      <c r="C6967" s="4"/>
    </row>
    <row r="6968" spans="1:3" ht="24" customHeight="1">
      <c r="A6968" s="4" t="str">
        <f ca="1">IFERROR(__xludf.DUMMYFUNCTION("""COMPUTED_VALUE"""),"व्यतनोदपास्य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||")</f>
        <v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||</v>
      </c>
      <c r="B6968" s="4" t="s">
        <v>2</v>
      </c>
      <c r="C6968" s="4"/>
    </row>
    <row r="6969" spans="1:3" ht="24" customHeight="1">
      <c r="A6969" s="4" t="str">
        <f ca="1">IFERROR(__xludf.DUMMYFUNCTION("""COMPUTED_VALUE"""),"व्यचलन्विशङ्कटकटीरकस्थलीशिखरस्खलन्मुखरमेखलाकुलाः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||")</f>
        <v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||</v>
      </c>
      <c r="B6969" s="4" t="s">
        <v>5</v>
      </c>
      <c r="C6969" s="4"/>
    </row>
    <row r="6970" spans="1:3" ht="24" customHeight="1">
      <c r="A6970" s="4" t="str">
        <f ca="1">IFERROR(__xludf.DUMMYFUNCTION("""COMPUTED_VALUE"""),"अधिरुक्ममन्दिरगवाक्षमुल्लसत्सदृशो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||")</f>
        <v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||</v>
      </c>
      <c r="B6970" s="4" t="s">
        <v>11</v>
      </c>
      <c r="C6970" s="4"/>
    </row>
    <row r="6971" spans="1:3" ht="24" customHeight="1">
      <c r="A6971" s="4" t="str">
        <f ca="1">IFERROR(__xludf.DUMMYFUNCTION("""COMPUTED_VALUE"""),"अधिरूढया निजनिकेतमुच्चकैः पवनावधूतवसनान्तयैकया । विहितोपशोभमुपयाति माधवे नगरं व्यरोचत पताकयेव तथ् ||")</f>
        <v>अधिरूढया निजनिकेतमुच्चकैः पवनावधूतवसनान्तयैकया । विहितोपशोभमुपयाति माधवे नगरं व्यरोचत पताकयेव तथ् ||</v>
      </c>
      <c r="B6971" s="4" t="s">
        <v>2</v>
      </c>
      <c r="C6971" s="4"/>
    </row>
    <row r="6972" spans="1:3" ht="24" customHeight="1">
      <c r="A6972" s="4" t="str">
        <f ca="1">IFERROR(__xludf.DUMMYFUNCTION("""COMPUTED_VALUE"""),"करयुग्मपद्ममुकुलापवर्जितैः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||")</f>
        <v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||</v>
      </c>
      <c r="B6972" s="4" t="s">
        <v>1</v>
      </c>
      <c r="C6972" s="4"/>
    </row>
    <row r="6973" spans="1:3" ht="24" customHeight="1">
      <c r="A6973" s="4" t="str">
        <f ca="1">IFERROR(__xludf.DUMMYFUNCTION("""COMPUTED_VALUE"""),"हिममुक्तचन्द्ररुचिरः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||")</f>
        <v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||</v>
      </c>
      <c r="B6973" s="4" t="s">
        <v>4</v>
      </c>
      <c r="C6973" s="4"/>
    </row>
    <row r="6974" spans="1:3" ht="24" customHeight="1">
      <c r="A6974" s="4" t="str">
        <f ca="1">IFERROR(__xludf.DUMMYFUNCTION("""COMPUTED_VALUE"""),"धरणीधरेन्द्रहितुर्भयादसौविषमेक्षणः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||")</f>
        <v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||</v>
      </c>
      <c r="B6974" s="4" t="s">
        <v>1</v>
      </c>
      <c r="C6974" s="4"/>
    </row>
    <row r="6975" spans="1:3" ht="24" customHeight="1">
      <c r="A6975" s="4" t="str">
        <f ca="1">IFERROR(__xludf.DUMMYFUNCTION("""COMPUTED_VALUE"""),"विपुलेन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||")</f>
        <v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||</v>
      </c>
      <c r="B6975" s="4" t="s">
        <v>8</v>
      </c>
      <c r="C6975" s="4"/>
    </row>
    <row r="6976" spans="1:3" ht="24" customHeight="1">
      <c r="A6976" s="4" t="str">
        <f ca="1">IFERROR(__xludf.DUMMYFUNCTION("""COMPUTED_VALUE"""),"अधिकोन्नमद्घनपयोधरं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व्यघट्टयथ् ||")</f>
        <v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व्यघट्टयथ् ||</v>
      </c>
      <c r="B6976" s="4" t="s">
        <v>5</v>
      </c>
      <c r="C6976" s="4"/>
    </row>
    <row r="6977" spans="1:3" ht="24" customHeight="1">
      <c r="A6977" s="4" t="str">
        <f ca="1">IFERROR(__xludf.DUMMYFUNCTION("""COMPUTED_VALUE"""),"परिपाटलाब्जदलचारुणासकृच्चलिताङ्गुलीकिसलयेन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मधोरनुदीर्णवर्णनिभृतार्थमाह्वयथ् ||")</f>
        <v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मधोरनुदीर्णवर्णनिभृतार्थमाह्वयथ् ||</v>
      </c>
      <c r="B6977" s="4" t="s">
        <v>5</v>
      </c>
      <c r="C6977" s="4"/>
    </row>
    <row r="6978" spans="1:3" ht="24" customHeight="1">
      <c r="A6978" s="4" t="str">
        <f ca="1">IFERROR(__xludf.DUMMYFUNCTION("""COMPUTED_VALUE"""),"नलिनान्तिकोपहितपल्लवश्रिया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||")</f>
        <v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||</v>
      </c>
      <c r="B6978" s="4" t="s">
        <v>0</v>
      </c>
      <c r="C6978" s="4"/>
    </row>
    <row r="6979" spans="1:3" ht="24" customHeight="1">
      <c r="A6979" s="4" t="str">
        <f ca="1">IFERROR(__xludf.DUMMYFUNCTION("""COMPUTED_VALUE"""),"वलयार्पितासितमहोपलप्रभाबहुलीकृतप्रतनुर्ॐअराजिना । हरिवीक्षणाक्षणिकचक्षुषान्यया करपल्लवेन गलदम्बरं दधे ||")</f>
        <v>वलयार्पितासितमहोपलप्रभाबहुलीकृतप्रतनुर्ॐअराजिना । हरिवीक्षणाक्षणिकचक्षुषान्यया करपल्लवेन गलदम्बरं दधे ||</v>
      </c>
      <c r="B6979" s="4" t="s">
        <v>20</v>
      </c>
      <c r="C6979" s="4"/>
    </row>
    <row r="6980" spans="1:3" ht="24" customHeight="1">
      <c r="A6980" s="4" t="str">
        <f ca="1">IFERROR(__xludf.DUMMYFUNCTION("""COMPUTED_VALUE"""),"निजसौरभभ्रमितभृङ्गपक्षतिव्यजनानिलक्षयितघर्मवारिणः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||")</f>
        <v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||</v>
      </c>
      <c r="B6980" s="4" t="s">
        <v>2</v>
      </c>
      <c r="C6980" s="4"/>
    </row>
    <row r="6981" spans="1:3" ht="24" customHeight="1">
      <c r="A6981" s="4" t="str">
        <f ca="1">IFERROR(__xludf.DUMMYFUNCTION("""COMPUTED_VALUE"""),"अभियाति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||")</f>
        <v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||</v>
      </c>
      <c r="B6981" s="4" t="s">
        <v>9</v>
      </c>
      <c r="C6981" s="4"/>
    </row>
    <row r="6982" spans="1:3" ht="24" customHeight="1">
      <c r="A6982" s="4" t="str">
        <f ca="1">IFERROR(__xludf.DUMMYFUNCTION("""COMPUTED_VALUE"""),"अकृतस्वसद्मगमनादरः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||")</f>
        <v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||</v>
      </c>
      <c r="B6982" s="4" t="s">
        <v>1</v>
      </c>
      <c r="C6982" s="4"/>
    </row>
    <row r="6983" spans="1:3" ht="24" customHeight="1">
      <c r="A6983" s="4" t="str">
        <f ca="1">IFERROR(__xludf.DUMMYFUNCTION("""COMPUTED_VALUE"""),"अलसैर्मदेन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||")</f>
        <v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||</v>
      </c>
      <c r="B6983" s="4" t="s">
        <v>0</v>
      </c>
      <c r="C6983" s="4"/>
    </row>
    <row r="6984" spans="1:3" ht="24" customHeight="1">
      <c r="A6984" s="4" t="str">
        <f ca="1">IFERROR(__xludf.DUMMYFUNCTION("""COMPUTED_VALUE"""),"नवगन्धवारिविरजीकृताः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||")</f>
        <v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||</v>
      </c>
      <c r="B6984" s="4" t="s">
        <v>0</v>
      </c>
      <c r="C6984" s="4"/>
    </row>
    <row r="6985" spans="1:3" ht="24" customHeight="1">
      <c r="A6985" s="4" t="str">
        <f ca="1">IFERROR(__xludf.DUMMYFUNCTION("""COMPUTED_VALUE"""),"उपनीय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||")</f>
        <v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||</v>
      </c>
      <c r="B6985" s="4" t="s">
        <v>2</v>
      </c>
      <c r="C6985" s="4"/>
    </row>
    <row r="6986" spans="1:3" ht="24" customHeight="1">
      <c r="A6986" s="4" t="str">
        <f ca="1">IFERROR(__xludf.DUMMYFUNCTION("""COMPUTED_VALUE"""),"अधिरात्रि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||")</f>
        <v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||</v>
      </c>
      <c r="B6986" s="4" t="s">
        <v>2</v>
      </c>
      <c r="C6986" s="4"/>
    </row>
    <row r="6987" spans="1:3" ht="24" customHeight="1">
      <c r="A6987" s="4" t="str">
        <f ca="1">IFERROR(__xludf.DUMMYFUNCTION("""COMPUTED_VALUE"""),"लयनेषु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||")</f>
        <v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||</v>
      </c>
      <c r="B6987" s="4" t="s">
        <v>4</v>
      </c>
      <c r="C6987" s="4"/>
    </row>
    <row r="6988" spans="1:3" ht="24" customHeight="1">
      <c r="A6988" s="4" t="str">
        <f ca="1">IFERROR(__xludf.DUMMYFUNCTION("""COMPUTED_VALUE"""),"विशदाश्मकूटघटिताः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||")</f>
        <v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||</v>
      </c>
      <c r="B6988" s="4" t="s">
        <v>2</v>
      </c>
      <c r="C6988" s="4"/>
    </row>
    <row r="6989" spans="1:3" ht="24" customHeight="1">
      <c r="A6989" s="4" t="str">
        <f ca="1">IFERROR(__xludf.DUMMYFUNCTION("""COMPUTED_VALUE"""),"निलयेषुनक्तमसिताश्मनां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||")</f>
        <v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||</v>
      </c>
      <c r="B6989" s="4" t="s">
        <v>0</v>
      </c>
      <c r="C6989" s="4"/>
    </row>
    <row r="6990" spans="1:3" ht="24" customHeight="1">
      <c r="A6990" s="4" t="str">
        <f ca="1">IFERROR(__xludf.DUMMYFUNCTION("""COMPUTED_VALUE"""),"सुखिनः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||")</f>
        <v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||</v>
      </c>
      <c r="B6990" s="4" t="s">
        <v>9</v>
      </c>
      <c r="C6990" s="4"/>
    </row>
    <row r="6991" spans="1:3" ht="24" customHeight="1">
      <c r="A6991" s="4" t="str">
        <f ca="1">IFERROR(__xludf.DUMMYFUNCTION("""COMPUTED_VALUE"""),"तृणवाञ्छया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||")</f>
        <v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||</v>
      </c>
      <c r="B6991" s="4" t="s">
        <v>2</v>
      </c>
      <c r="C6991" s="4"/>
    </row>
    <row r="6992" spans="1:3" ht="24" customHeight="1">
      <c r="A6992" s="4" t="str">
        <f ca="1">IFERROR(__xludf.DUMMYFUNCTION("""COMPUTED_VALUE"""),"विपुलालवालभृतवारिदर्पणप्रतिमागतैरभिविरेजुरात्मभिः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||")</f>
        <v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||</v>
      </c>
      <c r="B6992" s="4" t="s">
        <v>2</v>
      </c>
      <c r="C6992" s="4"/>
    </row>
    <row r="6993" spans="1:3" ht="24" customHeight="1">
      <c r="A6993" s="4" t="str">
        <f ca="1">IFERROR(__xludf.DUMMYFUNCTION("""COMPUTED_VALUE"""),"उरगेन्द्रमूर्धरुहरत्नसन्निधेर्मुहुरुन्नतस्य रसितैः पय्ॐउचः । अभवन्यदङ्गणभुवः समुच्छ्वसन्नववालवायजमणिस्थलाङ्कुराः ||")</f>
        <v>उरगेन्द्रमूर्धरुहरत्नसन्निधेर्मुहुरुन्नतस्य रसितैः पय्ॐउचः । अभवन्यदङ्गणभुवः समुच्छ्वसन्नववालवायजमणिस्थलाङ्कुराः ||</v>
      </c>
      <c r="B6993" s="4" t="s">
        <v>0</v>
      </c>
      <c r="C6993" s="4"/>
    </row>
    <row r="6994" spans="1:3" ht="24" customHeight="1">
      <c r="A6994" s="4" t="str">
        <f ca="1">IFERROR(__xludf.DUMMYFUNCTION("""COMPUTED_VALUE"""),"नलिनी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||")</f>
        <v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||</v>
      </c>
      <c r="B6994" s="4" t="s">
        <v>5</v>
      </c>
      <c r="C6994" s="4"/>
    </row>
    <row r="6995" spans="1:3" ht="24" customHeight="1">
      <c r="A6995" s="4" t="str">
        <f ca="1">IFERROR(__xludf.DUMMYFUNCTION("""COMPUTED_VALUE"""),"हसितुं परेण परितः परिस्फुरत्करवालक्ॐअलरुचावुपेक्षितैः । उदकर्षि यत्र जलशङ्कया जनैर्मुहुरिन्द्रनीलभुवि दूरमम्बरं ||")</f>
        <v>हसितुं परेण परितः परिस्फुरत्करवालक्ॐअलरुचावुपेक्षितैः । उदकर्षि यत्र जलशङ्कया जनैर्मुहुरिन्द्रनीलभुवि दूरमम्बरं ||</v>
      </c>
      <c r="B6995" s="4" t="s">
        <v>0</v>
      </c>
      <c r="C6995" s="4"/>
    </row>
    <row r="6996" spans="1:3" ht="24" customHeight="1">
      <c r="A6996" s="4" t="str">
        <f ca="1">IFERROR(__xludf.DUMMYFUNCTION("""COMPUTED_VALUE"""),"अभितः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||")</f>
        <v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||</v>
      </c>
      <c r="B6996" s="4" t="s">
        <v>4</v>
      </c>
      <c r="C6996" s="4"/>
    </row>
    <row r="6997" spans="1:3" ht="24" customHeight="1">
      <c r="A6997" s="4" t="str">
        <f ca="1">IFERROR(__xludf.DUMMYFUNCTION("""COMPUTED_VALUE"""),"तदलक्ष्यरत्नमयकुड्यमादरादभिधातरीत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||")</f>
        <v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||</v>
      </c>
      <c r="B6997" s="4" t="s">
        <v>1</v>
      </c>
      <c r="C6997" s="4"/>
    </row>
    <row r="6998" spans="1:3" ht="24" customHeight="1">
      <c r="A6998" s="4" t="str">
        <f ca="1">IFERROR(__xludf.DUMMYFUNCTION("""COMPUTED_VALUE"""),"नवहाटकेष्टकचितं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||")</f>
        <v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||</v>
      </c>
      <c r="B6998" s="4" t="s">
        <v>9</v>
      </c>
      <c r="C6998" s="4"/>
    </row>
    <row r="6999" spans="1:3" ht="24" customHeight="1">
      <c r="A6999" s="4" t="str">
        <f ca="1">IFERROR(__xludf.DUMMYFUNCTION("""COMPUTED_VALUE"""),"उदयाद्रिमूर्ध्नि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||")</f>
        <v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||</v>
      </c>
      <c r="B6999" s="4" t="s">
        <v>2</v>
      </c>
      <c r="C6999" s="4"/>
    </row>
    <row r="7000" spans="1:3" ht="24" customHeight="1">
      <c r="A7000" s="4" t="str">
        <f ca="1">IFERROR(__xludf.DUMMYFUNCTION("""COMPUTED_VALUE"""),"सुतरां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||")</f>
        <v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||</v>
      </c>
      <c r="B7000" s="4" t="s">
        <v>10</v>
      </c>
      <c r="C7000" s="4"/>
    </row>
    <row r="7001" spans="1:3" ht="24" customHeight="1">
      <c r="A7001" s="4" t="str">
        <f ca="1">IFERROR(__xludf.DUMMYFUNCTION("""COMPUTED_VALUE"""),"अनवद्यवाद्यलयगामि क्ॐअलं नवगीतमप्यनवगीततां दधथ् । स्फुटसात्विकाङ्गिकमनृत्यदुज्ज्वलं सविलासलासिकविलासनीजनः ||")</f>
        <v>अनवद्यवाद्यलयगामि क्ॐअलं नवगीतमप्यनवगीततां दधथ् । स्फुटसात्विकाङ्गिकमनृत्यदुज्ज्वलं सविलासलासिकविलासनीजनः ||</v>
      </c>
      <c r="B7001" s="4" t="s">
        <v>1</v>
      </c>
      <c r="C7001" s="4"/>
    </row>
    <row r="7002" spans="1:3" ht="24" customHeight="1">
      <c r="A7002" s="4" t="str">
        <f ca="1">IFERROR(__xludf.DUMMYFUNCTION("""COMPUTED_VALUE"""),"सकले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||")</f>
        <v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||</v>
      </c>
      <c r="B7002" s="4" t="s">
        <v>2</v>
      </c>
      <c r="C7002" s="4"/>
    </row>
    <row r="7003" spans="1:3" ht="24" customHeight="1">
      <c r="A7003" s="4" t="str">
        <f ca="1">IFERROR(__xludf.DUMMYFUNCTION("""COMPUTED_VALUE"""),"हरिराकुमारमखिलाभिधानवित्स्वजनस्य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||")</f>
        <v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||</v>
      </c>
      <c r="B7003" s="4" t="s">
        <v>2</v>
      </c>
      <c r="C7003" s="4"/>
    </row>
    <row r="7004" spans="1:3" ht="24" customHeight="1">
      <c r="A7004" s="4" t="str">
        <f ca="1">IFERROR(__xludf.DUMMYFUNCTION("""COMPUTED_VALUE"""),"मर्त्यलोकदुरवापमवाप्तरसोदयं नूतनत्वमतिरिक्ततयानुपदं दधथ् । श्रीपतिः पतिरसाववनेश्च परस्परं सङ्कथामृतमनेकमसिस्वदताममुभौ ||")</f>
        <v>मर्त्यलोकदुरवापमवाप्तरसोदयं नूतनत्वमतिरिक्ततयानुपदं दधथ् । श्रीपतिः पतिरसाववनेश्च परस्परं सङ्कथामृतमनेकमसिस्वदताममुभौ ||</v>
      </c>
      <c r="B7004" s="4" t="s">
        <v>6</v>
      </c>
      <c r="C7004" s="4"/>
    </row>
    <row r="7005" spans="1:3" ht="24" customHeight="1">
      <c r="A7005" s="4" t="str">
        <f ca="1">IFERROR(__xludf.DUMMYFUNCTION("""COMPUTED_VALUE"""),"तं जगाद गिरमुद्गिरन्निव स्नेहमाहितविकासया दृशा । यज्ञकर्मणि मनः समादधद्वाग्विदां वरमकमद्वदो नृपः ||")</f>
        <v>तं जगाद गिरमुद्गिरन्निव स्नेहमाहितविकासया दृशा । यज्ञकर्मणि मनः समादधद्वाग्विदां वरमकमद्वदो नृपः ||</v>
      </c>
      <c r="B7005" s="4" t="s">
        <v>9</v>
      </c>
      <c r="C7005" s="4"/>
    </row>
    <row r="7006" spans="1:3" ht="24" customHeight="1">
      <c r="A7006" s="4" t="str">
        <f ca="1">IFERROR(__xludf.DUMMYFUNCTION("""COMPUTED_VALUE"""),"लज्जते न गदितः प्रियं परो वक्तुरेव भवति त्रपाधिका । व्रीडमेतिन तव प्रियं वदन्ह्रीमतात्रभवतैव भूयते ||")</f>
        <v>लज्जते न गदितः प्रियं परो वक्तुरेव भवति त्रपाधिका । व्रीडमेतिन तव प्रियं वदन्ह्रीमतात्रभवतैव भूयते ||</v>
      </c>
      <c r="B7006" s="4" t="s">
        <v>2</v>
      </c>
      <c r="C7006" s="4"/>
    </row>
    <row r="7007" spans="1:3" ht="24" customHeight="1">
      <c r="A7007" s="4" t="str">
        <f ca="1">IFERROR(__xludf.DUMMYFUNCTION("""COMPUTED_VALUE"""),"तोषमेति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||")</f>
        <v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||</v>
      </c>
      <c r="B7007" s="4" t="s">
        <v>18</v>
      </c>
      <c r="C7007" s="4"/>
    </row>
    <row r="7008" spans="1:3" ht="24" customHeight="1">
      <c r="A7008" s="4" t="str">
        <f ca="1">IFERROR(__xludf.DUMMYFUNCTION("""COMPUTED_VALUE"""),"बह्वपि प्रियमयं तव ब्रुवन्न व्रजत्यनृतवादितां जनः । सम्भवन्ति यददोषदूषिते सार्व सर्वगुणसम्पदस्त्वयि ||")</f>
        <v>बह्वपि प्रियमयं तव ब्रुवन्न व्रजत्यनृतवादितां जनः । सम्भवन्ति यददोषदूषिते सार्व सर्वगुणसम्पदस्त्वयि ||</v>
      </c>
      <c r="B7008" s="4" t="s">
        <v>5</v>
      </c>
      <c r="C7008" s="4"/>
    </row>
    <row r="7009" spans="1:3" ht="24" customHeight="1">
      <c r="A7009" s="4" t="str">
        <f ca="1">IFERROR(__xludf.DUMMYFUNCTION("""COMPUTED_VALUE"""),"सा विभूतिरनुभाव सम्पदां भूयसी तव यदायतायति । एतदूढगुरुभार भारतं वर्षमद्य मम वर्तते वशे ||")</f>
        <v>सा विभूतिरनुभाव सम्पदां भूयसी तव यदायतायति । एतदूढगुरुभार भारतं वर्षमद्य मम वर्तते वशे ||</v>
      </c>
      <c r="B7009" s="4" t="s">
        <v>8</v>
      </c>
      <c r="C7009" s="4"/>
    </row>
    <row r="7010" spans="1:3" ht="24" customHeight="1">
      <c r="A7010" s="4" t="str">
        <f ca="1">IFERROR(__xludf.DUMMYFUNCTION("""COMPUTED_VALUE"""),"सप्ततन्तुमधिगन्तुमिच्छतः कुर्वनुग्रहमनुज्ञया मम । मूलतामुपगते प्रभो त्वयि प्रापि धर्ममयवृक्षता मया ||")</f>
        <v>सप्ततन्तुमधिगन्तुमिच्छतः कुर्वनुग्रहमनुज्ञया मम । मूलतामुपगते प्रभो त्वयि प्रापि धर्ममयवृक्षता मया ||</v>
      </c>
      <c r="B7010" s="4" t="s">
        <v>5</v>
      </c>
      <c r="C7010" s="4"/>
    </row>
    <row r="7011" spans="1:3" ht="24" customHeight="1">
      <c r="A7011" s="4" t="str">
        <f ca="1">IFERROR(__xludf.DUMMYFUNCTION("""COMPUTED_VALUE"""),"सम्भृतोपकरणेन निर्मलां कर्तुमिष्टिमभिवाञ्छता मया । त्वं समीरण इव प्रतीक्षितः कर्षकेण वलजान्पुपूषता ||")</f>
        <v>सम्भृतोपकरणेन निर्मलां कर्तुमिष्टिमभिवाञ्छता मया । त्वं समीरण इव प्रतीक्षितः कर्षकेण वलजान्पुपूषता ||</v>
      </c>
      <c r="B7011" s="4" t="s">
        <v>2</v>
      </c>
      <c r="C7011" s="4"/>
    </row>
    <row r="7012" spans="1:3" ht="24" customHeight="1">
      <c r="A7012" s="4" t="str">
        <f ca="1">IFERROR(__xludf.DUMMYFUNCTION("""COMPUTED_VALUE"""),"वीतविघ्नमनघेन भाविता सन्निधेस्तव मखेन मेऽधुना । को विहन्तुमलमास्थितोदये वासरश्रियमशीतदीधितौ ||")</f>
        <v>वीतविघ्नमनघेन भाविता सन्निधेस्तव मखेन मेऽधुना । को विहन्तुमलमास्थितोदये वासरश्रियमशीतदीधितौ ||</v>
      </c>
      <c r="B7012" s="4" t="s">
        <v>2</v>
      </c>
      <c r="C7012" s="4"/>
    </row>
    <row r="7013" spans="1:3" ht="24" customHeight="1">
      <c r="A7013" s="4" t="str">
        <f ca="1">IFERROR(__xludf.DUMMYFUNCTION("""COMPUTED_VALUE"""),"स्वापतेयमधिगम्य धर्मतः पर्यपालयमवीवृधं च यथ् । तीर्थगामी करवै विधानतस्तज्जुषस्व जुहवानि चानले ||")</f>
        <v>स्वापतेयमधिगम्य धर्मतः पर्यपालयमवीवृधं च यथ् । तीर्थगामी करवै विधानतस्तज्जुषस्व जुहवानि चानले ||</v>
      </c>
      <c r="B7013" s="4" t="s">
        <v>11</v>
      </c>
      <c r="C7013" s="4"/>
    </row>
    <row r="7014" spans="1:3" ht="24" customHeight="1">
      <c r="A7014" s="4" t="str">
        <f ca="1">IFERROR(__xludf.DUMMYFUNCTION("""COMPUTED_VALUE"""),"पूर्वमङ्ग जुहुधि त्वमेव वा स्नातवत्यवभृथे ततस्त्वयि । स्ॐअपायिनि भविष्यते मया वाञ्छितोत्तमवितानयाजिना ||")</f>
        <v>पूर्वमङ्ग जुहुधि त्वमेव वा स्नातवत्यवभृथे ततस्त्वयि । स्ॐअपायिनि भविष्यते मया वाञ्छितोत्तमवितानयाजिना ||</v>
      </c>
      <c r="B7014" s="4" t="s">
        <v>1</v>
      </c>
      <c r="C7014" s="4"/>
    </row>
    <row r="7015" spans="1:3" ht="24" customHeight="1">
      <c r="A7015" s="4" t="str">
        <f ca="1">IFERROR(__xludf.DUMMYFUNCTION("""COMPUTED_VALUE"""),"किं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||")</f>
        <v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||</v>
      </c>
      <c r="B7015" s="4" t="s">
        <v>3</v>
      </c>
      <c r="C7015" s="4"/>
    </row>
    <row r="7016" spans="1:3" ht="24" customHeight="1">
      <c r="A7016" s="4" t="str">
        <f ca="1">IFERROR(__xludf.DUMMYFUNCTION("""COMPUTED_VALUE"""),"तं वदन्तमिति विष्टरश्रवाः श्रावयन्नथ समस्तभूभृतः । व्याजहार दशनांशुमण्डलव्याजहार शबलं दधद्वपुः ||")</f>
        <v>तं वदन्तमिति विष्टरश्रवाः श्रावयन्नथ समस्तभूभृतः । व्याजहार दशनांशुमण्डलव्याजहार शबलं दधद्वपुः ||</v>
      </c>
      <c r="B7016" s="4" t="s">
        <v>9</v>
      </c>
      <c r="C7016" s="4"/>
    </row>
    <row r="7017" spans="1:3" ht="24" customHeight="1">
      <c r="A7017" s="4" t="str">
        <f ca="1">IFERROR(__xludf.DUMMYFUNCTION("""COMPUTED_VALUE"""),"सादिताखिलनृपं महन्महः सम्प्रति स्वनयसंपदैव ते । किं परस्य स गुणः समश्नुते पथ्यवृत्तिरपि यद्यरोगितां ||")</f>
        <v>सादिताखिलनृपं महन्महः सम्प्रति स्वनयसंपदैव ते । किं परस्य स गुणः समश्नुते पथ्यवृत्तिरपि यद्यरोगितां ||</v>
      </c>
      <c r="B7017" s="4" t="s">
        <v>2</v>
      </c>
      <c r="C7017" s="4"/>
    </row>
    <row r="7018" spans="1:3" ht="24" customHeight="1">
      <c r="A7018" s="4" t="str">
        <f ca="1">IFERROR(__xludf.DUMMYFUNCTION("""COMPUTED_VALUE"""),"तत्सुराज्ञि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||")</f>
        <v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||</v>
      </c>
      <c r="B7018" s="4" t="s">
        <v>2</v>
      </c>
      <c r="C7018" s="4"/>
    </row>
    <row r="7019" spans="1:3" ht="24" customHeight="1">
      <c r="A7019" s="4" t="str">
        <f ca="1">IFERROR(__xludf.DUMMYFUNCTION("""COMPUTED_VALUE"""),"शासनेऽपि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||")</f>
        <v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||</v>
      </c>
      <c r="B7019" s="4" t="s">
        <v>15</v>
      </c>
      <c r="C7019" s="4"/>
    </row>
    <row r="7020" spans="1:3" ht="24" customHeight="1">
      <c r="A7020" s="4" t="str">
        <f ca="1">IFERROR(__xludf.DUMMYFUNCTION("""COMPUTED_VALUE"""),"यस्तवेह सवने न भूपतिः कर्म कर्मकरवत्करिष्यति । तस्य नेष्यति वपुः कबन्धतां बन्धुरेव जगतां सुदर्शनः ||")</f>
        <v>यस्तवेह सवने न भूपतिः कर्म कर्मकरवत्करिष्यति । तस्य नेष्यति वपुः कबन्धतां बन्धुरेव जगतां सुदर्शनः ||</v>
      </c>
      <c r="B7020" s="4" t="s">
        <v>1</v>
      </c>
      <c r="C7020" s="4"/>
    </row>
    <row r="7021" spans="1:3" ht="24" customHeight="1">
      <c r="A7021" s="4" t="str">
        <f ca="1">IFERROR(__xludf.DUMMYFUNCTION("""COMPUTED_VALUE"""),"इत्युदीरितगिरं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||")</f>
        <v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||</v>
      </c>
      <c r="B7021" s="4" t="s">
        <v>2</v>
      </c>
      <c r="C7021" s="4"/>
    </row>
    <row r="7022" spans="1:3" ht="24" customHeight="1">
      <c r="A7022" s="4" t="str">
        <f ca="1">IFERROR(__xludf.DUMMYFUNCTION("""COMPUTED_VALUE"""),"आननेन शशिनः कलां दधद्दर्शनक्षयितकामविग्रहः । आप्लुतः स विमलैर्जलैरभूदष्टमूर्तिधरमूर्तिरष्टमी ||")</f>
        <v>आननेन शशिनः कलां दधद्दर्शनक्षयितकामविग्रहः । आप्लुतः स विमलैर्जलैरभूदष्टमूर्तिधरमूर्तिरष्टमी ||</v>
      </c>
      <c r="B7022" s="4" t="s">
        <v>12</v>
      </c>
      <c r="C7022" s="4"/>
    </row>
    <row r="7023" spans="1:3" ht="24" customHeight="1">
      <c r="A7023" s="4" t="str">
        <f ca="1">IFERROR(__xludf.DUMMYFUNCTION("""COMPUTED_VALUE"""),"तस्य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||")</f>
        <v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||</v>
      </c>
      <c r="B7023" s="4" t="s">
        <v>3</v>
      </c>
      <c r="C7023" s="4"/>
    </row>
    <row r="7024" spans="1:3" ht="24" customHeight="1">
      <c r="A7024" s="4" t="str">
        <f ca="1">IFERROR(__xludf.DUMMYFUNCTION("""COMPUTED_VALUE"""),"शब्दितामनपशब्दमुच्चकैर्वाक्यलक्षणविदोऽनुवाक्यया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||")</f>
        <v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||</v>
      </c>
      <c r="B7024" s="4" t="s">
        <v>2</v>
      </c>
      <c r="C7024" s="4"/>
    </row>
    <row r="7025" spans="1:3" ht="24" customHeight="1">
      <c r="A7025" s="4" t="str">
        <f ca="1">IFERROR(__xludf.DUMMYFUNCTION("""COMPUTED_VALUE"""),"सप्तमभेदकरकल्पितस्वरं साम सामविदसङ्गमुज्जगौ । तत्र सूनृतगिरश्च सूरयः पुण्यमृग्यजुषमध्यगीषत ||")</f>
        <v>सप्तमभेदकरकल्पितस्वरं साम सामविदसङ्गमुज्जगौ । तत्र सूनृतगिरश्च सूरयः पुण्यमृग्यजुषमध्यगीषत ||</v>
      </c>
      <c r="B7025" s="4" t="s">
        <v>2</v>
      </c>
      <c r="C7025" s="4"/>
    </row>
    <row r="7026" spans="1:3" ht="24" customHeight="1">
      <c r="A7026" s="4" t="str">
        <f ca="1">IFERROR(__xludf.DUMMYFUNCTION("""COMPUTED_VALUE"""),"बद्धदर्भमयकाञ्चिदामया वीक्षितानि यजमानजायया । शुष्मणि प्रणयनादिसंस्कृते तैर्हवींषि जुहवांबभूविरे ||")</f>
        <v>बद्धदर्भमयकाञ्चिदामया वीक्षितानि यजमानजायया । शुष्मणि प्रणयनादिसंस्कृते तैर्हवींषि जुहवांबभूविरे ||</v>
      </c>
      <c r="B7026" s="4" t="s">
        <v>0</v>
      </c>
      <c r="C7026" s="4"/>
    </row>
    <row r="7027" spans="1:3" ht="24" customHeight="1">
      <c r="A7027" s="4" t="str">
        <f ca="1">IFERROR(__xludf.DUMMYFUNCTION("""COMPUTED_VALUE"""),"नाञ्ञ्जसा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||")</f>
        <v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||</v>
      </c>
      <c r="B7027" s="4" t="s">
        <v>7</v>
      </c>
      <c r="C7027" s="4"/>
    </row>
    <row r="7028" spans="1:3" ht="24" customHeight="1">
      <c r="A7028" s="4" t="str">
        <f ca="1">IFERROR(__xludf.DUMMYFUNCTION("""COMPUTED_VALUE"""),"संशयाय दधतोः सरूपता दूरभिन्नफलयोः क्रियां प्रति । शब्दशासनविदः समासयोर्विग्रहं व्यवससुः स्वरेण ते ||")</f>
        <v>संशयाय दधतोः सरूपता दूरभिन्नफलयोः क्रियां प्रति । शब्दशासनविदः समासयोर्विग्रहं व्यवससुः स्वरेण ते ||</v>
      </c>
      <c r="B7028" s="4" t="s">
        <v>2</v>
      </c>
      <c r="C7028" s="4"/>
    </row>
    <row r="7029" spans="1:3" ht="24" customHeight="1">
      <c r="A7029" s="4" t="str">
        <f ca="1">IFERROR(__xludf.DUMMYFUNCTION("""COMPUTED_VALUE"""),"लोलहेतिरसनाशतप्रभामण्डलेन लसता हसन्निव । प्राज्यमाज्यमसकृद्वषट्कृतं निर्मलीमसमलीढ पावकः ||")</f>
        <v>लोलहेतिरसनाशतप्रभामण्डलेन लसता हसन्निव । प्राज्यमाज्यमसकृद्वषट्कृतं निर्मलीमसमलीढ पावकः ||</v>
      </c>
      <c r="B7029" s="4" t="s">
        <v>19</v>
      </c>
      <c r="C7029" s="4"/>
    </row>
    <row r="7030" spans="1:3" ht="24" customHeight="1">
      <c r="A7030" s="4" t="str">
        <f ca="1">IFERROR(__xludf.DUMMYFUNCTION("""COMPUTED_VALUE"""),"तत्र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||")</f>
        <v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||</v>
      </c>
      <c r="B7030" s="4" t="s">
        <v>3</v>
      </c>
      <c r="C7030" s="4"/>
    </row>
    <row r="7031" spans="1:3" ht="24" customHeight="1">
      <c r="A7031" s="4" t="str">
        <f ca="1">IFERROR(__xludf.DUMMYFUNCTION("""COMPUTED_VALUE"""),"स्पर्शमुष्णमुचितं दधच्छिखी यद्ददाह हविरद्भुतं न तथ् । गन्धतोऽपि हुतहव्यसम्भवाद्देहिनामदहदोघमंहसां ||")</f>
        <v>स्पर्शमुष्णमुचितं दधच्छिखी यद्ददाह हविरद्भुतं न तथ् । गन्धतोऽपि हुतहव्यसम्भवाद्देहिनामदहदोघमंहसां ||</v>
      </c>
      <c r="B7031" s="4" t="s">
        <v>18</v>
      </c>
      <c r="C7031" s="4"/>
    </row>
    <row r="7032" spans="1:3" ht="24" customHeight="1">
      <c r="A7032" s="4" t="str">
        <f ca="1">IFERROR(__xludf.DUMMYFUNCTION("""COMPUTED_VALUE"""),"उन्नमन्सपदि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||")</f>
        <v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||</v>
      </c>
      <c r="B7032" s="4" t="s">
        <v>5</v>
      </c>
      <c r="C7032" s="4"/>
    </row>
    <row r="7033" spans="1:3" ht="24" customHeight="1">
      <c r="A7033" s="4" t="str">
        <f ca="1">IFERROR(__xludf.DUMMYFUNCTION("""COMPUTED_VALUE"""),"निर्जिताखिलमहार्णवौषधिस्यन्दसारममृतं ववल्गिरे । नाकिनः कथमपि प्रतीक्षितुं हूयमानमनले विषेहिरे ||")</f>
        <v>निर्जिताखिलमहार्णवौषधिस्यन्दसारममृतं ववल्गिरे । नाकिनः कथमपि प्रतीक्षितुं हूयमानमनले विषेहिरे ||</v>
      </c>
      <c r="B7033" s="4" t="s">
        <v>0</v>
      </c>
      <c r="C7033" s="4"/>
    </row>
    <row r="7034" spans="1:3" ht="24" customHeight="1">
      <c r="A7034" s="4" t="str">
        <f ca="1">IFERROR(__xludf.DUMMYFUNCTION("""COMPUTED_VALUE"""),"तत्र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||")</f>
        <v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||</v>
      </c>
      <c r="B7034" s="4" t="s">
        <v>3</v>
      </c>
      <c r="C7034" s="4"/>
    </row>
    <row r="7035" spans="1:3" ht="24" customHeight="1">
      <c r="A7035" s="4" t="str">
        <f ca="1">IFERROR(__xludf.DUMMYFUNCTION("""COMPUTED_VALUE"""),"प्राशुराशु हवनीयमत्र यत्तेन दीर्घममरत्वमध्यगुः । उद्धतानधिक मेधितौजसो दानवांश्च विबुधाः विजिग्यिरे ||")</f>
        <v>प्राशुराशु हवनीयमत्र यत्तेन दीर्घममरत्वमध्यगुः । उद्धतानधिक मेधितौजसो दानवांश्च विबुधाः विजिग्यिरे ||</v>
      </c>
      <c r="B7035" s="4" t="s">
        <v>0</v>
      </c>
      <c r="C7035" s="4"/>
    </row>
    <row r="7036" spans="1:3" ht="24" customHeight="1">
      <c r="A7036" s="4" t="str">
        <f ca="1">IFERROR(__xludf.DUMMYFUNCTION("""COMPUTED_VALUE"""),"नापचारमगमन्क्कच्चित्क्रियाः सर्वमत्र समपादि साधनं । अत्यशेरत परस्परं धियः सत्त्रिणां नरपतेश्चसंपदः ||")</f>
        <v>नापचारमगमन्क्कच्चित्क्रियाः सर्वमत्र समपादि साधनं । अत्यशेरत परस्परं धियः सत्त्रिणां नरपतेश्चसंपदः ||</v>
      </c>
      <c r="B7036" s="4" t="s">
        <v>17</v>
      </c>
      <c r="C7036" s="4"/>
    </row>
    <row r="7037" spans="1:3" ht="24" customHeight="1">
      <c r="A7037" s="4" t="str">
        <f ca="1">IFERROR(__xludf.DUMMYFUNCTION("""COMPUTED_VALUE"""),"दक्षिणीयमवगम्य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||")</f>
        <v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||</v>
      </c>
      <c r="B7037" s="4" t="s">
        <v>19</v>
      </c>
      <c r="C7037" s="4"/>
    </row>
    <row r="7038" spans="1:3" ht="24" customHeight="1">
      <c r="A7038" s="4" t="str">
        <f ca="1">IFERROR(__xludf.DUMMYFUNCTION("""COMPUTED_VALUE"""),"वारिपूर्वमखिलासु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नराधिपोऽवपथ् ||")</f>
        <v>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नराधिपोऽवपथ् ||</v>
      </c>
      <c r="B7038" s="4" t="s">
        <v>9</v>
      </c>
      <c r="C7038" s="4"/>
    </row>
    <row r="7039" spans="1:3" ht="24" customHeight="1">
      <c r="A7039" s="4" t="str">
        <f ca="1">IFERROR(__xludf.DUMMYFUNCTION("""COMPUTED_VALUE"""),"किं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||")</f>
        <v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||</v>
      </c>
      <c r="B7039" s="4" t="s">
        <v>24</v>
      </c>
      <c r="C7039" s="4"/>
    </row>
    <row r="7040" spans="1:3" ht="24" customHeight="1">
      <c r="A7040" s="4" t="str">
        <f ca="1">IFERROR(__xludf.DUMMYFUNCTION("""COMPUTED_VALUE"""),"स स्वहस्तकृतचिह्नशासनः पाकशासनसमानशासनः । आशशाङ्कतपनार्णवस्थितोर्विप्रसादकृत भूयसीर्भुवः ||")</f>
        <v>स स्वहस्तकृतचिह्नशासनः पाकशासनसमानशासनः । आशशाङ्कतपनार्णवस्थितोर्विप्रसादकृत भूयसीर्भुवः ||</v>
      </c>
      <c r="B7040" s="4" t="s">
        <v>4</v>
      </c>
      <c r="C7040" s="4"/>
    </row>
    <row r="7041" spans="1:3" ht="24" customHeight="1">
      <c r="A7041" s="4" t="str">
        <f ca="1">IFERROR(__xludf.DUMMYFUNCTION("""COMPUTED_VALUE"""),"शुद्धमश्रुतिविरोधि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||")</f>
        <v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||</v>
      </c>
      <c r="B7041" s="4" t="s">
        <v>1</v>
      </c>
      <c r="C7041" s="4"/>
    </row>
    <row r="7042" spans="1:3" ht="24" customHeight="1">
      <c r="A7042" s="4" t="str">
        <f ca="1">IFERROR(__xludf.DUMMYFUNCTION("""COMPUTED_VALUE"""),"तत्प्रणीतमनसामुपेयुषां द्रष्टुमाहवनमग्रजन्मनां । आतिथेयमनिवारितातिथिः कर्तुमाश्रमगुरुः स नाश्रमथ् ||")</f>
        <v>तत्प्रणीतमनसामुपेयुषां द्रष्टुमाहवनमग्रजन्मनां । आतिथेयमनिवारितातिथिः कर्तुमाश्रमगुरुः स नाश्रमथ् ||</v>
      </c>
      <c r="B7042" s="4" t="s">
        <v>12</v>
      </c>
      <c r="C7042" s="4"/>
    </row>
    <row r="7043" spans="1:3" ht="24" customHeight="1">
      <c r="A7043" s="4" t="str">
        <f ca="1">IFERROR(__xludf.DUMMYFUNCTION("""COMPUTED_VALUE"""),"मृग्यमाणमपि यद्दुरासदं भूरिसारमुपनीय तत्स्वयं । आसतावसरकाङ्क्षिणो बहिस्तस्य रत्नमुपदीकृतं नृपाः ||")</f>
        <v>मृग्यमाणमपि यद्दुरासदं भूरिसारमुपनीय तत्स्वयं । आसतावसरकाङ्क्षिणो बहिस्तस्य रत्नमुपदीकृतं नृपाः ||</v>
      </c>
      <c r="B7043" s="4" t="s">
        <v>9</v>
      </c>
      <c r="C7043" s="4"/>
    </row>
    <row r="7044" spans="1:3" ht="24" customHeight="1">
      <c r="A7044" s="4" t="str">
        <f ca="1">IFERROR(__xludf.DUMMYFUNCTION("""COMPUTED_VALUE"""),"एक एव वसु यद्ददौ नृपस्तत्समापकमतर्क्यत क्रतोः । त्यागशालिनि तपःसुते ययुः सर्वपार्थिवधनान्यपि क्षयं ||")</f>
        <v>एक एव वसु यद्ददौ नृपस्तत्समापकमतर्क्यत क्रतोः । त्यागशालिनि तपःसुते ययुः सर्वपार्थिवधनान्यपि क्षयं ||</v>
      </c>
      <c r="B7044" s="4" t="s">
        <v>5</v>
      </c>
      <c r="C7044" s="4"/>
    </row>
    <row r="7045" spans="1:3" ht="24" customHeight="1">
      <c r="A7045" s="4" t="str">
        <f ca="1">IFERROR(__xludf.DUMMYFUNCTION("""COMPUTED_VALUE"""),"प्रीतिरस्य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||")</f>
        <v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||</v>
      </c>
      <c r="B7045" s="4" t="s">
        <v>1</v>
      </c>
      <c r="C7045" s="4"/>
    </row>
    <row r="7046" spans="1:3" ht="24" customHeight="1">
      <c r="A7046" s="4" t="str">
        <f ca="1">IFERROR(__xludf.DUMMYFUNCTION("""COMPUTED_VALUE"""),"यं लघुन्यपि लघूकृताहितः शिष्यभूतमशिषत्स कर्मणि । सस्पृहं नृपतिभिर्नृपोऽपरैर्गौरवेण ददृशेतरामसौ ||")</f>
        <v>यं लघुन्यपि लघूकृताहितः शिष्यभूतमशिषत्स कर्मणि । सस्पृहं नृपतिभिर्नृपोऽपरैर्गौरवेण ददृशेतरामसौ ||</v>
      </c>
      <c r="B7046" s="4" t="s">
        <v>18</v>
      </c>
      <c r="C7046" s="4"/>
    </row>
    <row r="7047" spans="1:3" ht="24" customHeight="1">
      <c r="A7047" s="4" t="str">
        <f ca="1">IFERROR(__xludf.DUMMYFUNCTION("""COMPUTED_VALUE"""),"आद्यकोलतुलितां प्रकम्पनैः कम्पितां मुहुरनीदृगात्मनि । वाचिरोपितवतामुना महीं राजकाय विषया विभेजिरे ||")</f>
        <v>आद्यकोलतुलितां प्रकम्पनैः कम्पितां मुहुरनीदृगात्मनि । वाचिरोपितवतामुना महीं राजकाय विषया विभेजिरे ||</v>
      </c>
      <c r="B7047" s="4" t="s">
        <v>0</v>
      </c>
      <c r="C7047" s="4"/>
    </row>
    <row r="7048" spans="1:3" ht="24" customHeight="1">
      <c r="A7048" s="4" t="str">
        <f ca="1">IFERROR(__xludf.DUMMYFUNCTION("""COMPUTED_VALUE"""),"आगताद्व्यवसितेन चेतसा सत्त्वसम्पदविकारिमानसः । तत्र नाभवदसौ महाहवे शात्रवादिव पराङ्मुखोऽर्थिनः ||")</f>
        <v>आगताद्व्यवसितेन चेतसा सत्त्वसम्पदविकारिमानसः । तत्र नाभवदसौ महाहवे शात्रवादिव पराङ्मुखोऽर्थिनः ||</v>
      </c>
      <c r="B7048" s="4" t="s">
        <v>1</v>
      </c>
      <c r="C7048" s="4"/>
    </row>
    <row r="7049" spans="1:3" ht="24" customHeight="1">
      <c r="A7049" s="4" t="str">
        <f ca="1">IFERROR(__xludf.DUMMYFUNCTION("""COMPUTED_VALUE"""),"नैक्षतार्थिनमवज्ञया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||")</f>
        <v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||</v>
      </c>
      <c r="B7049" s="4" t="s">
        <v>18</v>
      </c>
      <c r="C7049" s="4"/>
    </row>
    <row r="7050" spans="1:3" ht="24" customHeight="1">
      <c r="A7050" s="4" t="str">
        <f ca="1">IFERROR(__xludf.DUMMYFUNCTION("""COMPUTED_VALUE"""),"निर्गुणोऽपि विमुखो न भूपतेर्दानशौण्डमनसः पुरोऽभवथ् । वर्षुकस्य किमपः कृतोन्नतेरम्बुदस्य परिहार्यमूषरं ||")</f>
        <v>निर्गुणोऽपि विमुखो न भूपतेर्दानशौण्डमनसः पुरोऽभवथ् । वर्षुकस्य किमपः कृतोन्नतेरम्बुदस्य परिहार्यमूषरं ||</v>
      </c>
      <c r="B7050" s="4" t="s">
        <v>0</v>
      </c>
      <c r="C7050" s="4"/>
    </row>
    <row r="7051" spans="1:3" ht="24" customHeight="1">
      <c r="A7051" s="4" t="str">
        <f ca="1">IFERROR(__xludf.DUMMYFUNCTION("""COMPUTED_VALUE"""),"प्रेम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व्यजीगणथ् ||")</f>
        <v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व्यजीगणथ् ||</v>
      </c>
      <c r="B7051" s="4" t="s">
        <v>7</v>
      </c>
      <c r="C7051" s="4"/>
    </row>
    <row r="7052" spans="1:3" ht="24" customHeight="1">
      <c r="A7052" s="4" t="str">
        <f ca="1">IFERROR(__xludf.DUMMYFUNCTION("""COMPUTED_VALUE"""),"दर्शनानुपदमेव कामतः स्वं वनीयकजनेऽधिगच्छति । प्रार्थनार्थरहितं तदाभवद्दीयतामिति वचोऽतिसर्जने ||")</f>
        <v>दर्शनानुपदमेव कामतः स्वं वनीयकजनेऽधिगच्छति । प्रार्थनार्थरहितं तदाभवद्दीयतामिति वचोऽतिसर्जने ||</v>
      </c>
      <c r="B7052" s="4" t="s">
        <v>1</v>
      </c>
      <c r="C7052" s="4"/>
    </row>
    <row r="7053" spans="1:3" ht="24" customHeight="1">
      <c r="A7053" s="4" t="str">
        <f ca="1">IFERROR(__xludf.DUMMYFUNCTION("""COMPUTED_VALUE"""),"नानवाप्तवसुनार्ऽथकाम्यता नाचिकित्सितगदेन रोगिणा । इच्छताशितुमनाशुषा न च प्रत्यगामि तदुपेयुषा सदः ||")</f>
        <v>नानवाप्तवसुनार्ऽथकाम्यता नाचिकित्सितगदेन रोगिणा । इच्छताशितुमनाशुषा न च प्रत्यगामि तदुपेयुषा सदः ||</v>
      </c>
      <c r="B7053" s="4" t="s">
        <v>17</v>
      </c>
      <c r="C7053" s="4"/>
    </row>
    <row r="7054" spans="1:3" ht="24" customHeight="1">
      <c r="A7054" s="4" t="str">
        <f ca="1">IFERROR(__xludf.DUMMYFUNCTION("""COMPUTED_VALUE"""),"स्वादयन्रसमनेकसंस्कृतप्राकृतैरकृतपात्रसङ्करैः । भावशुद्धिसहितैर्मुदं जनो नाटकैरिव बभार भोजनैः ||")</f>
        <v>स्वादयन्रसमनेकसंस्कृतप्राकृतैरकृतपात्रसङ्करैः । भावशुद्धिसहितैर्मुदं जनो नाटकैरिव बभार भोजनैः ||</v>
      </c>
      <c r="B7054" s="4" t="s">
        <v>1</v>
      </c>
      <c r="C7054" s="4"/>
    </row>
    <row r="7055" spans="1:3" ht="24" customHeight="1">
      <c r="A7055" s="4" t="str">
        <f ca="1">IFERROR(__xludf.DUMMYFUNCTION("""COMPUTED_VALUE"""),"रक्षितारमिति तत्र कर्मणि न्यस्य दुष्टदमनक्षमं हरिं । अक्षतानि निरवर्तयत्तदा दानह्ॐअयजनानि भूपतिः ||")</f>
        <v>रक्षितारमिति तत्र कर्मणि न्यस्य दुष्टदमनक्षमं हरिं । अक्षतानि निरवर्तयत्तदा दानह्ॐअयजनानि भूपतिः ||</v>
      </c>
      <c r="B7055" s="4" t="s">
        <v>2</v>
      </c>
      <c r="C7055" s="4"/>
    </row>
    <row r="7056" spans="1:3" ht="24" customHeight="1">
      <c r="A7056" s="4" t="str">
        <f ca="1">IFERROR(__xludf.DUMMYFUNCTION("""COMPUTED_VALUE"""),"एक एव सुसखैष सुन्वतां शौरिरित्यभिनयादिवोच्चकैः । यूपरूपकमनीनमद्भुजं भूश्चषालतुलिताङ्गुलीयकं ||")</f>
        <v>एक एव सुसखैष सुन्वतां शौरिरित्यभिनयादिवोच्चकैः । यूपरूपकमनीनमद्भुजं भूश्चषालतुलिताङ्गुलीयकं ||</v>
      </c>
      <c r="B7056" s="4" t="s">
        <v>19</v>
      </c>
      <c r="C7056" s="4"/>
    </row>
    <row r="7057" spans="1:3" ht="24" customHeight="1">
      <c r="A7057" s="4" t="str">
        <f ca="1">IFERROR(__xludf.DUMMYFUNCTION("""COMPUTED_VALUE"""),"इत्थमत्र विततक्रमे क्रतौ वीक्ष्य धर्ममथ घर्मजन्मना । अर्घदानमनुचोदितो वचः सभ्यमभ्यधित शन्तनोः सुतः ||")</f>
        <v>इत्थमत्र विततक्रमे क्रतौ वीक्ष्य धर्ममथ घर्मजन्मना । अर्घदानमनुचोदितो वचः सभ्यमभ्यधित शन्तनोः सुतः ||</v>
      </c>
      <c r="B7057" s="4" t="s">
        <v>2</v>
      </c>
      <c r="C7057" s="4"/>
    </row>
    <row r="7058" spans="1:3" ht="24" customHeight="1">
      <c r="A7058" s="4" t="str">
        <f ca="1">IFERROR(__xludf.DUMMYFUNCTION("""COMPUTED_VALUE"""),"आत्मनैव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||")</f>
        <v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||</v>
      </c>
      <c r="B7058" s="4" t="s">
        <v>7</v>
      </c>
      <c r="C7058" s="4"/>
    </row>
    <row r="7059" spans="1:3" ht="24" customHeight="1">
      <c r="A7059" s="4" t="str">
        <f ca="1">IFERROR(__xludf.DUMMYFUNCTION("""COMPUTED_VALUE"""),"स्नातकं गुरुमभीष्टमृत्विजं संयुजा च सह मेदिनीपतिं । अर्घभाज इति कीर्तयन्ति षट्ते च ते युगपदागताः सदः ||")</f>
        <v>स्नातकं गुरुमभीष्टमृत्विजं संयुजा च सह मेदिनीपतिं । अर्घभाज इति कीर्तयन्ति षट्ते च ते युगपदागताः सदः ||</v>
      </c>
      <c r="B7059" s="4" t="s">
        <v>17</v>
      </c>
      <c r="C7059" s="4"/>
    </row>
    <row r="7060" spans="1:3" ht="24" customHeight="1">
      <c r="A7060" s="4" t="str">
        <f ca="1">IFERROR(__xludf.DUMMYFUNCTION("""COMPUTED_VALUE"""),"शोभयन्ति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||")</f>
        <v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||</v>
      </c>
      <c r="B7060" s="4" t="s">
        <v>4</v>
      </c>
      <c r="C7060" s="4"/>
    </row>
    <row r="7061" spans="1:3" ht="24" customHeight="1">
      <c r="A7061" s="4" t="str">
        <f ca="1">IFERROR(__xludf.DUMMYFUNCTION("""COMPUTED_VALUE"""),"आभजन्ति गुणिनः पृथक्पृथक्पार्थ सत्कृतिमकृत्रिमाममी । एक एव गुणवत्तमोऽथवापूज्य इत्ययमपीष्यते विधिः ||")</f>
        <v>आभजन्ति गुणिनः पृथक्पृथक्पार्थ सत्कृतिमकृत्रिमाममी । एक एव गुणवत्तमोऽथवापूज्य इत्ययमपीष्यते विधिः ||</v>
      </c>
      <c r="B7061" s="4" t="s">
        <v>20</v>
      </c>
      <c r="C7061" s="4"/>
    </row>
    <row r="7062" spans="1:3" ht="24" customHeight="1">
      <c r="A7062" s="4" t="str">
        <f ca="1">IFERROR(__xludf.DUMMYFUNCTION("""COMPUTED_VALUE"""),"अत्र चैष सकलेऽपिभाति मां प्रत्यशेषगुणबन्धुरर्हति । भूमिदेवनरदेवसङ्गमे पूर्वदेवरिपुरर्हणां हरिः ||")</f>
        <v>अत्र चैष सकलेऽपिभाति मां प्रत्यशेषगुणबन्धुरर्हति । भूमिदेवनरदेवसङ्गमे पूर्वदेवरिपुरर्हणां हरिः ||</v>
      </c>
      <c r="B7062" s="4" t="s">
        <v>0</v>
      </c>
      <c r="C7062" s="4"/>
    </row>
    <row r="7063" spans="1:3" ht="24" customHeight="1">
      <c r="A7063" s="4" t="str">
        <f ca="1">IFERROR(__xludf.DUMMYFUNCTION("""COMPUTED_VALUE"""),"मर्त्यमात्रमवदीधरद्भवान्मैनमानमितदैत्यदानवं । अंश एष जनतातिवर्तिनो वेधसः प्रतिजनं कृतस्थितेः ||")</f>
        <v>मर्त्यमात्रमवदीधरद्भवान्मैनमानमितदैत्यदानवं । अंश एष जनतातिवर्तिनो वेधसः प्रतिजनं कृतस्थितेः ||</v>
      </c>
      <c r="B7063" s="4" t="s">
        <v>2</v>
      </c>
      <c r="C7063" s="4"/>
    </row>
    <row r="7064" spans="1:3" ht="24" customHeight="1">
      <c r="A7064" s="4" t="str">
        <f ca="1">IFERROR(__xludf.DUMMYFUNCTION("""COMPUTED_VALUE"""),"ध्येयमेकमपथे स्थितं धियः स्तुत्यमुत्तममतीतवाक्पथं । आमनन्ति यमुपास्यमादराद्दूरवर्तिनमतीव योगिनः ||")</f>
        <v>ध्येयमेकमपथे स्थितं धियः स्तुत्यमुत्तममतीतवाक्पथं । आमनन्ति यमुपास्यमादराद्दूरवर्तिनमतीव योगिनः ||</v>
      </c>
      <c r="B7064" s="4" t="s">
        <v>1</v>
      </c>
      <c r="C7064" s="4"/>
    </row>
    <row r="7065" spans="1:3" ht="24" customHeight="1">
      <c r="A7065" s="4" t="str">
        <f ca="1">IFERROR(__xludf.DUMMYFUNCTION("""COMPUTED_VALUE"""),"पद्मभूरिति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||")</f>
        <v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||</v>
      </c>
      <c r="B7065" s="4" t="s">
        <v>7</v>
      </c>
      <c r="C7065" s="4"/>
    </row>
    <row r="7066" spans="1:3" ht="24" customHeight="1">
      <c r="A7066" s="4" t="str">
        <f ca="1">IFERROR(__xludf.DUMMYFUNCTION("""COMPUTED_VALUE"""),"सर्ववेदिनमनादिमास्थितं देहिनामनुजिघृक्षया वपुः । क्लेशकर्मफलभोगवर्जितं पुंविशेषममुमीश्वरंविदुः ||")</f>
        <v>सर्ववेदिनमनादिमास्थितं देहिनामनुजिघृक्षया वपुः । क्लेशकर्मफलभोगवर्जितं पुंविशेषममुमीश्वरंविदुः ||</v>
      </c>
      <c r="B7066" s="4" t="s">
        <v>17</v>
      </c>
      <c r="C7066" s="4"/>
    </row>
    <row r="7067" spans="1:3" ht="24" customHeight="1">
      <c r="A7067" s="4" t="str">
        <f ca="1">IFERROR(__xludf.DUMMYFUNCTION("""COMPUTED_VALUE"""),"भक्तिमन्त इह भक्तवत्सले सन्ततस्मरणरीणकल्मषाः । यान्ति निर्वहणमस्य संसृतिक्लेशनाटकविडम्बनाविधेः ||")</f>
        <v>भक्तिमन्त इह भक्तवत्सले सन्ततस्मरणरीणकल्मषाः । यान्ति निर्वहणमस्य संसृतिक्लेशनाटकविडम्बनाविधेः ||</v>
      </c>
      <c r="B7067" s="4" t="s">
        <v>20</v>
      </c>
      <c r="C7067" s="4"/>
    </row>
    <row r="7068" spans="1:3" ht="24" customHeight="1">
      <c r="A7068" s="4" t="str">
        <f ca="1">IFERROR(__xludf.DUMMYFUNCTION("""COMPUTED_VALUE"""),"ग्राम्यभावमपहातुमिच्छवो योगमार्गपतितेन चेतसा । दुर्गमेकमपुनर्निवृत्तये यं विशन्ति वशिनं मुमुक्षवः ||")</f>
        <v>ग्राम्यभावमपहातुमिच्छवो योगमार्गपतितेन चेतसा । दुर्गमेकमपुनर्निवृत्तये यं विशन्ति वशिनं मुमुक्षवः ||</v>
      </c>
      <c r="B7068" s="4" t="s">
        <v>4</v>
      </c>
      <c r="C7068" s="4"/>
    </row>
    <row r="7069" spans="1:3" ht="24" customHeight="1">
      <c r="A7069" s="4" t="str">
        <f ca="1">IFERROR(__xludf.DUMMYFUNCTION("""COMPUTED_VALUE"""),"आदितामजननाय देहिनामन्ततां च दधतेऽनपायिने । बिभ्रते भुवमधः सदाथ च ब्रह्मणोऽप्युपरि तिष्ठते नमः ||")</f>
        <v>आदितामजननाय देहिनामन्ततां च दधतेऽनपायिने । बिभ्रते भुवमधः सदाथ च ब्रह्मणोऽप्युपरि तिष्ठते नमः ||</v>
      </c>
      <c r="B7069" s="4" t="s">
        <v>12</v>
      </c>
      <c r="C7069" s="4"/>
    </row>
    <row r="7070" spans="1:3" ht="24" customHeight="1">
      <c r="A7070" s="4" t="str">
        <f ca="1">IFERROR(__xludf.DUMMYFUNCTION("""COMPUTED_VALUE"""),"केवलं दधति कर्तृवाचिनः प्रत्ययानिह न जातु कर्मणि । धातवः सृजतिसंहृशास्तयः स्तौतिरत्र विपरीतकारकः ||")</f>
        <v>केवलं दधति कर्तृवाचिनः प्रत्ययानिह न जातु कर्मणि । धातवः सृजतिसंहृशास्तयः स्तौतिरत्र विपरीतकारकः ||</v>
      </c>
      <c r="B7070" s="4" t="s">
        <v>19</v>
      </c>
      <c r="C7070" s="4"/>
    </row>
    <row r="7071" spans="1:3" ht="24" customHeight="1">
      <c r="A7071" s="4" t="str">
        <f ca="1">IFERROR(__xludf.DUMMYFUNCTION("""COMPUTED_VALUE"""),"पूर्वमेष किल सृष्टवानपस्तासु वीर्यमनिवार्यमादधौ । तच्च कारणमभूद्धिरण्मयं ब्रह्मणोऽसृजदसाविदं जगथ् ||")</f>
        <v>पूर्वमेष किल सृष्टवानपस्तासु वीर्यमनिवार्यमादधौ । तच्च कारणमभूद्धिरण्मयं ब्रह्मणोऽसृजदसाविदं जगथ् ||</v>
      </c>
      <c r="B7071" s="4" t="s">
        <v>15</v>
      </c>
      <c r="C7071" s="4"/>
    </row>
    <row r="7072" spans="1:3" ht="24" customHeight="1">
      <c r="A7072" s="4" t="str">
        <f ca="1">IFERROR(__xludf.DUMMYFUNCTION("""COMPUTED_VALUE"""),"मत्कुणाविव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||")</f>
        <v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||</v>
      </c>
      <c r="B7072" s="4" t="s">
        <v>7</v>
      </c>
      <c r="C7072" s="4"/>
    </row>
    <row r="7073" spans="1:3" ht="24" customHeight="1">
      <c r="A7073" s="4" t="str">
        <f ca="1">IFERROR(__xludf.DUMMYFUNCTION("""COMPUTED_VALUE"""),"श्रौतमार्गसुखगानकोविदब्रह्मषट्चरणगर्भमुज्ज्वलं । श्रीमुखेन्दुसविधेऽपि शोभते यस्य नाभिसरसीसरोरुहं ||")</f>
        <v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||</v>
      </c>
      <c r="B7073" s="4" t="s">
        <v>24</v>
      </c>
      <c r="C7073" s="4"/>
    </row>
    <row r="7074" spans="1:3" ht="24" customHeight="1">
      <c r="A7074" s="4" t="str">
        <f ca="1">IFERROR(__xludf.DUMMYFUNCTION("""COMPUTED_VALUE"""),"सत्यवृत्तमपि मायिनं जगद्वृद्धमप्युचितनिद्रमर्भकं । जन्म बिभ्रतमजं नवं बुधा यं पुराणपुरुषं प्रचक्षते ||")</f>
        <v>सत्यवृत्तमपि मायिनं जगद्वृद्धमप्युचितनिद्रमर्भकं । जन्म बिभ्रतमजं नवं बुधा यं पुराणपुरुषं प्रचक्षते ||</v>
      </c>
      <c r="B7074" s="4" t="s">
        <v>2</v>
      </c>
      <c r="C7074" s="4"/>
    </row>
    <row r="7075" spans="1:3" ht="24" customHeight="1">
      <c r="A7075" s="4" t="str">
        <f ca="1">IFERROR(__xludf.DUMMYFUNCTION("""COMPUTED_VALUE"""),"स्कन्धधूननविसारिकेसरक्षिप्तसागरमहाप्लवामयं । उद्धृतामिव मुहूर्तमैक्षत स्थूलनासिकवपुर्वसुन्धरां ||")</f>
        <v>स्कन्धधूननविसारिकेसरक्षिप्तसागरमहाप्लवामयं । उद्धृतामिव मुहूर्तमैक्षत स्थूलनासिकवपुर्वसुन्धरां ||</v>
      </c>
      <c r="B7075" s="4" t="s">
        <v>0</v>
      </c>
      <c r="C7075" s="4"/>
    </row>
    <row r="7076" spans="1:3" ht="24" customHeight="1">
      <c r="A7076" s="4" t="str">
        <f ca="1">IFERROR(__xludf.DUMMYFUNCTION("""COMPUTED_VALUE"""),"दिव्यकेसरिवपुः सुरद्विषो नैव लब्धशममायुधैरपि । दुर्निवाररणकण्डु क्ॐअलैर्वक्ष एष निरदारयन्नखैः ||")</f>
        <v>दिव्यकेसरिवपुः सुरद्विषो नैव लब्धशममायुधैरपि । दुर्निवाररणकण्डु क्ॐअलैर्वक्ष एष निरदारयन्नखैः ||</v>
      </c>
      <c r="B7076" s="4" t="s">
        <v>14</v>
      </c>
      <c r="C7076" s="4"/>
    </row>
    <row r="7077" spans="1:3" ht="24" customHeight="1">
      <c r="A7077" s="4" t="str">
        <f ca="1">IFERROR(__xludf.DUMMYFUNCTION("""COMPUTED_VALUE"""),"वारिधेरिव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||")</f>
        <v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||</v>
      </c>
      <c r="B7077" s="4" t="s">
        <v>20</v>
      </c>
      <c r="C7077" s="4"/>
    </row>
    <row r="7078" spans="1:3" ht="24" customHeight="1">
      <c r="A7078" s="4" t="str">
        <f ca="1">IFERROR(__xludf.DUMMYFUNCTION("""COMPUTED_VALUE"""),"दीप्तिनिर्जितविरोचनादयं गां विरोचनसुतादभीप्सतः । आत्मभूरवरजाखिलप्रजः स्वर्पतेरवरजत्वमाययौ ||")</f>
        <v>दीप्तिनिर्जितविरोचनादयं गां विरोचनसुतादभीप्सतः । आत्मभूरवरजाखिलप्रजः स्वर्पतेरवरजत्वमाययौ ||</v>
      </c>
      <c r="B7078" s="4" t="s">
        <v>5</v>
      </c>
      <c r="C7078" s="4"/>
    </row>
    <row r="7079" spans="1:3" ht="24" customHeight="1">
      <c r="A7079" s="4" t="str">
        <f ca="1">IFERROR(__xludf.DUMMYFUNCTION("""COMPUTED_VALUE"""),"किं क्रमिष्यति किलैष वामनो यावदित्थमहसन्न दानवाः । तावदस्य न ममौ नभस्तले लङ्घितार्कशशिमण्डलः क्रमः ||")</f>
        <v>किं क्रमिष्यति किलैष वामनो यावदित्थमहसन्न दानवाः । तावदस्य न ममौ नभस्तले लङ्घितार्कशशिमण्डलः क्रमः ||</v>
      </c>
      <c r="B7079" s="4" t="s">
        <v>12</v>
      </c>
      <c r="C7079" s="4"/>
    </row>
    <row r="7080" spans="1:3" ht="24" customHeight="1">
      <c r="A7080" s="4" t="str">
        <f ca="1">IFERROR(__xludf.DUMMYFUNCTION("""COMPUTED_VALUE"""),"गच्छतापि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||")</f>
        <v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||</v>
      </c>
      <c r="B7080" s="4" t="s">
        <v>2</v>
      </c>
      <c r="C7080" s="4"/>
    </row>
    <row r="7081" spans="1:3" ht="24" customHeight="1">
      <c r="A7081" s="4" t="str">
        <f ca="1">IFERROR(__xludf.DUMMYFUNCTION("""COMPUTED_VALUE"""),"कामतोऽस्य ददृशुर्दिवौकसो दूरमूरुमलिनीलमायतं । व्य्ॐनि दिव्यसरिदम्बुपद्धतिस्पर्धयेव यमुनौघमुत्थितं ||")</f>
        <v>कामतोऽस्य ददृशुर्दिवौकसो दूरमूरुमलिनीलमायतं । व्य्ॐनि दिव्यसरिदम्बुपद्धतिस्पर्धयेव यमुनौघमुत्थितं ||</v>
      </c>
      <c r="B7081" s="4" t="s">
        <v>2</v>
      </c>
      <c r="C7081" s="4"/>
    </row>
    <row r="7082" spans="1:3" ht="24" customHeight="1">
      <c r="A7082" s="4" t="str">
        <f ca="1">IFERROR(__xludf.DUMMYFUNCTION("""COMPUTED_VALUE"""),"यस्य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||")</f>
        <v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||</v>
      </c>
      <c r="B7082" s="4" t="s">
        <v>2</v>
      </c>
      <c r="C7082" s="4"/>
    </row>
    <row r="7083" spans="1:3" ht="24" customHeight="1">
      <c r="A7083" s="4" t="str">
        <f ca="1">IFERROR(__xludf.DUMMYFUNCTION("""COMPUTED_VALUE"""),"सम्प्रदायविगमादुपेयुषीरेव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||")</f>
        <v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||</v>
      </c>
      <c r="B7083" s="4" t="s">
        <v>3</v>
      </c>
      <c r="C7083" s="4"/>
    </row>
    <row r="7084" spans="1:3" ht="24" customHeight="1">
      <c r="A7084" s="4" t="str">
        <f ca="1">IFERROR(__xludf.DUMMYFUNCTION("""COMPUTED_VALUE"""),"रेणुकातनयतामुपागतः शातितप्रचुरपत्रसंहति । लूनभूरिभुजशाखमुज्झितच्छायमर्जुनवनं व्यधादयं ||")</f>
        <v>रेणुकातनयतामुपागतः शातितप्रचुरपत्रसंहति । लूनभूरिभुजशाखमुज्झितच्छायमर्जुनवनं व्यधादयं ||</v>
      </c>
      <c r="B7084" s="4" t="s">
        <v>5</v>
      </c>
      <c r="C7084" s="4"/>
    </row>
    <row r="7085" spans="1:3" ht="24" customHeight="1">
      <c r="A7085" s="4" t="str">
        <f ca="1">IFERROR(__xludf.DUMMYFUNCTION("""COMPUTED_VALUE"""),"एष दाशरथिभूयमेत्य च ध्वंसितोद्धतदशाननामपि । राक्षसीमकृत रक्षितप्रजस्तेजसाधिकविभीषणां पुरीं ||")</f>
        <v>एष दाशरथिभूयमेत्य च ध्वंसितोद्धतदशाननामपि । राक्षसीमकृत रक्षितप्रजस्तेजसाधिकविभीषणां पुरीं ||</v>
      </c>
      <c r="B7085" s="4" t="s">
        <v>0</v>
      </c>
      <c r="C7085" s="4"/>
    </row>
    <row r="7086" spans="1:3" ht="24" customHeight="1">
      <c r="A7086" s="4" t="str">
        <f ca="1">IFERROR(__xludf.DUMMYFUNCTION("""COMPUTED_VALUE"""),"निष्प्रहन्तुममरेशविद्विषामर्थितः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||")</f>
        <v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||</v>
      </c>
      <c r="B7086" s="4" t="s">
        <v>7</v>
      </c>
      <c r="C7086" s="4"/>
    </row>
    <row r="7087" spans="1:3" ht="24" customHeight="1">
      <c r="A7087" s="4" t="str">
        <f ca="1">IFERROR(__xludf.DUMMYFUNCTION("""COMPUTED_VALUE"""),"तात नोदधिविलोडनं प्रति त्वद्विनाथ वयमुत्सहामहे । यः सुरैरिति सुरौघवल्लभो बल्लवैश्च जगदे जगत्पतिः ||")</f>
        <v>तात नोदधिविलोडनं प्रति त्वद्विनाथ वयमुत्सहामहे । यः सुरैरिति सुरौघवल्लभो बल्लवैश्च जगदे जगत्पतिः ||</v>
      </c>
      <c r="B7087" s="4" t="s">
        <v>2</v>
      </c>
      <c r="C7087" s="4"/>
    </row>
    <row r="7088" spans="1:3" ht="24" customHeight="1">
      <c r="A7088" s="4" t="str">
        <f ca="1">IFERROR(__xludf.DUMMYFUNCTION("""COMPUTED_VALUE"""),"नात्तगन्धमवधूय शत्रुभिश्छायया च शमितामरश्रमं । योऽभिमानमिव वृत्रविद्विषः पारिजातमुदमूलयद्दिवः ||")</f>
        <v>नात्तगन्धमवधूय शत्रुभिश्छायया च शमितामरश्रमं । योऽभिमानमिव वृत्रविद्विषः पारिजातमुदमूलयद्दिवः ||</v>
      </c>
      <c r="B7088" s="4" t="s">
        <v>4</v>
      </c>
      <c r="C7088" s="4"/>
    </row>
    <row r="7089" spans="1:3" ht="24" customHeight="1">
      <c r="A7089" s="4" t="str">
        <f ca="1">IFERROR(__xludf.DUMMYFUNCTION("""COMPUTED_VALUE"""),"यं समेत्य च ललाटलेखया बिभ्रतः सपदि शंभुविभ्रमं । चण्डमारुतमिव प्रदीपवच्चेदिपस्य निरवाद्विलोचनं ||")</f>
        <v>यं समेत्य च ललाटलेखया बिभ्रतः सपदि शंभुविभ्रमं । चण्डमारुतमिव प्रदीपवच्चेदिपस्य निरवाद्विलोचनं ||</v>
      </c>
      <c r="B7089" s="4" t="s">
        <v>1</v>
      </c>
      <c r="C7089" s="4"/>
    </row>
    <row r="7090" spans="1:3" ht="24" customHeight="1">
      <c r="A7090" s="4" t="str">
        <f ca="1">IFERROR(__xludf.DUMMYFUNCTION("""COMPUTED_VALUE"""),"यः कोलतां बल्लवतां च बिभ्रद्दंष्ट्रामुदस्याशु भुजां च गुर्वीं । मग्नस्य तोयापदि दुस्तरायां ग्ॐअण्डलस्योद्धरणं चकार ||")</f>
        <v>यः कोलतां बल्लवतां च बिभ्रद्दंष्ट्रामुदस्याशु भुजां च गुर्वीं । मग्नस्य तोयापदि दुस्तरायां ग्ॐअण्डलस्योद्धरणं चकार ||</v>
      </c>
      <c r="B7090" s="4" t="s">
        <v>0</v>
      </c>
      <c r="C7090" s="4"/>
    </row>
    <row r="7091" spans="1:3" ht="24" customHeight="1">
      <c r="A7091" s="4" t="str">
        <f ca="1">IFERROR(__xludf.DUMMYFUNCTION("""COMPUTED_VALUE"""),"धन्योऽसि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||")</f>
        <v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||</v>
      </c>
      <c r="B7091" s="4" t="s">
        <v>17</v>
      </c>
      <c r="C7091" s="4"/>
    </row>
    <row r="7092" spans="1:3" ht="24" customHeight="1">
      <c r="A7092" s="4" t="str">
        <f ca="1">IFERROR(__xludf.DUMMYFUNCTION("""COMPUTED_VALUE"""),"भीष्मोक्तं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||")</f>
        <v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||</v>
      </c>
      <c r="B7092" s="4" t="s">
        <v>4</v>
      </c>
      <c r="C7092" s="4"/>
    </row>
    <row r="7093" spans="1:3" ht="24" customHeight="1">
      <c r="A7093" s="4" t="str">
        <f ca="1">IFERROR(__xludf.DUMMYFUNCTION("""COMPUTED_VALUE"""),"अथतत्र पाण्डुतनयेन सदसि विहितं मुरद्विषः । मानमसहत न चेदिपतिः परवृद्धिमत्सरि मनो हि मानिनां ||")</f>
        <v>अथतत्र पाण्डुतनयेन सदसि विहितं मुरद्विषः । मानमसहत न चेदिपतिः परवृद्धिमत्सरि मनो हि मानिनां ||</v>
      </c>
      <c r="B7093" s="4" t="s">
        <v>1</v>
      </c>
      <c r="C7093" s="4"/>
    </row>
    <row r="7094" spans="1:3" ht="24" customHeight="1">
      <c r="A7094" s="4" t="str">
        <f ca="1">IFERROR(__xludf.DUMMYFUNCTION("""COMPUTED_VALUE"""),"पुर एव शार्ङ्गिणि सवैरमथ पुनरमुं तदर्चया । मन्युरभजदवगाढतरः समदोषकाल इव देहिनं ज्वरः ||")</f>
        <v>पुर एव शार्ङ्गिणि सवैरमथ पुनरमुं तदर्चया । मन्युरभजदवगाढतरः समदोषकाल इव देहिनं ज्वरः ||</v>
      </c>
      <c r="B7094" s="4" t="s">
        <v>0</v>
      </c>
      <c r="C7094" s="4"/>
    </row>
    <row r="7095" spans="1:3" ht="24" customHeight="1">
      <c r="A7095" s="4" t="str">
        <f ca="1">IFERROR(__xludf.DUMMYFUNCTION("""COMPUTED_VALUE"""),"अभितर्जयन्निव समस्तनृपगणमसावकम्पयथ् । लोलमुकुटमणिरश्मि शनैरशनैः प्रकम्पितजगत्त्रयं शिरः ||")</f>
        <v>अभितर्जयन्निव समस्तनृपगणमसावकम्पयथ् । लोलमुकुटमणिरश्मि शनैरशनैः प्रकम्पितजगत्त्रयं शिरः ||</v>
      </c>
      <c r="B7095" s="4" t="s">
        <v>0</v>
      </c>
      <c r="C7095" s="4"/>
    </row>
    <row r="7096" spans="1:3" ht="24" customHeight="1">
      <c r="A7096" s="4" t="str">
        <f ca="1">IFERROR(__xludf.DUMMYFUNCTION("""COMPUTED_VALUE"""),"स वमन्रुषाश्रु घनघर्मविगलदुरुगण्डमण्डलः । स्वेदजलकणकरालकरो व्यरुचत्प्रभिन्न इव कुञ्जरस्त्रिधा ||")</f>
        <v>स वमन्रुषाश्रु घनघर्मविगलदुरुगण्डमण्डलः । स्वेदजलकणकरालकरो व्यरुचत्प्रभिन्न इव कुञ्जरस्त्रिधा ||</v>
      </c>
      <c r="B7096" s="4" t="s">
        <v>20</v>
      </c>
      <c r="C7096" s="4"/>
    </row>
    <row r="7097" spans="1:3" ht="24" customHeight="1">
      <c r="A7097" s="4" t="str">
        <f ca="1">IFERROR(__xludf.DUMMYFUNCTION("""COMPUTED_VALUE"""),"स निकामघर्मितमभीक्ष्णमधुवदवधूतराजकः । क्षिप्तबहुलजलबिन्दु वपुः प्रलयार्णवोत्थित इवादिशूकरः ||")</f>
        <v>स निकामघर्मितमभीक्ष्णमधुवदवधूतराजकः । क्षिप्तबहुलजलबिन्दु वपुः प्रलयार्णवोत्थित इवादिशूकरः ||</v>
      </c>
      <c r="B7097" s="4" t="s">
        <v>0</v>
      </c>
      <c r="C7097" s="4"/>
    </row>
    <row r="7098" spans="1:3" ht="24" customHeight="1">
      <c r="A7098" s="4" t="str">
        <f ca="1">IFERROR(__xludf.DUMMYFUNCTION("""COMPUTED_VALUE"""),"क्षणमाश्लिषद्द्घटितशैलशिखरकठिनांसमण्डनः । स्तम्भमुपहितविधूतिमसावधिकावधूनितसमस्तसंसदं ||")</f>
        <v>क्षणमाश्लिषद्द्घटितशैलशिखरकठिनांसमण्डनः । स्तम्भमुपहितविधूतिमसावधिकावधूनितसमस्तसंसदं ||</v>
      </c>
      <c r="B7098" s="4" t="s">
        <v>17</v>
      </c>
      <c r="C7098" s="4"/>
    </row>
    <row r="7099" spans="1:3" ht="24" customHeight="1">
      <c r="A7099" s="4" t="str">
        <f ca="1">IFERROR(__xludf.DUMMYFUNCTION("""COMPUTED_VALUE"""),"कनकाङ्गदद्युतिभिरस्य गमितमरुचत्पिशङ्गतां । क्रोधमयशिखिशिखापटलैः परितः परीतमिव बाहुमण्डलं ||")</f>
        <v>कनकाङ्गदद्युतिभिरस्य गमितमरुचत्पिशङ्गतां । क्रोधमयशिखिशिखापटलैः परितः परीतमिव बाहुमण्डलं ||</v>
      </c>
      <c r="B7099" s="4" t="s">
        <v>11</v>
      </c>
      <c r="C7099" s="4"/>
    </row>
    <row r="7100" spans="1:3" ht="24" customHeight="1">
      <c r="A7100" s="4" t="str">
        <f ca="1">IFERROR(__xludf.DUMMYFUNCTION("""COMPUTED_VALUE"""),"कृतसन्निधानमिव तस्य पुनरपि तृतीयचक्षुषा । क्रूरमजनि कुटिलभ्रु गुरुभ्रुकुटीकठोरितललाटमाननं ||")</f>
        <v>कृतसन्निधानमिव तस्य पुनरपि तृतीयचक्षुषा । क्रूरमजनि कुटिलभ्रु गुरुभ्रुकुटीकठोरितललाटमाननं ||</v>
      </c>
      <c r="B7100" s="4" t="s">
        <v>1</v>
      </c>
      <c r="C7100" s="4"/>
    </row>
    <row r="7101" spans="1:3" ht="24" customHeight="1">
      <c r="A7101" s="4" t="str">
        <f ca="1">IFERROR(__xludf.DUMMYFUNCTION("""COMPUTED_VALUE"""),"अतिरक्तभावमुपगम्य कृतमतिरमुष्य साहसे । दृष्टिरगणितभयासिलतामलम्बते स्म सभया सखीमिव ||")</f>
        <v>अतिरक्तभावमुपगम्य कृतमतिरमुष्य साहसे । दृष्टिरगणितभयासिलतामलम्बते स्म सभया सखीमिव ||</v>
      </c>
      <c r="B7101" s="4" t="s">
        <v>4</v>
      </c>
      <c r="C7101" s="4"/>
    </row>
    <row r="7102" spans="1:3" ht="24" customHeight="1">
      <c r="A7102" s="4" t="str">
        <f ca="1">IFERROR(__xludf.DUMMYFUNCTION("""COMPUTED_VALUE"""),"करकुड्मलेन निजमूरुमुरुतरनगाश्मकर्कशं । त्रस्तचपलचलमानजनश्रुतभीमनादमयमाहतोच्चकैः ||")</f>
        <v>करकुड्मलेन निजमूरुमुरुतरनगाश्मकर्कशं । त्रस्तचपलचलमानजनश्रुतभीमनादमयमाहतोच्चकैः ||</v>
      </c>
      <c r="B7102" s="4" t="s">
        <v>19</v>
      </c>
      <c r="C7102" s="4"/>
    </row>
    <row r="7103" spans="1:3" ht="24" customHeight="1">
      <c r="A7103" s="4" t="str">
        <f ca="1">IFERROR(__xludf.DUMMYFUNCTION("""COMPUTED_VALUE"""),"इति चक्रुधे भृशमनेन ननु महदवाप्य विप्रियं । याति विकृतिमपि संवृतिमत्किमु यन्निसर्गनिरवग्रहं मनः ||")</f>
        <v>इति चक्रुधे भृशमनेन ननु महदवाप्य विप्रियं । याति विकृतिमपि संवृतिमत्किमु यन्निसर्गनिरवग्रहं मनः ||</v>
      </c>
      <c r="B7103" s="4" t="s">
        <v>1</v>
      </c>
      <c r="C7103" s="4"/>
    </row>
    <row r="7104" spans="1:3" ht="24" customHeight="1">
      <c r="A7104" s="4" t="str">
        <f ca="1">IFERROR(__xludf.DUMMYFUNCTION("""COMPUTED_VALUE"""),"प्रथमं शरीरजविकारकृतमुकुलबन्धमव्यथी । भाविकलहफलयोगमसौ वचनेन कोपकुसुमं व्यचीकसथ् ||")</f>
        <v>प्रथमं शरीरजविकारकृतमुकुलबन्धमव्यथी । भाविकलहफलयोगमसौ वचनेन कोपकुसुमं व्यचीकसथ् ||</v>
      </c>
      <c r="B7104" s="4" t="s">
        <v>18</v>
      </c>
      <c r="C7104" s="4"/>
    </row>
    <row r="7105" spans="1:3" ht="24" customHeight="1">
      <c r="A7105" s="4" t="str">
        <f ca="1">IFERROR(__xludf.DUMMYFUNCTION("""COMPUTED_VALUE"""),"ध्वनयन्सभामथ सनीरघनरवगभीरवागभीः । वाचमवददतिरोषवशादतिनिष्ठुरस्फुटतराक्षरमसौ ||")</f>
        <v>ध्वनयन्सभामथ सनीरघनरवगभीरवागभीः । वाचमवददतिरोषवशादतिनिष्ठुरस्फुटतराक्षरमसौ ||</v>
      </c>
      <c r="B7105" s="4" t="s">
        <v>18</v>
      </c>
      <c r="C7105" s="4"/>
    </row>
    <row r="7106" spans="1:3" ht="24" customHeight="1">
      <c r="A7106" s="4" t="str">
        <f ca="1">IFERROR(__xludf.DUMMYFUNCTION("""COMPUTED_VALUE"""),"यदपूपुजस्त्वमिह पार्थ मुरजितमपूजितं सतां । प्रेम विलसति महत्तदहो दयितं जनः खलु गुणीति मन्यते ||")</f>
        <v>यदपूपुजस्त्वमिह पार्थ मुरजितमपूजितं सतां । प्रेम विलसति महत्तदहो दयितं जनः खलु गुणीति मन्यते ||</v>
      </c>
      <c r="B7106" s="4" t="s">
        <v>2</v>
      </c>
      <c r="C7106" s="4"/>
    </row>
    <row r="7107" spans="1:3" ht="24" customHeight="1">
      <c r="A7107" s="4" t="str">
        <f ca="1">IFERROR(__xludf.DUMMYFUNCTION("""COMPUTED_VALUE"""),"यदराज्ञि राजवदिहार्घ्यमुपहितमिदं मुरद्विषि । ग्राम्यमृग इव हविस्तदयं भजते ज्वलत्सु न महीशवह्निषु ||")</f>
        <v>यदराज्ञि राजवदिहार्घ्यमुपहितमिदं मुरद्विषि । ग्राम्यमृग इव हविस्तदयं भजते ज्वलत्सु न महीशवह्निषु ||</v>
      </c>
      <c r="B7107" s="4" t="s">
        <v>13</v>
      </c>
      <c r="C7107" s="4"/>
    </row>
    <row r="7108" spans="1:3" ht="24" customHeight="1">
      <c r="A7108" s="4" t="str">
        <f ca="1">IFERROR(__xludf.DUMMYFUNCTION("""COMPUTED_VALUE"""),"अनृतां गिरं न गदसीति जगति पटहैर्विघुष्यसे । निन्द्यमथ च हरिमर्चयतस्तव कर्मणैव विकसत्यसत्यता ||")</f>
        <v>अनृतां गिरं न गदसीति जगति पटहैर्विघुष्यसे । निन्द्यमथ च हरिमर्चयतस्तव कर्मणैव विकसत्यसत्यता ||</v>
      </c>
      <c r="B7108" s="4" t="s">
        <v>2</v>
      </c>
      <c r="C7108" s="4"/>
    </row>
    <row r="7109" spans="1:3" ht="24" customHeight="1">
      <c r="A7109" s="4" t="str">
        <f ca="1">IFERROR(__xludf.DUMMYFUNCTION("""COMPUTED_VALUE"""),"तव धर्मराज इति नाम कथमिदमपष्ठु पठ्यते । भ्ॐअदिनमभिदधत्यथवा भृशमप्रशस्तमपि मङ्गलं जनाः ||")</f>
        <v>तव धर्मराज इति नाम कथमिदमपष्ठु पठ्यते । भ्ॐअदिनमभिदधत्यथवा भृशमप्रशस्तमपि मङ्गलं जनाः ||</v>
      </c>
      <c r="B7109" s="4" t="s">
        <v>1</v>
      </c>
      <c r="C7109" s="4"/>
    </row>
    <row r="7110" spans="1:3" ht="24" customHeight="1">
      <c r="A7110" s="4" t="str">
        <f ca="1">IFERROR(__xludf.DUMMYFUNCTION("""COMPUTED_VALUE"""),"यदि वार्चनीयतम एष किमपि भवतां पृथासुताः । शौरिरवनिपतिभिर्निखिलैरवमाननार्थमिह किं निमन्त्रितैः ||")</f>
        <v>यदि वार्चनीयतम एष किमपि भवतां पृथासुताः । शौरिरवनिपतिभिर्निखिलैरवमाननार्थमिह किं निमन्त्रितैः ||</v>
      </c>
      <c r="B7110" s="4" t="s">
        <v>2</v>
      </c>
      <c r="C7110" s="4"/>
    </row>
    <row r="7111" spans="1:3" ht="24" customHeight="1">
      <c r="A7111" s="4" t="str">
        <f ca="1">IFERROR(__xludf.DUMMYFUNCTION("""COMPUTED_VALUE"""),"अथवा न धर्ममसुबोधसमयमवयात बालिशाः । खाममयमिह वृथापालितो हतबुद्धिरप्रणिहितः सरित्सुतः ||")</f>
        <v>अथवा न धर्ममसुबोधसमयमवयात बालिशाः । खाममयमिह वृथापालितो हतबुद्धिरप्रणिहितः सरित्सुतः ||</v>
      </c>
      <c r="B7111" s="4" t="s">
        <v>2</v>
      </c>
      <c r="C7111" s="4"/>
    </row>
    <row r="7112" spans="1:3" ht="24" customHeight="1">
      <c r="A7112" s="4" t="str">
        <f ca="1">IFERROR(__xludf.DUMMYFUNCTION("""COMPUTED_VALUE"""),"स्वयमेव शन्तनुतनूज यमपि गणमर्घ्यमभ्यधाः । तत्र मुररिपुरयं कतमो यमनिन्द्यबन्दिवदभिष्टुषे वृथा ||")</f>
        <v>स्वयमेव शन्तनुतनूज यमपि गणमर्घ्यमभ्यधाः । तत्र मुररिपुरयं कतमो यमनिन्द्यबन्दिवदभिष्टुषे वृथा ||</v>
      </c>
      <c r="B7112" s="4" t="s">
        <v>10</v>
      </c>
      <c r="C7112" s="4"/>
    </row>
    <row r="7113" spans="1:3" ht="24" customHeight="1">
      <c r="A7113" s="4" t="str">
        <f ca="1">IFERROR(__xludf.DUMMYFUNCTION("""COMPUTED_VALUE"""),"अवनीभृतां त्वमपहाय गणमतिजडः समुन्नतं । नीचि नियतमिह यच्चपलो निरतः स्फुटं भवसि निम्नगासुतः ||")</f>
        <v>अवनीभृतां त्वमपहाय गणमतिजडः समुन्नतं । नीचि नियतमिह यच्चपलो निरतः स्फुटं भवसि निम्नगासुतः ||</v>
      </c>
      <c r="B7113" s="4" t="s">
        <v>2</v>
      </c>
      <c r="C7113" s="4"/>
    </row>
    <row r="7114" spans="1:3" ht="24" customHeight="1">
      <c r="A7114" s="4" t="str">
        <f ca="1">IFERROR(__xludf.DUMMYFUNCTION("""COMPUTED_VALUE"""),"प्रतिपत्तुमङ्ग घटते च न तव नृपयोग्यमर्हणं । कृष्ण कलय ननु कोऽहमिति स्फुटमापदां पदमनात्मवेदिता ||")</f>
        <v>प्रतिपत्तुमङ्ग घटते च न तव नृपयोग्यमर्हणं । कृष्ण कलय ननु कोऽहमिति स्फुटमापदां पदमनात्मवेदिता ||</v>
      </c>
      <c r="B7114" s="4" t="s">
        <v>2</v>
      </c>
      <c r="C7114" s="4"/>
    </row>
    <row r="7115" spans="1:3" ht="24" customHeight="1">
      <c r="A7115" s="4" t="str">
        <f ca="1">IFERROR(__xludf.DUMMYFUNCTION("""COMPUTED_VALUE"""),"असुरस्त्वया न्यवधि कोऽपि मधुरिति कथं प्रतीयते । दण्डदलितसरघः प्रथसे मधुसूदनस्त्वमिति सूदयन्मधु ||")</f>
        <v>असुरस्त्वया न्यवधि कोऽपि मधुरिति कथं प्रतीयते । दण्डदलितसरघः प्रथसे मधुसूदनस्त्वमिति सूदयन्मधु ||</v>
      </c>
      <c r="B7115" s="4" t="s">
        <v>20</v>
      </c>
      <c r="C7115" s="4"/>
    </row>
    <row r="7116" spans="1:3" ht="24" customHeight="1">
      <c r="A7116" s="4" t="str">
        <f ca="1">IFERROR(__xludf.DUMMYFUNCTION("""COMPUTED_VALUE"""),"मुचुकुन्दतल्पशरणस्य मगधपतिशातितौजसः । सिद्धमबल सबलत्वमहो तव रोहिणीततनयसाहचर्यतः ||")</f>
        <v>मुचुकुन्दतल्पशरणस्य मगधपतिशातितौजसः । सिद्धमबल सबलत्वमहो तव रोहिणीततनयसाहचर्यतः ||</v>
      </c>
      <c r="B7116" s="4" t="s">
        <v>2</v>
      </c>
      <c r="C7116" s="4"/>
    </row>
    <row r="7117" spans="1:3" ht="24" customHeight="1">
      <c r="A7117" s="4" t="str">
        <f ca="1">IFERROR(__xludf.DUMMYFUNCTION("""COMPUTED_VALUE"""),"छलयन्प्रजास्त्वमनृतेन कपटपटुरैन्द्रजालिकः । प्रीतिमनुभवसि नग्नजितः सुतयेष्टसत्य इति सम्प्रतीयसे ||")</f>
        <v>छलयन्प्रजास्त्वमनृतेन कपटपटुरैन्द्रजालिकः । प्रीतिमनुभवसि नग्नजितः सुतयेष्टसत्य इति सम्प्रतीयसे ||</v>
      </c>
      <c r="B7117" s="4" t="s">
        <v>18</v>
      </c>
      <c r="C7117" s="4"/>
    </row>
    <row r="7118" spans="1:3" ht="24" customHeight="1">
      <c r="A7118" s="4" t="str">
        <f ca="1">IFERROR(__xludf.DUMMYFUNCTION("""COMPUTED_VALUE"""),"धृतवान्न चक्रमरिचक्रभयचकितमाहवे निजं । चक्रधर इति रथाङ्गमदः सततं बिभर्षि भुवनेषु रूढये ||")</f>
        <v>धृतवान्न चक्रमरिचक्रभयचकितमाहवे निजं । चक्रधर इति रथाङ्गमदः सततं बिभर्षि भुवनेषु रूढये ||</v>
      </c>
      <c r="B7118" s="4" t="s">
        <v>5</v>
      </c>
      <c r="C7118" s="4"/>
    </row>
    <row r="7119" spans="1:3" ht="24" customHeight="1">
      <c r="A7119" s="4" t="str">
        <f ca="1">IFERROR(__xludf.DUMMYFUNCTION("""COMPUTED_VALUE"""),"जगति श्रिया विरहितोऽपि यदुदधिसुतामुपायथाः । ज्ञातिजनजनितनामपदां त्वमतः श्रियः पतिरिति प्रथामगाः ||")</f>
        <v>जगति श्रिया विरहितोऽपि यदुदधिसुतामुपायथाः । ज्ञातिजनजनितनामपदां त्वमतः श्रियः पतिरिति प्रथामगाः ||</v>
      </c>
      <c r="B7119" s="4" t="s">
        <v>15</v>
      </c>
      <c r="C7119" s="4"/>
    </row>
    <row r="7120" spans="1:3" ht="24" customHeight="1">
      <c r="A7120" s="4" t="str">
        <f ca="1">IFERROR(__xludf.DUMMYFUNCTION("""COMPUTED_VALUE"""),"अभिशत्रु संयति कदाचिदविहितपराक्रमोऽपि यथ् । व्य्ॐनि कथमपि चकर्थ पदं व्यपदिश्यते जगति विक्रमीत्यतः ||")</f>
        <v>अभिशत्रु संयति कदाचिदविहितपराक्रमोऽपि यथ् । व्य्ॐनि कथमपि चकर्थ पदं व्यपदिश्यते जगति विक्रमीत्यतः ||</v>
      </c>
      <c r="B7120" s="4" t="s">
        <v>2</v>
      </c>
      <c r="C7120" s="4"/>
    </row>
    <row r="7121" spans="1:3" ht="24" customHeight="1">
      <c r="A7121" s="4" t="str">
        <f ca="1">IFERROR(__xludf.DUMMYFUNCTION("""COMPUTED_VALUE"""),"पृथिवीं बिभर्थ यदि पूर्वमिदमपि गुणाय वर्तते । भूमिभृदिति परहारितभूस्त्वमुदाह्रियस्व कथमन्यथा जनैः ||")</f>
        <v>पृथिवीं बिभर्थ यदि पूर्वमिदमपि गुणाय वर्तते । भूमिभृदिति परहारितभूस्त्वमुदाह्रियस्व कथमन्यथा जनैः ||</v>
      </c>
      <c r="B7121" s="4" t="s">
        <v>1</v>
      </c>
      <c r="C7121" s="4"/>
    </row>
    <row r="7122" spans="1:3" ht="24" customHeight="1">
      <c r="A7122" s="4" t="str">
        <f ca="1">IFERROR(__xludf.DUMMYFUNCTION("""COMPUTED_VALUE"""),"तव धन्यतेयमपि सर्वनृपतितुलितोऽपि यत्क्षणं । क्लान्तकरतलधृताचलकः पृथिवीतले तुलितभूभृदुच्यसे ||")</f>
        <v>तव धन्यतेयमपि सर्वनृपतितुलितोऽपि यत्क्षणं । क्लान्तकरतलधृताचलकः पृथिवीतले तुलितभूभृदुच्यसे ||</v>
      </c>
      <c r="B7122" s="4" t="s">
        <v>18</v>
      </c>
      <c r="C7122" s="4"/>
    </row>
    <row r="7123" spans="1:3" ht="24" customHeight="1">
      <c r="A7123" s="4" t="str">
        <f ca="1">IFERROR(__xludf.DUMMYFUNCTION("""COMPUTED_VALUE"""),"त्वमशक्नुवन्न शुभकर्मनिरत! परिपाकदारुणं । जेतुमकुशलमतिर्नरकं यशसेऽधिलोकमजयः सुतं भुवः ||")</f>
        <v>त्वमशक्नुवन्न शुभकर्मनिरत! परिपाकदारुणं । जेतुमकुशलमतिर्नरकं यशसेऽधिलोकमजयः सुतं भुवः ||</v>
      </c>
      <c r="B7123" s="4" t="s">
        <v>4</v>
      </c>
      <c r="C7123" s="4"/>
    </row>
    <row r="7124" spans="1:3" ht="24" customHeight="1">
      <c r="A7124" s="4" t="str">
        <f ca="1">IFERROR(__xludf.DUMMYFUNCTION("""COMPUTED_VALUE"""),"सकलैर्वपुः सकलदोषसमुदितमिदं गुणैस्तव । त्यक्तमपगुण गुणस्त्रितयत्यजनप्रयासमुपयासि किं मुधा ||")</f>
        <v>सकलैर्वपुः सकलदोषसमुदितमिदं गुणैस्तव । त्यक्तमपगुण गुणस्त्रितयत्यजनप्रयासमुपयासि किं मुधा ||</v>
      </c>
      <c r="B7124" s="4" t="s">
        <v>20</v>
      </c>
      <c r="C7124" s="4"/>
    </row>
    <row r="7125" spans="1:3" ht="24" customHeight="1">
      <c r="A7125" s="4" t="str">
        <f ca="1">IFERROR(__xludf.DUMMYFUNCTION("""COMPUTED_VALUE"""),"त्वयि पूजनं जगति जाल्म कृतमिदमपाकृते गुणैः । हासकरमघटते नितरां शिरसीव कङ्कतमपेतमूर्धजे ||")</f>
        <v>त्वयि पूजनं जगति जाल्म कृतमिदमपाकृते गुणैः । हासकरमघटते नितरां शिरसीव कङ्कतमपेतमूर्धजे ||</v>
      </c>
      <c r="B7125" s="4" t="s">
        <v>3</v>
      </c>
      <c r="C7125" s="4"/>
    </row>
    <row r="7126" spans="1:3" ht="24" customHeight="1">
      <c r="A7126" s="4" t="str">
        <f ca="1">IFERROR(__xludf.DUMMYFUNCTION("""COMPUTED_VALUE"""),"मृगविद्विषामिव यदित्थमजनि मिषतां पृथासुतैः । अस्य वनशुन इवापचितिः परिभाव एव भवतां भुवोऽधिपाः ||")</f>
        <v>मृगविद्विषामिव यदित्थमजनि मिषतां पृथासुतैः । अस्य वनशुन इवापचितिः परिभाव एव भवतां भुवोऽधिपाः ||</v>
      </c>
      <c r="B7126" s="4" t="s">
        <v>9</v>
      </c>
      <c r="C7126" s="4"/>
    </row>
    <row r="7127" spans="1:3" ht="24" customHeight="1">
      <c r="A7127" s="4" t="str">
        <f ca="1">IFERROR(__xludf.DUMMYFUNCTION("""COMPUTED_VALUE"""),"अवधीज्जनङ्गम इवैष यदि हतवृषो वृषं ननु । स्पर्शमशुचिवपुरर्हति न प्रतिमाननां तु नितरां नृपोचितां ||")</f>
        <v>अवधीज्जनङ्गम इवैष यदि हतवृषो वृषं ननु । स्पर्शमशुचिवपुरर्हति न प्रतिमाननां तु नितरां नृपोचितां ||</v>
      </c>
      <c r="B7127" s="4" t="s">
        <v>2</v>
      </c>
      <c r="C7127" s="4"/>
    </row>
    <row r="7128" spans="1:3" ht="24" customHeight="1">
      <c r="A7128" s="4" t="str">
        <f ca="1">IFERROR(__xludf.DUMMYFUNCTION("""COMPUTED_VALUE"""),"यदि नाङ्गनेति मतिरस्य मृदुरजनि पूतनां प्रति । स्तन्यमघृणमनसः पिबतः किल धर्मतो भवति सा जनन्यपि ||")</f>
        <v>यदि नाङ्गनेति मतिरस्य मृदुरजनि पूतनां प्रति । स्तन्यमघृणमनसः पिबतः किल धर्मतो भवति सा जनन्यपि ||</v>
      </c>
      <c r="B7128" s="4" t="s">
        <v>9</v>
      </c>
      <c r="C7128" s="4"/>
    </row>
    <row r="7129" spans="1:3" ht="24" customHeight="1">
      <c r="A7129" s="4" t="str">
        <f ca="1">IFERROR(__xludf.DUMMYFUNCTION("""COMPUTED_VALUE"""),"शकटव्युदासतरुभङ्गधरणिधरधारणादिकं । कर्म यदयमकरोत्तरलः स्थिरचेतसां क इव तेन विस्मयः ||")</f>
        <v>शकटव्युदासतरुभङ्गधरणिधरधारणादिकं । कर्म यदयमकरोत्तरलः स्थिरचेतसां क इव तेन विस्मयः ||</v>
      </c>
      <c r="B7129" s="4" t="s">
        <v>5</v>
      </c>
      <c r="C7129" s="4"/>
    </row>
    <row r="7130" spans="1:3" ht="24" customHeight="1">
      <c r="A7130" s="4" t="str">
        <f ca="1">IFERROR(__xludf.DUMMYFUNCTION("""COMPUTED_VALUE"""),"अयमुग्रसेनतनयस्य नृपशुरपरः पशूनवन् । स्वमिवधमसुकरं पुरुषैः कुरुते स्म यत्परममेतदद्भुतं ||")</f>
        <v>अयमुग्रसेनतनयस्य नृपशुरपरः पशूनवन् । स्वमिवधमसुकरं पुरुषैः कुरुते स्म यत्परममेतदद्भुतं ||</v>
      </c>
      <c r="B7130" s="4" t="s">
        <v>2</v>
      </c>
      <c r="C7130" s="4"/>
    </row>
    <row r="7131" spans="1:3" ht="24" customHeight="1">
      <c r="A7131" s="4" t="str">
        <f ca="1">IFERROR(__xludf.DUMMYFUNCTION("""COMPUTED_VALUE"""),"इतिवाचमुद्धतमुदीर्य सपदि सह वेणुदारिणा । सोढरिपुबलभरोऽसहनः स जहास दत्तकरतालमुच्चकैः ||")</f>
        <v>इतिवाचमुद्धतमुदीर्य सपदि सह वेणुदारिणा । सोढरिपुबलभरोऽसहनः स जहास दत्तकरतालमुच्चकैः ||</v>
      </c>
      <c r="B7131" s="4" t="s">
        <v>19</v>
      </c>
      <c r="C7131" s="4"/>
    </row>
    <row r="7132" spans="1:3" ht="24" customHeight="1">
      <c r="A7132" s="4" t="str">
        <f ca="1">IFERROR(__xludf.DUMMYFUNCTION("""COMPUTED_VALUE"""),"कटुनापि चैद्यवचनेन विकृतिमगमन्न माधवः । सत्यनियतवचसं वचसा सुजनं जनाश्चलयितुं क ईशते ||")</f>
        <v>कटुनापि चैद्यवचनेन विकृतिमगमन्न माधवः । सत्यनियतवचसं वचसा सुजनं जनाश्चलयितुं क ईशते ||</v>
      </c>
      <c r="B7132" s="4" t="s">
        <v>2</v>
      </c>
      <c r="C7132" s="4"/>
    </row>
    <row r="7133" spans="1:3" ht="24" customHeight="1">
      <c r="A7133" s="4" t="str">
        <f ca="1">IFERROR(__xludf.DUMMYFUNCTION("""COMPUTED_VALUE"""),"न चतं तदेति शपमानमपि यदुनृपाः प्रचुक्रुधुः । शौरिसमयनिगृहीतधियः प्रभुचित्तमेव हि जनोऽनुवर्तते ||")</f>
        <v>न चतं तदेति शपमानमपि यदुनृपाः प्रचुक्रुधुः । शौरिसमयनिगृहीतधियः प्रभुचित्तमेव हि जनोऽनुवर्तते ||</v>
      </c>
      <c r="B7133" s="4" t="s">
        <v>2</v>
      </c>
      <c r="C7133" s="4"/>
    </row>
    <row r="7134" spans="1:3" ht="24" customHeight="1">
      <c r="A7134" s="4" t="str">
        <f ca="1">IFERROR(__xludf.DUMMYFUNCTION("""COMPUTED_VALUE"""),"विहितागसो मुहुरसङ्घ्यनिजवचनदामसंयतः । तस्य कतिथ इति तत्प्रथमं मनसा समाख्यदपराधमच्युतः ||")</f>
        <v>विहितागसो मुहुरसङ्घ्यनिजवचनदामसंयतः । तस्य कतिथ इति तत्प्रथमं मनसा समाख्यदपराधमच्युतः ||</v>
      </c>
      <c r="B7134" s="4" t="s">
        <v>2</v>
      </c>
      <c r="C7134" s="4"/>
    </row>
    <row r="7135" spans="1:3" ht="24" customHeight="1">
      <c r="A7135" s="4" t="str">
        <f ca="1">IFERROR(__xludf.DUMMYFUNCTION("""COMPUTED_VALUE"""),"स्मृतिवर्त्म तस्य न समस्तमपकृतमियाय विद्विषः । स्मर्तुमधिगतगुणस्मरणाः पटवो न दोषमखिलं खलूत्तमाः ||")</f>
        <v>स्मृतिवर्त्म तस्य न समस्तमपकृतमियाय विद्विषः । स्मर्तुमधिगतगुणस्मरणाः पटवो न दोषमखिलं खलूत्तमाः ||</v>
      </c>
      <c r="B7135" s="4" t="s">
        <v>12</v>
      </c>
      <c r="C7135" s="4"/>
    </row>
    <row r="7136" spans="1:3" ht="24" customHeight="1">
      <c r="A7136" s="4" t="str">
        <f ca="1">IFERROR(__xludf.DUMMYFUNCTION("""COMPUTED_VALUE"""),"नृपतावधिक्षिपति शौरिमथ सुरसरित्सुतो वचः । स्माह चलयति भुवं मरुति क्षुभितस्य नादमनुकुर्वदम्बुधेः ||")</f>
        <v>नृपतावधिक्षिपति शौरिमथ सुरसरित्सुतो वचः । स्माह चलयति भुवं मरुति क्षुभितस्य नादमनुकुर्वदम्बुधेः ||</v>
      </c>
      <c r="B7136" s="4" t="s">
        <v>20</v>
      </c>
      <c r="C7136" s="4"/>
    </row>
    <row r="7137" spans="1:3" ht="24" customHeight="1">
      <c r="A7137" s="4" t="str">
        <f ca="1">IFERROR(__xludf.DUMMYFUNCTION("""COMPUTED_VALUE"""),"अथ गौरवेण परिवादमपरिगणयंस्तमात्मनः । प्राह मुररिपुतिरस्करणक्षुभितः स्म वाचमिति जाह्नवीसुतः ||")</f>
        <v>अथ गौरवेण परिवादमपरिगणयंस्तमात्मनः । प्राह मुररिपुतिरस्करणक्षुभितः स्म वाचमिति जाह्नवीसुतः ||</v>
      </c>
      <c r="B7137" s="4" t="s">
        <v>2</v>
      </c>
      <c r="C7137" s="4"/>
    </row>
    <row r="7138" spans="1:3" ht="24" customHeight="1">
      <c r="A7138" s="4" t="str">
        <f ca="1">IFERROR(__xludf.DUMMYFUNCTION("""COMPUTED_VALUE"""),"विहितं मयाद्य सदसीदमपमृषितमच्युतार्चनं । यस्य नमयतु स चापमयं चरणः कृतः शिरसि सर्वभूभृतां ||")</f>
        <v>विहितं मयाद्य सदसीदमपमृषितमच्युतार्चनं । यस्य नमयतु स चापमयं चरणः कृतः शिरसि सर्वभूभृतां ||</v>
      </c>
      <c r="B7138" s="4" t="s">
        <v>2</v>
      </c>
      <c r="C7138" s="4"/>
    </row>
    <row r="7139" spans="1:3" ht="24" customHeight="1">
      <c r="A7139" s="4" t="str">
        <f ca="1">IFERROR(__xludf.DUMMYFUNCTION("""COMPUTED_VALUE"""),"इतिभीष्मभाषितवचोर्ऽथमधिगतवतामिव क्षणाथ् । क्षोभमगमदतिमात्रमथो शिशुपालपक्षपृथिवीभृतां गणः ||")</f>
        <v>इतिभीष्मभाषितवचोर्ऽथमधिगतवतामिव क्षणाथ् । क्षोभमगमदतिमात्रमथो शिशुपालपक्षपृथिवीभृतां गणः ||</v>
      </c>
      <c r="B7139" s="4" t="s">
        <v>7</v>
      </c>
      <c r="C7139" s="4"/>
    </row>
    <row r="7140" spans="1:3" ht="24" customHeight="1">
      <c r="A7140" s="4" t="str">
        <f ca="1">IFERROR(__xludf.DUMMYFUNCTION("""COMPUTED_VALUE"""),"शितितारकानुमितताम्रनयनमरुणीकृतं क्रुधा । बाणवदनमुददीपि भिये जगतः सकीलमिव सूर्यमण्डलं ||")</f>
        <v>शितितारकानुमितताम्रनयनमरुणीकृतं क्रुधा । बाणवदनमुददीपि भिये जगतः सकीलमिव सूर्यमण्डलं ||</v>
      </c>
      <c r="B7140" s="4" t="s">
        <v>11</v>
      </c>
      <c r="C7140" s="4"/>
    </row>
    <row r="7141" spans="1:3" ht="24" customHeight="1">
      <c r="A7141" s="4" t="str">
        <f ca="1">IFERROR(__xludf.DUMMYFUNCTION("""COMPUTED_VALUE"""),"प्रविदारितारुणतरोग्रनयनकुसुमोज्ज्वलः स्फुरन् । प्रातरहिमकरताम्रतनुर्विषजद्रुमोऽपर इवाभवद्द्रुमः ||")</f>
        <v>प्रविदारितारुणतरोग्रनयनकुसुमोज्ज्वलः स्फुरन् । प्रातरहिमकरताम्रतनुर्विषजद्रुमोऽपर इवाभवद्द्रुमः ||</v>
      </c>
      <c r="B7141" s="4" t="s">
        <v>12</v>
      </c>
      <c r="C7141" s="4"/>
    </row>
    <row r="7142" spans="1:3" ht="24" customHeight="1">
      <c r="A7142" s="4" t="str">
        <f ca="1">IFERROR(__xludf.DUMMYFUNCTION("""COMPUTED_VALUE"""),"अनिशान्तवैरदहनेन विरहितवतान्तरार्द्रतां । कोपमरुदभिहितेन भृशं नरकात्मजेन तरुणेव जज्वले ||")</f>
        <v>अनिशान्तवैरदहनेन विरहितवतान्तरार्द्रतां । कोपमरुदभिहितेन भृशं नरकात्मजेन तरुणेव जज्वले ||</v>
      </c>
      <c r="B7142" s="4" t="s">
        <v>11</v>
      </c>
      <c r="C7142" s="4"/>
    </row>
    <row r="7143" spans="1:3" ht="24" customHeight="1">
      <c r="A7143" s="4" t="str">
        <f ca="1">IFERROR(__xludf.DUMMYFUNCTION("""COMPUTED_VALUE"""),"अभिधित्सतः किमपि राहुवदनविकृतं व्यभाव्यत । ग्रस्तशशधरमिवोपलसत्सितदन्तपङ्क्ति मुखमुत्तमौजसः ||")</f>
        <v>अभिधित्सतः किमपि राहुवदनविकृतं व्यभाव्यत । ग्रस्तशशधरमिवोपलसत्सितदन्तपङ्क्ति मुखमुत्तमौजसः ||</v>
      </c>
      <c r="B7143" s="4" t="s">
        <v>18</v>
      </c>
      <c r="C7143" s="4"/>
    </row>
    <row r="7144" spans="1:3" ht="24" customHeight="1">
      <c r="A7144" s="4" t="str">
        <f ca="1">IFERROR(__xludf.DUMMYFUNCTION("""COMPUTED_VALUE"""),"कुपिताकृतिं प्रथममेव हसितमशनैरसूचयथ् । क्रुद्धमशनिदलिताद्रितटध्वनि दन्तवक्रमरिचक्रभीषणं ||")</f>
        <v>कुपिताकृतिं प्रथममेव हसितमशनैरसूचयथ् । क्रुद्धमशनिदलिताद्रितटध्वनि दन्तवक्रमरिचक्रभीषणं ||</v>
      </c>
      <c r="B7144" s="4" t="s">
        <v>7</v>
      </c>
      <c r="C7144" s="4"/>
    </row>
    <row r="7145" spans="1:3" ht="24" customHeight="1">
      <c r="A7145" s="4" t="str">
        <f ca="1">IFERROR(__xludf.DUMMYFUNCTION("""COMPUTED_VALUE"""),"प्रतिघः कुतोऽपि समुपेत्य नरपतिगणं समाश्रयथ् । जामिहरणजनितानुशयः समुदाचचार निज एव रुक्मिणः ||")</f>
        <v>प्रतिघः कुतोऽपि समुपेत्य नरपतिगणं समाश्रयथ् । जामिहरणजनितानुशयः समुदाचचार निज एव रुक्मिणः ||</v>
      </c>
      <c r="B7145" s="4" t="s">
        <v>7</v>
      </c>
      <c r="C7145" s="4"/>
    </row>
    <row r="7146" spans="1:3" ht="24" customHeight="1">
      <c r="A7146" s="4" t="str">
        <f ca="1">IFERROR(__xludf.DUMMYFUNCTION("""COMPUTED_VALUE"""),"चरणेन हन्ति सुबलः स्म शिथिलितमहीध्रबन्धनां । तीरतरलजलराशिजलामवभुग्नभोगिफणमण्डलां भुवं ||")</f>
        <v>चरणेन हन्ति सुबलः स्म शिथिलितमहीध्रबन्धनां । तीरतरलजलराशिजलामवभुग्नभोगिफणमण्डलां भुवं ||</v>
      </c>
      <c r="B7146" s="4" t="s">
        <v>4</v>
      </c>
      <c r="C7146" s="4"/>
    </row>
    <row r="7147" spans="1:3" ht="24" customHeight="1">
      <c r="A7147" s="4" t="str">
        <f ca="1">IFERROR(__xludf.DUMMYFUNCTION("""COMPUTED_VALUE"""),"कुपितेषु राजषु तथापि रथचरणपाणिपूजया । चित्तकलितकलहागमनो मुदमाहुकिः सुहृदिवाधिकां दधौ ||")</f>
        <v>कुपितेषु राजषु तथापि रथचरणपाणिपूजया । चित्तकलितकलहागमनो मुदमाहुकिः सुहृदिवाधिकां दधौ ||</v>
      </c>
      <c r="B7147" s="4" t="s">
        <v>20</v>
      </c>
      <c r="C7147" s="4"/>
    </row>
    <row r="7148" spans="1:3" ht="24" customHeight="1">
      <c r="A7148" s="4" t="str">
        <f ca="1">IFERROR(__xludf.DUMMYFUNCTION("""COMPUTED_VALUE"""),"गुरुकोपरुद्धपदमापदसितयवनस्य रोद्रतां । व्यात्तमशितुमिव सर्वजगद्विकरालमास्यकुहरं विवक्षतः ||")</f>
        <v>गुरुकोपरुद्धपदमापदसितयवनस्य रोद्रतां । व्यात्तमशितुमिव सर्वजगद्विकरालमास्यकुहरं विवक्षतः ||</v>
      </c>
      <c r="B7148" s="4" t="s">
        <v>2</v>
      </c>
      <c r="C7148" s="4"/>
    </row>
    <row r="7149" spans="1:3" ht="24" customHeight="1">
      <c r="A7149" s="4" t="str">
        <f ca="1">IFERROR(__xludf.DUMMYFUNCTION("""COMPUTED_VALUE"""),"विवृतोरुबाहुपरिघेण सरभसपदं निधित्सता । हन्तुमखिलनृपतीन्वसुना वसने विलम्बिनि निजे विचस्खले ||")</f>
        <v>विवृतोरुबाहुपरिघेण सरभसपदं निधित्सता । हन्तुमखिलनृपतीन्वसुना वसने विलम्बिनि निजे विचस्खले ||</v>
      </c>
      <c r="B7149" s="4" t="s">
        <v>11</v>
      </c>
      <c r="C7149" s="4"/>
    </row>
    <row r="7150" spans="1:3" ht="24" customHeight="1">
      <c r="A7150" s="4" t="str">
        <f ca="1">IFERROR(__xludf.DUMMYFUNCTION("""COMPUTED_VALUE"""),"इति तत्तदा विकृतरूपमभजत्तदविभिन्नचेतसं । मारबलमिव भयङ्करतां हरिबोधिसत्वमभि राजमण्डलं ||")</f>
        <v>इति तत्तदा विकृतरूपमभजत्तदविभिन्नचेतसं । मारबलमिव भयङ्करतां हरिबोधिसत्वमभि राजमण्डलं ||</v>
      </c>
      <c r="B7150" s="4" t="s">
        <v>11</v>
      </c>
      <c r="C7150" s="4"/>
    </row>
    <row r="7151" spans="1:3" ht="24" customHeight="1">
      <c r="A7151" s="4" t="str">
        <f ca="1">IFERROR(__xludf.DUMMYFUNCTION("""COMPUTED_VALUE"""),"रमसादुदस्थुरथ युद्धमनुचितभियोऽभिलाषुकाः । सान्द्रमुकुटकिरणोच्छलितस्फटिकांशवः सदसि मेदिनीभृतः ||")</f>
        <v>रमसादुदस्थुरथ युद्धमनुचितभियोऽभिलाषुकाः । सान्द्रमुकुटकिरणोच्छलितस्फटिकांशवः सदसि मेदिनीभृतः ||</v>
      </c>
      <c r="B7151" s="4" t="s">
        <v>2</v>
      </c>
      <c r="C7151" s="4"/>
    </row>
    <row r="7152" spans="1:3" ht="24" customHeight="1">
      <c r="A7152" s="4" t="str">
        <f ca="1">IFERROR(__xludf.DUMMYFUNCTION("""COMPUTED_VALUE"""),"स्फुरमाणनेत्रकुसुमोष्ठदलमभृतभूभृदङ्घ्रिपैः । धूतपृथुभुजलतं चलितैर्द्रुतवातपातवनविभ्रमं सदः ||")</f>
        <v>स्फुरमाणनेत्रकुसुमोष्ठदलमभृतभूभृदङ्घ्रिपैः । धूतपृथुभुजलतं चलितैर्द्रुतवातपातवनविभ्रमं सदः ||</v>
      </c>
      <c r="B7152" s="4" t="s">
        <v>17</v>
      </c>
      <c r="C7152" s="4"/>
    </row>
    <row r="7153" spans="1:3" ht="24" customHeight="1">
      <c r="A7153" s="4" t="str">
        <f ca="1">IFERROR(__xludf.DUMMYFUNCTION("""COMPUTED_VALUE"""),"हरिमप्यमंसत तृणाय कुरुपतिमजीगणन्न वा । मानतुलितभुवनत्रितयाः सरितः सुतादबिभयुर्नभूभृतः ||")</f>
        <v>हरिमप्यमंसत तृणाय कुरुपतिमजीगणन्न वा । मानतुलितभुवनत्रितयाः सरितः सुतादबिभयुर्नभूभृतः ||</v>
      </c>
      <c r="B7153" s="4" t="s">
        <v>2</v>
      </c>
      <c r="C7153" s="4"/>
    </row>
    <row r="7154" spans="1:3" ht="24" customHeight="1">
      <c r="A7154" s="4" t="str">
        <f ca="1">IFERROR(__xludf.DUMMYFUNCTION("""COMPUTED_VALUE"""),"गुरुनिःश्वसन्नथ विलोलसदवथुवपुर्वचोविषं । कीर्णदशनकिरणाग्निकणः फणवानिवैष विससर्ज चेदिपः ||")</f>
        <v>गुरुनिःश्वसन्नथ विलोलसदवथुवपुर्वचोविषं । कीर्णदशनकिरणाग्निकणः फणवानिवैष विससर्ज चेदिपः ||</v>
      </c>
      <c r="B7154" s="4" t="s">
        <v>9</v>
      </c>
      <c r="C7154" s="4"/>
    </row>
    <row r="7155" spans="1:3" ht="24" customHeight="1">
      <c r="A7155" s="4" t="str">
        <f ca="1">IFERROR(__xludf.DUMMYFUNCTION("""COMPUTED_VALUE"""),"किमहो नृपाः समममीभिरुपपतिसुतैर्न पञ्चभिः । वध्यमभिहत भुजिष्यममुं सह चानया स्थविरराजकन्यया ||")</f>
        <v>किमहो नृपाः समममीभिरुपपतिसुतैर्न पञ्चभिः । वध्यमभिहत भुजिष्यममुं सह चानया स्थविरराजकन्यया ||</v>
      </c>
      <c r="B7155" s="4" t="s">
        <v>5</v>
      </c>
      <c r="C7155" s="4"/>
    </row>
    <row r="7156" spans="1:3" ht="24" customHeight="1">
      <c r="A7156" s="4" t="str">
        <f ca="1">IFERROR(__xludf.DUMMYFUNCTION("""COMPUTED_VALUE"""),"अथवाध्वमेव खलु यूयमगणितमरुद्गणौजसः । वस्तु कियदिदमयं न मृधे मम केवलमस्य मुखमीक्षितुं क्षमः ||")</f>
        <v>अथवाध्वमेव खलु यूयमगणितमरुद्गणौजसः । वस्तु कियदिदमयं न मृधे मम केवलमस्य मुखमीक्षितुं क्षमः ||</v>
      </c>
      <c r="B7156" s="4" t="s">
        <v>12</v>
      </c>
      <c r="C7156" s="4"/>
    </row>
    <row r="7157" spans="1:3" ht="24" customHeight="1">
      <c r="A7157" s="4" t="str">
        <f ca="1">IFERROR(__xludf.DUMMYFUNCTION("""COMPUTED_VALUE"""),"विदतुर्यमुत्तमशेषपरिषदि नदीजधर्मजौ । यातु निकषमधियुद्धमसौ वचनेन किं भवतु साध्वसाधु वा ||")</f>
        <v>विदतुर्यमुत्तमशेषपरिषदि नदीजधर्मजौ । यातु निकषमधियुद्धमसौ वचनेन किं भवतु साध्वसाधु वा ||</v>
      </c>
      <c r="B7157" s="4" t="s">
        <v>4</v>
      </c>
      <c r="C7157" s="4"/>
    </row>
    <row r="7158" spans="1:3" ht="24" customHeight="1">
      <c r="A7158" s="4" t="str">
        <f ca="1">IFERROR(__xludf.DUMMYFUNCTION("""COMPUTED_VALUE"""),"अचिरान्मया सह गतस्य समरमुरगारिलक्ष्मणः । तीक्ष्णविशिखमुखपीतमसृक्पततां गणैः पिबतु सार्धमुर्वरा ||")</f>
        <v>अचिरान्मया सह गतस्य समरमुरगारिलक्ष्मणः । तीक्ष्णविशिखमुखपीतमसृक्पततां गणैः पिबतु सार्धमुर्वरा ||</v>
      </c>
      <c r="B7158" s="4" t="s">
        <v>0</v>
      </c>
      <c r="C7158" s="4"/>
    </row>
    <row r="7159" spans="1:3" ht="24" customHeight="1">
      <c r="A7159" s="4" t="str">
        <f ca="1">IFERROR(__xludf.DUMMYFUNCTION("""COMPUTED_VALUE"""),"अभिधाय रूक्षमिति मा स्म गम इति पृथासुतेरितां । वाचमनुनयपरां स ततः सहसावकर्ण्य निरियाय संसदः ||")</f>
        <v>अभिधाय रूक्षमिति मा स्म गम इति पृथासुतेरितां । वाचमनुनयपरां स ततः सहसावकर्ण्य निरियाय संसदः ||</v>
      </c>
      <c r="B7159" s="4" t="s">
        <v>17</v>
      </c>
      <c r="C7159" s="4"/>
    </row>
    <row r="7160" spans="1:3" ht="24" customHeight="1">
      <c r="A7160" s="4" t="str">
        <f ca="1">IFERROR(__xludf.DUMMYFUNCTION("""COMPUTED_VALUE"""),"गृहमागताय कृपया च कथमपि निसर्गदक्षिणाः । क्षान्तिमहितमनसो जननीस्वसुरात्मजाय चुकुपुर्न पाण्डवाः ||")</f>
        <v>गृहमागताय कृपया च कथमपि निसर्गदक्षिणाः । क्षान्तिमहितमनसो जननीस्वसुरात्मजाय चुकुपुर्न पाण्डवाः ||</v>
      </c>
      <c r="B7160" s="4" t="s">
        <v>4</v>
      </c>
      <c r="C7160" s="4"/>
    </row>
    <row r="7161" spans="1:3" ht="24" customHeight="1">
      <c r="A7161" s="4" t="str">
        <f ca="1">IFERROR(__xludf.DUMMYFUNCTION("""COMPUTED_VALUE"""),"चलितं ततोऽनभिहतेच्छमवनिपतियज्ञभूमितः । तूर्णमथ ययुमिवानुययुर्दमघोषसूनुमवनीशसूनवः ||")</f>
        <v>चलितं ततोऽनभिहतेच्छमवनिपतियज्ञभूमितः । तूर्णमथ ययुमिवानुययुर्दमघोषसूनुमवनीशसूनवः ||</v>
      </c>
      <c r="B7161" s="4" t="s">
        <v>4</v>
      </c>
      <c r="C7161" s="4"/>
    </row>
    <row r="7162" spans="1:3" ht="24" customHeight="1">
      <c r="A7162" s="4" t="str">
        <f ca="1">IFERROR(__xludf.DUMMYFUNCTION("""COMPUTED_VALUE"""),"विशिखान्तराण्यतिपपात सपदि जवनैः स वाजिभिः । द्रष्टुमलघुरभसापातिता वनिताश्चकार न सकामचेतसः ||")</f>
        <v>विशिखान्तराण्यतिपपात सपदि जवनैः स वाजिभिः । द्रष्टुमलघुरभसापातिता वनिताश्चकार न सकामचेतसः ||</v>
      </c>
      <c r="B7162" s="4" t="s">
        <v>18</v>
      </c>
      <c r="C7162" s="4"/>
    </row>
    <row r="7163" spans="1:3" ht="24" customHeight="1">
      <c r="A7163" s="4" t="str">
        <f ca="1">IFERROR(__xludf.DUMMYFUNCTION("""COMPUTED_VALUE"""),"क्षणमीक्षतः पथि जनेन किमिदमिति जल्पता मिथः । प्राप्य शिबिरमविशङ्किमनाः समनीनहद्द्रुतमनीकिनीमसौ ||")</f>
        <v>क्षणमीक्षतः पथि जनेन किमिदमिति जल्पता मिथः । प्राप्य शिबिरमविशङ्किमनाः समनीनहद्द्रुतमनीकिनीमसौ ||</v>
      </c>
      <c r="B7163" s="4" t="s">
        <v>18</v>
      </c>
      <c r="C7163" s="4"/>
    </row>
    <row r="7164" spans="1:3" ht="24" customHeight="1">
      <c r="A7164" s="4" t="str">
        <f ca="1">IFERROR(__xludf.DUMMYFUNCTION("""COMPUTED_VALUE"""),"त्वरमाणशाङ्खिकसवेगवदनपवनाभिपूरितः । शैलकटकतटभिन्नरवः प्रणनाद सांनहनिकोऽस्य वारिजः ||")</f>
        <v>त्वरमाणशाङ्खिकसवेगवदनपवनाभिपूरितः । शैलकटकतटभिन्नरवः प्रणनाद सांनहनिकोऽस्य वारिजः ||</v>
      </c>
      <c r="B7164" s="4" t="s">
        <v>3</v>
      </c>
      <c r="C7164" s="4"/>
    </row>
    <row r="7165" spans="1:3" ht="24" customHeight="1">
      <c r="A7165" s="4" t="str">
        <f ca="1">IFERROR(__xludf.DUMMYFUNCTION("""COMPUTED_VALUE"""),"जगदन्तकालसमवेतविषदविषमेरितारवं । धीरनिजरवविलीनगुरुप्रतिशब्दमस्य रणतूर्यमावधि ||")</f>
        <v>जगदन्तकालसमवेतविषदविषमेरितारवं । धीरनिजरवविलीनगुरुप्रतिशब्दमस्य रणतूर्यमावधि ||</v>
      </c>
      <c r="B7165" s="4" t="s">
        <v>20</v>
      </c>
      <c r="C7165" s="4"/>
    </row>
    <row r="7166" spans="1:3" ht="24" customHeight="1">
      <c r="A7166" s="4" t="str">
        <f ca="1">IFERROR(__xludf.DUMMYFUNCTION("""COMPUTED_VALUE"""),"सहसा ससभ्रमविलोलसकलजनतासमाकुलं । स्थानमगमदथ तत्परितश्चलितोडुमण्डलनभःस्थलोपमां ||")</f>
        <v>सहसा ससभ्रमविलोलसकलजनतासमाकुलं । स्थानमगमदथ तत्परितश्चलितोडुमण्डलनभःस्थलोपमां ||</v>
      </c>
      <c r="B7166" s="4" t="s">
        <v>12</v>
      </c>
      <c r="C7166" s="4"/>
    </row>
    <row r="7167" spans="1:3" ht="24" customHeight="1">
      <c r="A7167" s="4" t="str">
        <f ca="1">IFERROR(__xludf.DUMMYFUNCTION("""COMPUTED_VALUE"""),"दधतो भयानकतरत्वमुपगतवतः समानतां । धूमपटलपिहितस्य गिरेः समवर्मयन्सपदि मेदिनीभृतः ||")</f>
        <v>दधतो भयानकतरत्वमुपगतवतः समानतां । धूमपटलपिहितस्य गिरेः समवर्मयन्सपदि मेदिनीभृतः ||</v>
      </c>
      <c r="B7167" s="4" t="s">
        <v>2</v>
      </c>
      <c r="C7167" s="4"/>
    </row>
    <row r="7168" spans="1:3" ht="24" customHeight="1">
      <c r="A7168" s="4" t="str">
        <f ca="1">IFERROR(__xludf.DUMMYFUNCTION("""COMPUTED_VALUE"""),"परिमोहिणा परिजनेन कथमपि चिरादुपाहृतं । वर्म करतलयुगेन महत्तनुचूर्णपेषमपिषद्रुषा परः ||")</f>
        <v>परिमोहिणा परिजनेन कथमपि चिरादुपाहृतं । वर्म करतलयुगेन महत्तनुचूर्णपेषमपिषद्रुषा परः ||</v>
      </c>
      <c r="B7168" s="4" t="s">
        <v>0</v>
      </c>
      <c r="C7168" s="4"/>
    </row>
    <row r="7169" spans="1:3" ht="24" customHeight="1">
      <c r="A7169" s="4" t="str">
        <f ca="1">IFERROR(__xludf.DUMMYFUNCTION("""COMPUTED_VALUE"""),"रणसंमदोदयविकासिबलकलकलाकुलीकृते । शारिमशकधिरोपयितुं द्विरदे मदच्युति जनः कथञ्चन ||")</f>
        <v>रणसंमदोदयविकासिबलकलकलाकुलीकृते । शारिमशकधिरोपयितुं द्विरदे मदच्युति जनः कथञ्चन ||</v>
      </c>
      <c r="B7169" s="4" t="s">
        <v>1</v>
      </c>
      <c r="C7169" s="4"/>
    </row>
    <row r="7170" spans="1:3" ht="24" customHeight="1">
      <c r="A7170" s="4" t="str">
        <f ca="1">IFERROR(__xludf.DUMMYFUNCTION("""COMPUTED_VALUE"""),"परितश्च धौतमुखरुक्मविलसदहिमांशुमण्डलाः । तेनुरतनुवपुषः पृथिवीं स्फुटलक्ष्यतेजस इवात्मजाः श्रियः ||")</f>
        <v>परितश्च धौतमुखरुक्मविलसदहिमांशुमण्डलाः । तेनुरतनुवपुषः पृथिवीं स्फुटलक्ष्यतेजस इवात्मजाः श्रियः ||</v>
      </c>
      <c r="B7170" s="4" t="s">
        <v>3</v>
      </c>
      <c r="C7170" s="4"/>
    </row>
    <row r="7171" spans="1:3" ht="24" customHeight="1">
      <c r="A7171" s="4" t="str">
        <f ca="1">IFERROR(__xludf.DUMMYFUNCTION("""COMPUTED_VALUE"""),"प्रधिमण्डलोद्धतपरागघनवलयमध्यवर्तिनः । पेतुरशनाय इवाशनकैर्गुरुनिःस्वनव्यथितजन्तवो रथाः ||")</f>
        <v>प्रधिमण्डलोद्धतपरागघनवलयमध्यवर्तिनः । पेतुरशनाय इवाशनकैर्गुरुनिःस्वनव्यथितजन्तवो रथाः ||</v>
      </c>
      <c r="B7171" s="4" t="s">
        <v>10</v>
      </c>
      <c r="C7171" s="4"/>
    </row>
    <row r="7172" spans="1:3" ht="24" customHeight="1">
      <c r="A7172" s="4" t="str">
        <f ca="1">IFERROR(__xludf.DUMMYFUNCTION("""COMPUTED_VALUE"""),"दधतः शशाङ्कितशशाङ्करुचि लसदुरश्छदं वपुः । चक्रुरथ सह पुरन्धिजनैरयथार्थसिद्धिं सरकं महीभृतः ||")</f>
        <v>दधतः शशाङ्कितशशाङ्करुचि लसदुरश्छदं वपुः । चक्रुरथ सह पुरन्धिजनैरयथार्थसिद्धिं सरकं महीभृतः ||</v>
      </c>
      <c r="B7172" s="4" t="s">
        <v>2</v>
      </c>
      <c r="C7172" s="4"/>
    </row>
    <row r="7173" spans="1:3" ht="24" customHeight="1">
      <c r="A7173" s="4" t="str">
        <f ca="1">IFERROR(__xludf.DUMMYFUNCTION("""COMPUTED_VALUE"""),"दयिताय सासवमुदस्तमपतदवसादिनः कराथ् । कांस्यमुपहितसरोजपतद्भ्रमरौघभारगुरु राजयोषितः ||")</f>
        <v>दयिताय सासवमुदस्तमपतदवसादिनः कराथ् । कांस्यमुपहितसरोजपतद्भ्रमरौघभारगुरु राजयोषितः ||</v>
      </c>
      <c r="B7173" s="4" t="s">
        <v>2</v>
      </c>
      <c r="C7173" s="4"/>
    </row>
    <row r="7174" spans="1:3" ht="24" customHeight="1">
      <c r="A7174" s="4" t="str">
        <f ca="1">IFERROR(__xludf.DUMMYFUNCTION("""COMPUTED_VALUE"""),"भृशमङ्गसादकरुणत्वमविशददृशः कपोलयोः । वाक्यमसकलमपास्य मदं विदधुस्तदीयगुणमात्मना शुचः ||")</f>
        <v>भृशमङ्गसादकरुणत्वमविशददृशः कपोलयोः । वाक्यमसकलमपास्य मदं विदधुस्तदीयगुणमात्मना शुचः ||</v>
      </c>
      <c r="B7174" s="4" t="s">
        <v>16</v>
      </c>
      <c r="C7174" s="4"/>
    </row>
    <row r="7175" spans="1:3" ht="24" customHeight="1">
      <c r="A7175" s="4" t="str">
        <f ca="1">IFERROR(__xludf.DUMMYFUNCTION("""COMPUTED_VALUE"""),"सुदृशः समीकगमनाय युवभिरथ संबभाषिरे । शोकपिहितगलरुद्धगिरस्तरसागताश्रुजलकेवलोत्तराः ||")</f>
        <v>सुदृशः समीकगमनाय युवभिरथ संबभाषिरे । शोकपिहितगलरुद्धगिरस्तरसागताश्रुजलकेवलोत्तराः ||</v>
      </c>
      <c r="B7175" s="4" t="s">
        <v>0</v>
      </c>
      <c r="C7175" s="4"/>
    </row>
    <row r="7176" spans="1:3" ht="24" customHeight="1">
      <c r="A7176" s="4" t="str">
        <f ca="1">IFERROR(__xludf.DUMMYFUNCTION("""COMPUTED_VALUE"""),"विपुलाचलस्थलघनेन जिगमिषुभिरङ्गनाः प्रियैः । पीनकुचतटनिपीडदलद्वरवारबाणमुरसालिलिङ्गिरे ||")</f>
        <v>विपुलाचलस्थलघनेन जिगमिषुभिरङ्गनाः प्रियैः । पीनकुचतटनिपीडदलद्वरवारबाणमुरसालिलिङ्गिरे ||</v>
      </c>
      <c r="B7176" s="4" t="s">
        <v>0</v>
      </c>
      <c r="C7176" s="4"/>
    </row>
    <row r="7177" spans="1:3" ht="24" customHeight="1">
      <c r="A7177" s="4" t="str">
        <f ca="1">IFERROR(__xludf.DUMMYFUNCTION("""COMPUTED_VALUE"""),"न मुमोच लोचनजलानि दयितजयमङ्गलैषिणि । यातमवनिभवसन्नभुजान्न गलद्विवेद वलयं विलासिनी ||")</f>
        <v>न मुमोच लोचनजलानि दयितजयमङ्गलैषिणि । यातमवनिभवसन्नभुजान्न गलद्विवेद वलयं विलासिनी ||</v>
      </c>
      <c r="B7177" s="4" t="s">
        <v>1</v>
      </c>
      <c r="C7177" s="4"/>
    </row>
    <row r="7178" spans="1:3" ht="24" customHeight="1">
      <c r="A7178" s="4" t="str">
        <f ca="1">IFERROR(__xludf.DUMMYFUNCTION("""COMPUTED_VALUE"""),"प्रविवत्सतः प्रियतमस्य निगडमिव चक्षुरक्षिपथ् । नीलनलिनदलदामरुचि प्रतिपादयुग्ममचिरोढसुन्दरी ||")</f>
        <v>प्रविवत्सतः प्रियतमस्य निगडमिव चक्षुरक्षिपथ् । नीलनलिनदलदामरुचि प्रतिपादयुग्ममचिरोढसुन्दरी ||</v>
      </c>
      <c r="B7178" s="4" t="s">
        <v>0</v>
      </c>
      <c r="C7178" s="4"/>
    </row>
    <row r="7179" spans="1:3" ht="24" customHeight="1">
      <c r="A7179" s="4" t="str">
        <f ca="1">IFERROR(__xludf.DUMMYFUNCTION("""COMPUTED_VALUE"""),"व्रजतः क्व तात वजसीति परिचयगतार्थमस्फुटं । धैर्यमभिनदुदितं शिशुना जननीनिर्भत्सनविवृद्धमन्युना ||")</f>
        <v>व्रजतः क्व तात वजसीति परिचयगतार्थमस्फुटं । धैर्यमभिनदुदितं शिशुना जननीनिर्भत्सनविवृद्धमन्युना ||</v>
      </c>
      <c r="B7179" s="4" t="s">
        <v>1</v>
      </c>
      <c r="C7179" s="4"/>
    </row>
    <row r="7180" spans="1:3" ht="24" customHeight="1">
      <c r="A7180" s="4" t="str">
        <f ca="1">IFERROR(__xludf.DUMMYFUNCTION("""COMPUTED_VALUE"""),"शठ नाकलोकललनाभिरविरतरतं रिरंससे । तेन वहसि मुदमित्यवदद्रणरागिणं रमणमीर्ष्ययापरा ||")</f>
        <v>शठ नाकलोकललनाभिरविरतरतं रिरंससे । तेन वहसि मुदमित्यवदद्रणरागिणं रमणमीर्ष्ययापरा ||</v>
      </c>
      <c r="B7180" s="4" t="s">
        <v>0</v>
      </c>
      <c r="C7180" s="4"/>
    </row>
    <row r="7181" spans="1:3" ht="24" customHeight="1">
      <c r="A7181" s="4" t="str">
        <f ca="1">IFERROR(__xludf.DUMMYFUNCTION("""COMPUTED_VALUE"""),"ध्रियमाणमप्यगलदश्रु चलति दयिते नतभ्रुवः । स्नेहमकृतकरसं दधतामिदमेव युक्तमतिमुग्धचेतसां ||")</f>
        <v>ध्रियमाणमप्यगलदश्रु चलति दयिते नतभ्रुवः । स्नेहमकृतकरसं दधतामिदमेव युक्तमतिमुग्धचेतसां ||</v>
      </c>
      <c r="B7181" s="4" t="s">
        <v>18</v>
      </c>
      <c r="C7181" s="4"/>
    </row>
    <row r="7182" spans="1:3" ht="24" customHeight="1">
      <c r="A7182" s="4" t="str">
        <f ca="1">IFERROR(__xludf.DUMMYFUNCTION("""COMPUTED_VALUE"""),"सह कज्जलेन विरराज नयनकमलाम्बुसन्ततिः । गण्डफलकमभितः सुतनोः पदवीव शोकमयकृष्णवर्त्मनः ||")</f>
        <v>सह कज्जलेन विरराज नयनकमलाम्बुसन्ततिः । गण्डफलकमभितः सुतनोः पदवीव शोकमयकृष्णवर्त्मनः ||</v>
      </c>
      <c r="B7182" s="4" t="s">
        <v>1</v>
      </c>
      <c r="C7182" s="4"/>
    </row>
    <row r="7183" spans="1:3" ht="24" customHeight="1">
      <c r="A7183" s="4" t="str">
        <f ca="1">IFERROR(__xludf.DUMMYFUNCTION("""COMPUTED_VALUE"""),"क्षणमात्ररोधि चलितेन कतिपयपदं नतभ्रुवः । स्रस्तभुजयुगगलद्वलयस्वनितं प्रतिक्षुतमिवोपशुश्रुवे ||")</f>
        <v>क्षणमात्ररोधि चलितेन कतिपयपदं नतभ्रुवः । स्रस्तभुजयुगगलद्वलयस्वनितं प्रतिक्षुतमिवोपशुश्रुवे ||</v>
      </c>
      <c r="B7183" s="4" t="s">
        <v>4</v>
      </c>
      <c r="C7183" s="4"/>
    </row>
    <row r="7184" spans="1:3" ht="24" customHeight="1">
      <c r="A7184" s="4" t="str">
        <f ca="1">IFERROR(__xludf.DUMMYFUNCTION("""COMPUTED_VALUE"""),"अभिवर्त्म वल्लभतमस्य विगलदमलायतांशुका । भूमिनभसि रभसेन यती विरराज काचन समं महोल्कया ||")</f>
        <v>अभिवर्त्म वल्लभतमस्य विगलदमलायतांशुका । भूमिनभसि रभसेन यती विरराज काचन समं महोल्कया ||</v>
      </c>
      <c r="B7184" s="4" t="s">
        <v>5</v>
      </c>
      <c r="C7184" s="4"/>
    </row>
    <row r="7185" spans="1:3" ht="24" customHeight="1">
      <c r="A7185" s="4" t="str">
        <f ca="1">IFERROR(__xludf.DUMMYFUNCTION("""COMPUTED_VALUE"""),"समरोन्मुखे नृपगणेऽपि तदनुमरणोद्यतैकधीः । दीनपरिजनकृताश्रुजलो न भटीजनः स्थिरमनाः विचक्लमे ||")</f>
        <v>समरोन्मुखे नृपगणेऽपि तदनुमरणोद्यतैकधीः । दीनपरिजनकृताश्रुजलो न भटीजनः स्थिरमनाः विचक्लमे ||</v>
      </c>
      <c r="B7185" s="4" t="s">
        <v>12</v>
      </c>
      <c r="C7185" s="4"/>
    </row>
    <row r="7186" spans="1:3" ht="24" customHeight="1">
      <c r="A7186" s="4" t="str">
        <f ca="1">IFERROR(__xludf.DUMMYFUNCTION("""COMPUTED_VALUE"""),"विदुषीव दर्शनममुष्य युवतिरतिदुर्लभं पुनः । यान्तमनिमिषमतृप्तमनाः पतिमीक्षते स्म भृशया दृशः पथः ||")</f>
        <v>विदुषीव दर्शनममुष्य युवतिरतिदुर्लभं पुनः । यान्तमनिमिषमतृप्तमनाः पतिमीक्षते स्म भृशया दृशः पथः ||</v>
      </c>
      <c r="B7186" s="4" t="s">
        <v>10</v>
      </c>
      <c r="C7186" s="4"/>
    </row>
    <row r="7187" spans="1:3" ht="24" customHeight="1">
      <c r="A7187" s="4" t="str">
        <f ca="1">IFERROR(__xludf.DUMMYFUNCTION("""COMPUTED_VALUE"""),"सम्प्रत्युपेयाः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||")</f>
        <v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||</v>
      </c>
      <c r="B7187" s="4" t="s">
        <v>2</v>
      </c>
      <c r="C7187" s="4"/>
    </row>
    <row r="7188" spans="1:3" ht="24" customHeight="1">
      <c r="A7188" s="4" t="str">
        <f ca="1">IFERROR(__xludf.DUMMYFUNCTION("""COMPUTED_VALUE"""),"काचित्कीर्णा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||")</f>
        <v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||</v>
      </c>
      <c r="B7188" s="4" t="s">
        <v>18</v>
      </c>
      <c r="C7188" s="4"/>
    </row>
    <row r="7189" spans="1:3" ht="24" customHeight="1">
      <c r="A7189" s="4" t="str">
        <f ca="1">IFERROR(__xludf.DUMMYFUNCTION("""COMPUTED_VALUE"""),"दमघोषसुतेन कश्चन प्रतिशिष्टः प्रतिभानवानथ । उपगम्यहरिं सदस्यदः स्फुटभिन्नार्थमुदाहरद्वचः ||")</f>
        <v>दमघोषसुतेन कश्चन प्रतिशिष्टः प्रतिभानवानथ । उपगम्यहरिं सदस्यदः स्फुटभिन्नार्थमुदाहरद्वचः ||</v>
      </c>
      <c r="B7189" s="4" t="s">
        <v>16</v>
      </c>
      <c r="C7189" s="4"/>
    </row>
    <row r="7190" spans="1:3" ht="24" customHeight="1">
      <c r="A7190" s="4" t="str">
        <f ca="1">IFERROR(__xludf.DUMMYFUNCTION("""COMPUTED_VALUE"""),"अभिधाय तदा तदप्रियं शिशुपालोऽनुशयं परं गतः । भवतोऽभिमनाः समीहते सरुषः कर्तुमुपेत्य माननां ||")</f>
        <v>अभिधाय तदा तदप्रियं शिशुपालोऽनुशयं परं गतः । भवतोऽभिमनाः समीहते सरुषः कर्तुमुपेत्य माननां ||</v>
      </c>
      <c r="B7190" s="4" t="s">
        <v>1</v>
      </c>
      <c r="C7190" s="4"/>
    </row>
    <row r="7191" spans="1:3" ht="24" customHeight="1">
      <c r="A7191" s="4" t="str">
        <f ca="1">IFERROR(__xludf.DUMMYFUNCTION("""COMPUTED_VALUE"""),"विपुलेन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||")</f>
        <v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||</v>
      </c>
      <c r="B7191" s="4" t="s">
        <v>18</v>
      </c>
      <c r="C7191" s="4"/>
    </row>
    <row r="7192" spans="1:3" ht="24" customHeight="1">
      <c r="A7192" s="4" t="str">
        <f ca="1">IFERROR(__xludf.DUMMYFUNCTION("""COMPUTED_VALUE"""),"प्रणतः शिरसा करिष्यते सकलैरेत्य समं धराधिपैः । तव शासनमाशु भूपतिः परवानद्य यतस्त्वयैव सः ||")</f>
        <v>प्रणतः शिरसा करिष्यते सकलैरेत्य समं धराधिपैः । तव शासनमाशु भूपतिः परवानद्य यतस्त्वयैव सः ||</v>
      </c>
      <c r="B7192" s="4" t="s">
        <v>18</v>
      </c>
      <c r="C7192" s="4"/>
    </row>
    <row r="7193" spans="1:3" ht="24" customHeight="1">
      <c r="A7193" s="4" t="str">
        <f ca="1">IFERROR(__xludf.DUMMYFUNCTION("""COMPUTED_VALUE"""),"अधिवह्निपतङ्गतेजसो नियतस्वान्तसमर्थकर्मणः । तव सर्वविधेयवर्तिनः प्रणतिं बिभ्रति केन भूभृतः ||")</f>
        <v>अधिवह्निपतङ्गतेजसो नियतस्वान्तसमर्थकर्मणः । तव सर्वविधेयवर्तिनः प्रणतिं बिभ्रति केन भूभृतः ||</v>
      </c>
      <c r="B7193" s="4" t="s">
        <v>2</v>
      </c>
      <c r="C7193" s="4"/>
    </row>
    <row r="7194" spans="1:3" ht="24" customHeight="1">
      <c r="A7194" s="4" t="str">
        <f ca="1">IFERROR(__xludf.DUMMYFUNCTION("""COMPUTED_VALUE"""),"जनतां भयशून्यधीः परैरभिभूतामवलम्बसे यतः । तव कृष्ण गुणास्ततो नरैरसमानस्य दधत्यगण्यतां ||")</f>
        <v>जनतां भयशून्यधीः परैरभिभूतामवलम्बसे यतः । तव कृष्ण गुणास्ततो नरैरसमानस्य दधत्यगण्यतां ||</v>
      </c>
      <c r="B7194" s="4" t="s">
        <v>2</v>
      </c>
      <c r="C7194" s="4"/>
    </row>
    <row r="7195" spans="1:3" ht="24" customHeight="1">
      <c r="A7195" s="4" t="str">
        <f ca="1">IFERROR(__xludf.DUMMYFUNCTION("""COMPUTED_VALUE"""),"अहितादनपत्रपस्त्रसन्नतिमात्रोज्झितभीरनास्तिकः । विनयोपहितस्त्वया कुतः सदृशोन्यो गुणवानविस्मयः ||")</f>
        <v>अहितादनपत्रपस्त्रसन्नतिमात्रोज्झितभीरनास्तिकः । विनयोपहितस्त्वया कुतः सदृशोन्यो गुणवानविस्मयः ||</v>
      </c>
      <c r="B7195" s="4" t="s">
        <v>5</v>
      </c>
      <c r="C7195" s="4"/>
    </row>
    <row r="7196" spans="1:3" ht="24" customHeight="1">
      <c r="A7196" s="4" t="str">
        <f ca="1">IFERROR(__xludf.DUMMYFUNCTION("""COMPUTED_VALUE"""),"कृतगोपवधूरतेर्घ्नतो वृषमुग्रे नरकेऽपि संप्रति । प्रतिपत्तिरधःकृतैनसो जनताभिस्तव साधु वर्ण्यते ||")</f>
        <v>कृतगोपवधूरतेर्घ्नतो वृषमुग्रे नरकेऽपि संप्रति । प्रतिपत्तिरधःकृतैनसो जनताभिस्तव साधु वर्ण्यते ||</v>
      </c>
      <c r="B7196" s="4" t="s">
        <v>11</v>
      </c>
      <c r="C7196" s="4"/>
    </row>
    <row r="7197" spans="1:3" ht="24" customHeight="1">
      <c r="A7197" s="4" t="str">
        <f ca="1">IFERROR(__xludf.DUMMYFUNCTION("""COMPUTED_VALUE"""),"विहितापचितिर्महीभृतां द्विषतामाहितसाध्वसो बलैः । भव सानुचरस्त्वमुच्चकैर्महतामप्युपरि क्षमाभृतां ||")</f>
        <v>विहितापचितिर्महीभृतां द्विषतामाहितसाध्वसो बलैः । भव सानुचरस्त्वमुच्चकैर्महतामप्युपरि क्षमाभृतां ||</v>
      </c>
      <c r="B7197" s="4" t="s">
        <v>2</v>
      </c>
      <c r="C7197" s="4"/>
    </row>
    <row r="7198" spans="1:3" ht="24" customHeight="1">
      <c r="A7198" s="4" t="str">
        <f ca="1">IFERROR(__xludf.DUMMYFUNCTION("""COMPUTED_VALUE"""),"घनजालनिभैर्दुरासदाः परितो नागकदम्बकैस्तव । नगरेषु भवन्तु वीथयः परिकीर्णा वनजैर्मृगादिभिः ||")</f>
        <v>घनजालनिभैर्दुरासदाः परितो नागकदम्बकैस्तव । नगरेषु भवन्तु वीथयः परिकीर्णा वनजैर्मृगादिभिः ||</v>
      </c>
      <c r="B7198" s="4" t="s">
        <v>6</v>
      </c>
      <c r="C7198" s="4"/>
    </row>
    <row r="7199" spans="1:3" ht="24" customHeight="1">
      <c r="A7199" s="4" t="str">
        <f ca="1">IFERROR(__xludf.DUMMYFUNCTION("""COMPUTED_VALUE"""),"सकलापिहितस्वपौरुषो नियतव्यापदवर्धितोदयः । रिपुरुन्नतधीरचेतसः सततव्याधिरनीतिरस्तु ते ||")</f>
        <v>सकलापिहितस्वपौरुषो नियतव्यापदवर्धितोदयः । रिपुरुन्नतधीरचेतसः सततव्याधिरनीतिरस्तु ते ||</v>
      </c>
      <c r="B7199" s="4" t="s">
        <v>2</v>
      </c>
      <c r="C7199" s="4"/>
    </row>
    <row r="7200" spans="1:3" ht="24" customHeight="1">
      <c r="A7200" s="4" t="str">
        <f ca="1">IFERROR(__xludf.DUMMYFUNCTION("""COMPUTED_VALUE"""),"विकचोत्पलचारुलोचनस्तव चैद्येन घटामुपेयुषः । यदुपुङ्गव बन्धुसौहृदात्त्वयि पाता ससुरो नवासवः ||")</f>
        <v>विकचोत्पलचारुलोचनस्तव चैद्येन घटामुपेयुषः । यदुपुङ्गव बन्धुसौहृदात्त्वयि पाता ससुरो नवासवः ||</v>
      </c>
      <c r="B7200" s="4" t="s">
        <v>4</v>
      </c>
      <c r="C7200" s="4"/>
    </row>
    <row r="7201" spans="1:3" ht="24" customHeight="1">
      <c r="A7201" s="4" t="str">
        <f ca="1">IFERROR(__xludf.DUMMYFUNCTION("""COMPUTED_VALUE"""),"चलितानकदुन्दुभिः पुरः सबलस्त्वं सह सारणेन तं । समितौ रभसादुपागतः सगदः संप्रतिपत्तुमर्हसि ||")</f>
        <v>चलितानकदुन्दुभिः पुरः सबलस्त्वं सह सारणेन तं । समितौ रभसादुपागतः सगदः संप्रतिपत्तुमर्हसि ||</v>
      </c>
      <c r="B7201" s="4" t="s">
        <v>18</v>
      </c>
      <c r="C7201" s="4"/>
    </row>
    <row r="7202" spans="1:3" ht="24" customHeight="1">
      <c r="A7202" s="4" t="str">
        <f ca="1">IFERROR(__xludf.DUMMYFUNCTION("""COMPUTED_VALUE"""),"समरेषु रिपून्विनिघ्नता शिशुपालेन समेत्य संप्रति । सुचिरं सह सर्वसात्वतैर्भव विश्वस्तविलासिनीजनः ||")</f>
        <v>समरेषु रिपून्विनिघ्नता शिशुपालेन समेत्य संप्रति । सुचिरं सह सर्वसात्वतैर्भव विश्वस्तविलासिनीजनः ||</v>
      </c>
      <c r="B7202" s="4" t="s">
        <v>1</v>
      </c>
      <c r="C7202" s="4"/>
    </row>
    <row r="7203" spans="1:3" ht="24" customHeight="1">
      <c r="A7203" s="4" t="str">
        <f ca="1">IFERROR(__xludf.DUMMYFUNCTION("""COMPUTED_VALUE"""),"विजितक्रुधमीक्षतामसौ महतां त्वामहितं महीभृतां । असकृज्जितसंयतं पुरो मुदितः सप्रमदं महीपतिः ||")</f>
        <v>विजितक्रुधमीक्षतामसौ महतां त्वामहितं महीभृतां । असकृज्जितसंयतं पुरो मुदितः सप्रमदं महीपतिः ||</v>
      </c>
      <c r="B7203" s="4" t="s">
        <v>2</v>
      </c>
      <c r="C7203" s="4"/>
    </row>
    <row r="7204" spans="1:3" ht="24" customHeight="1">
      <c r="A7204" s="4" t="str">
        <f ca="1">IFERROR(__xludf.DUMMYFUNCTION("""COMPUTED_VALUE"""),"इति जोषमवस्थितं द्विषः प्रणिधिं गामभिधाय सात्यकिः । वदति स्म वचोऽथ चोदितश्चलितैकभ्रू रथाङ्गपाणिना ||")</f>
        <v>इति जोषमवस्थितं द्विषः प्रणिधिं गामभिधाय सात्यकिः । वदति स्म वचोऽथ चोदितश्चलितैकभ्रू रथाङ्गपाणिना ||</v>
      </c>
      <c r="B7204" s="4" t="s">
        <v>1</v>
      </c>
      <c r="C7204" s="4"/>
    </row>
    <row r="7205" spans="1:3" ht="24" customHeight="1">
      <c r="A7205" s="4" t="str">
        <f ca="1">IFERROR(__xludf.DUMMYFUNCTION("""COMPUTED_VALUE"""),"मधुरं बहिरन्तरप्रियं कृतिनावाचि वचस्तथा त्वया । सकलार्थतया विभाव्यते प्रियमन्तर्बहिरप्रियं यथा ||")</f>
        <v>मधुरं बहिरन्तरप्रियं कृतिनावाचि वचस्तथा त्वया । सकलार्थतया विभाव्यते प्रियमन्तर्बहिरप्रियं यथा ||</v>
      </c>
      <c r="B7205" s="4" t="s">
        <v>10</v>
      </c>
      <c r="C7205" s="4"/>
    </row>
    <row r="7206" spans="1:3" ht="24" customHeight="1">
      <c r="A7206" s="4" t="str">
        <f ca="1">IFERROR(__xludf.DUMMYFUNCTION("""COMPUTED_VALUE"""),"अतिक्ॐअलमेकतोन्यतः सरसाम्भोरुहवृन्तकर्कशं । वहति स्फुटमेकमेव ते वचनं शाकपलाशदेश्यतां ||")</f>
        <v>अतिक्ॐअलमेकतोन्यतः सरसाम्भोरुहवृन्तकर्कशं । वहति स्फुटमेकमेव ते वचनं शाकपलाशदेश्यतां ||</v>
      </c>
      <c r="B7206" s="4" t="s">
        <v>2</v>
      </c>
      <c r="C7206" s="4"/>
    </row>
    <row r="7207" spans="1:3" ht="24" customHeight="1">
      <c r="A7207" s="4" t="str">
        <f ca="1">IFERROR(__xludf.DUMMYFUNCTION("""COMPUTED_VALUE"""),"प्रकटं मृदु नाम जल्पतः परुषं सूचयतोर्थमन्तरा । शकुनादिव मार्गवर्तिभिः परुषादुद्विजितव्यमीदृशाथ् ||")</f>
        <v>प्रकटं मृदु नाम जल्पतः परुषं सूचयतोर्थमन्तरा । शकुनादिव मार्गवर्तिभिः परुषादुद्विजितव्यमीदृशाथ् ||</v>
      </c>
      <c r="B7207" s="4" t="s">
        <v>8</v>
      </c>
      <c r="C7207" s="4"/>
    </row>
    <row r="7208" spans="1:3" ht="24" customHeight="1">
      <c r="A7208" s="4" t="str">
        <f ca="1">IFERROR(__xludf.DUMMYFUNCTION("""COMPUTED_VALUE"""),"हरिमर्चितवान्महीपतिर्यदि राज्ञस्तव कोऽत्र मत्सरः । न्यसनाय ससौरभस्य कस्तरुसूनस्य शिरस्यसूयति ||")</f>
        <v>हरिमर्चितवान्महीपतिर्यदि राज्ञस्तव कोऽत्र मत्सरः । न्यसनाय ससौरभस्य कस्तरुसूनस्य शिरस्यसूयति ||</v>
      </c>
      <c r="B7208" s="4" t="s">
        <v>2</v>
      </c>
      <c r="C7208" s="4"/>
    </row>
    <row r="7209" spans="1:3" ht="24" customHeight="1">
      <c r="A7209" s="4" t="str">
        <f ca="1">IFERROR(__xludf.DUMMYFUNCTION("""COMPUTED_VALUE"""),"सुकुमारमहो लघीयसां हृदयं तद्गतमप्रियं यतः । सहसैव समुद्गिरन्त्यमी जरयन्त्येव हि तन्मनीषिणः ||")</f>
        <v>सुकुमारमहो लघीयसां हृदयं तद्गतमप्रियं यतः । सहसैव समुद्गिरन्त्यमी जरयन्त्येव हि तन्मनीषिणः ||</v>
      </c>
      <c r="B7209" s="4" t="s">
        <v>7</v>
      </c>
      <c r="C7209" s="4"/>
    </row>
    <row r="7210" spans="1:3" ht="24" customHeight="1">
      <c r="A7210" s="4" t="str">
        <f ca="1">IFERROR(__xludf.DUMMYFUNCTION("""COMPUTED_VALUE"""),"उपकारपरः स्वभावतः सततं सर्वजनस्य सज्जनः । असतामनिशं तथाप्यहो गुरुहृद्रोगकरी तदुन्नतिः ||")</f>
        <v>उपकारपरः स्वभावतः सततं सर्वजनस्य सज्जनः । असतामनिशं तथाप्यहो गुरुहृद्रोगकरी तदुन्नतिः ||</v>
      </c>
      <c r="B7210" s="4" t="s">
        <v>2</v>
      </c>
      <c r="C7210" s="4"/>
    </row>
    <row r="7211" spans="1:3" ht="24" customHeight="1">
      <c r="A7211" s="4" t="str">
        <f ca="1">IFERROR(__xludf.DUMMYFUNCTION("""COMPUTED_VALUE"""),"परितप्यत एव नोत्तमः परितप्तोऽप्यपरः सुसंवृतिः । परवृद्धिभिराहितव्यथः स्फुटनिर्भिन्नदुराशयोऽधमः ||")</f>
        <v>परितप्यत एव नोत्तमः परितप्तोऽप्यपरः सुसंवृतिः । परवृद्धिभिराहितव्यथः स्फुटनिर्भिन्नदुराशयोऽधमः ||</v>
      </c>
      <c r="B7211" s="4" t="s">
        <v>12</v>
      </c>
      <c r="C7211" s="4"/>
    </row>
    <row r="7212" spans="1:3" ht="24" customHeight="1">
      <c r="A7212" s="4" t="str">
        <f ca="1">IFERROR(__xludf.DUMMYFUNCTION("""COMPUTED_VALUE"""),"अनिराकृततापसंपदं फलहीनां सुमनोभिरुज्झितां । खलतां खलतामिवासतीं प्रतिपद्येत कथं बुधो जनः ||")</f>
        <v>अनिराकृततापसंपदं फलहीनां सुमनोभिरुज्झितां । खलतां खलतामिवासतीं प्रतिपद्येत कथं बुधो जनः ||</v>
      </c>
      <c r="B7212" s="4" t="s">
        <v>1</v>
      </c>
      <c r="C7212" s="4"/>
    </row>
    <row r="7213" spans="1:3" ht="24" customHeight="1">
      <c r="A7213" s="4" t="str">
        <f ca="1">IFERROR(__xludf.DUMMYFUNCTION("""COMPUTED_VALUE"""),"प्रतिवाचमदत्त केशवः शपमानाय न चेदिभूभुजे । अनुहुङ्कुरुते घनध्वनिं न हि ग्ॐआयुरुतानि केसरी ||")</f>
        <v>प्रतिवाचमदत्त केशवः शपमानाय न चेदिभूभुजे । अनुहुङ्कुरुते घनध्वनिं न हि ग्ॐआयुरुतानि केसरी ||</v>
      </c>
      <c r="B7213" s="4" t="s">
        <v>0</v>
      </c>
      <c r="C7213" s="4"/>
    </row>
    <row r="7214" spans="1:3" ht="24" customHeight="1">
      <c r="A7214" s="4" t="str">
        <f ca="1">IFERROR(__xludf.DUMMYFUNCTION("""COMPUTED_VALUE"""),"जितरोषरया महाधियः सपदि क्रोधजितो लघुर्जनः । विजितेन जितस्य दुर्मतेर्मतिमद्भिः सह का विरोधिता ||")</f>
        <v>जितरोषरया महाधियः सपदि क्रोधजितो लघुर्जनः । विजितेन जितस्य दुर्मतेर्मतिमद्भिः सह का विरोधिता ||</v>
      </c>
      <c r="B7214" s="4" t="s">
        <v>2</v>
      </c>
      <c r="C7214" s="4"/>
    </row>
    <row r="7215" spans="1:3" ht="24" customHeight="1">
      <c r="A7215" s="4" t="str">
        <f ca="1">IFERROR(__xludf.DUMMYFUNCTION("""COMPUTED_VALUE"""),"वचनैरसतां महीयसो न खलु व्येति गुरुत्वमुद्धतैः । किमपैति रजोभिरौर्वरैरवकीर्णस्य मणेर्महार्घता ||")</f>
        <v>वचनैरसतां महीयसो न खलु व्येति गुरुत्वमुद्धतैः । किमपैति रजोभिरौर्वरैरवकीर्णस्य मणेर्महार्घता ||</v>
      </c>
      <c r="B7215" s="4" t="s">
        <v>2</v>
      </c>
      <c r="C7215" s="4"/>
    </row>
    <row r="7216" spans="1:3" ht="24" customHeight="1">
      <c r="A7216" s="4" t="str">
        <f ca="1">IFERROR(__xludf.DUMMYFUNCTION("""COMPUTED_VALUE"""),"परितोषयिता न कश्चन स्वगतो यस्य गुणोऽस्ति देहिनः । परदोषकथाभिरल्पकः स्वजनं तोषयितुं किलेच्छति ||")</f>
        <v>परितोषयिता न कश्चन स्वगतो यस्य गुणोऽस्ति देहिनः । परदोषकथाभिरल्पकः स्वजनं तोषयितुं किलेच्छति ||</v>
      </c>
      <c r="B7216" s="4" t="s">
        <v>2</v>
      </c>
      <c r="C7216" s="4"/>
    </row>
    <row r="7217" spans="1:3" ht="24" customHeight="1">
      <c r="A7217" s="4" t="str">
        <f ca="1">IFERROR(__xludf.DUMMYFUNCTION("""COMPUTED_VALUE"""),"सहजान्धदृशः स्वदुर्नये परदोषेक्षणदिव्यचक्षुषः । स्वगुणोच्चगिरो मुनिव्रताः परवर्णग्रहणेष्वसाधवः ||")</f>
        <v>सहजान्धदृशः स्वदुर्नये परदोषेक्षणदिव्यचक्षुषः । स्वगुणोच्चगिरो मुनिव्रताः परवर्णग्रहणेष्वसाधवः ||</v>
      </c>
      <c r="B7217" s="4" t="s">
        <v>4</v>
      </c>
      <c r="C7217" s="4"/>
    </row>
    <row r="7218" spans="1:3" ht="24" customHeight="1">
      <c r="A7218" s="4" t="str">
        <f ca="1">IFERROR(__xludf.DUMMYFUNCTION("""COMPUTED_VALUE"""),"प्रकटान्यपि नैपुणं महत्परवाच्यानि चिराय गोपितुं । विवरीतुमथात्मनो गुणान्भृशमाकौशलमार्यचेतसां ||")</f>
        <v>प्रकटान्यपि नैपुणं महत्परवाच्यानि चिराय गोपितुं । विवरीतुमथात्मनो गुणान्भृशमाकौशलमार्यचेतसां ||</v>
      </c>
      <c r="B7218" s="4" t="s">
        <v>18</v>
      </c>
      <c r="C7218" s="4"/>
    </row>
    <row r="7219" spans="1:3" ht="24" customHeight="1">
      <c r="A7219" s="4" t="str">
        <f ca="1">IFERROR(__xludf.DUMMYFUNCTION("""COMPUTED_VALUE"""),"किमिवाखिललोककीर्तितं कथयत्यात्मगुणं महामनाः । वदिता न लघीयसोऽपरः स्वगुणं तेन वदत्यसौ स्वयं ||")</f>
        <v>किमिवाखिललोककीर्तितं कथयत्यात्मगुणं महामनाः । वदिता न लघीयसोऽपरः स्वगुणं तेन वदत्यसौ स्वयं ||</v>
      </c>
      <c r="B7219" s="4" t="s">
        <v>5</v>
      </c>
      <c r="C7219" s="4"/>
    </row>
    <row r="7220" spans="1:3" ht="24" customHeight="1">
      <c r="A7220" s="4" t="str">
        <f ca="1">IFERROR(__xludf.DUMMYFUNCTION("""COMPUTED_VALUE"""),"विसृजन्त्यविकत्थिनः परे विषमाशीविषवन्नराः क्रुधं । दधतोऽन्तरसाररूपतां ध्वनिसाराः पटहा इवेतरे ||")</f>
        <v>विसृजन्त्यविकत्थिनः परे विषमाशीविषवन्नराः क्रुधं । दधतोऽन्तरसाररूपतां ध्वनिसाराः पटहा इवेतरे ||</v>
      </c>
      <c r="B7220" s="4" t="s">
        <v>0</v>
      </c>
      <c r="C7220" s="4"/>
    </row>
    <row r="7221" spans="1:3" ht="24" customHeight="1">
      <c r="A7221" s="4" t="str">
        <f ca="1">IFERROR(__xludf.DUMMYFUNCTION("""COMPUTED_VALUE"""),"नरकच्छिदमिच्छतीक्षितुं विधिना येन स चेदिभूपतिः । द्रुतमेतु न हापयिष्यते सदृशं तस्य विधातुमुत्तरं ||")</f>
        <v>नरकच्छिदमिच्छतीक्षितुं विधिना येन स चेदिभूपतिः । द्रुतमेतु न हापयिष्यते सदृशं तस्य विधातुमुत्तरं ||</v>
      </c>
      <c r="B7221" s="4" t="s">
        <v>0</v>
      </c>
      <c r="C7221" s="4"/>
    </row>
    <row r="7222" spans="1:3" ht="24" customHeight="1">
      <c r="A7222" s="4" t="str">
        <f ca="1">IFERROR(__xludf.DUMMYFUNCTION("""COMPUTED_VALUE"""),"समनद्ध किमङ्ग भूपतिर्यदि संधित्सुरसौ सहामुना । हरिराक्रमणेन संनति किल विभ्रति भियेत्यसंभवः ||")</f>
        <v>समनद्ध किमङ्ग भूपतिर्यदि संधित्सुरसौ सहामुना । हरिराक्रमणेन संनति किल विभ्रति भियेत्यसंभवः ||</v>
      </c>
      <c r="B7222" s="4" t="s">
        <v>4</v>
      </c>
      <c r="C7222" s="4"/>
    </row>
    <row r="7223" spans="1:3" ht="24" customHeight="1">
      <c r="A7223" s="4" t="str">
        <f ca="1">IFERROR(__xludf.DUMMYFUNCTION("""COMPUTED_VALUE"""),"महतस्तरसा विलङ्घयन्निजदोषेण कुधीर्विनश्यति । कुरुते न खलु स्वयेच्छया शलभानिन्धनमिद्धदीधितिः ||")</f>
        <v>महतस्तरसा विलङ्घयन्निजदोषेण कुधीर्विनश्यति । कुरुते न खलु स्वयेच्छया शलभानिन्धनमिद्धदीधितिः ||</v>
      </c>
      <c r="B7223" s="4" t="s">
        <v>2</v>
      </c>
      <c r="C7223" s="4"/>
    </row>
    <row r="7224" spans="1:3" ht="24" customHeight="1">
      <c r="A7224" s="4" t="str">
        <f ca="1">IFERROR(__xludf.DUMMYFUNCTION("""COMPUTED_VALUE"""),"यदपूरि पुरा महीपतिर्न मुखेन स्वयमगसा शतं । अथ संप्रति पर्यपूपुरत्तदसौ दूतमुखेन शार्ङ्गिणः ||")</f>
        <v>यदपूरि पुरा महीपतिर्न मुखेन स्वयमगसा शतं । अथ संप्रति पर्यपूपुरत्तदसौ दूतमुखेन शार्ङ्गिणः ||</v>
      </c>
      <c r="B7224" s="4" t="s">
        <v>7</v>
      </c>
      <c r="C7224" s="4"/>
    </row>
    <row r="7225" spans="1:3" ht="24" customHeight="1">
      <c r="A7225" s="4" t="str">
        <f ca="1">IFERROR(__xludf.DUMMYFUNCTION("""COMPUTED_VALUE"""),"यदनर्गलगोपुराननस्त्वमितो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||")</f>
        <v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||</v>
      </c>
      <c r="B7225" s="4" t="s">
        <v>20</v>
      </c>
      <c r="C7225" s="4"/>
    </row>
    <row r="7226" spans="1:3" ht="24" customHeight="1">
      <c r="A7226" s="4" t="str">
        <f ca="1">IFERROR(__xludf.DUMMYFUNCTION("""COMPUTED_VALUE"""),"निशम्य तदूर्जितं शिनेर्वचनं नप्तुरनाप्तुरेनसां । पुनरुज्झितसाध्वसो द्विषामभिधत्ते स्म वचो वचोहरः ||")</f>
        <v>निशम्य तदूर्जितं शिनेर्वचनं नप्तुरनाप्तुरेनसां । पुनरुज्झितसाध्वसो द्विषामभिधत्ते स्म वचो वचोहरः ||</v>
      </c>
      <c r="B7226" s="4" t="s">
        <v>0</v>
      </c>
      <c r="C7226" s="4"/>
    </row>
    <row r="7227" spans="1:3" ht="24" customHeight="1">
      <c r="A7227" s="4" t="str">
        <f ca="1">IFERROR(__xludf.DUMMYFUNCTION("""COMPUTED_VALUE"""),"विविनक्ति न बुद्धिदुर्विधः स्वयमेव स्वहितं पृथग्जनः । यदुदीरितमप्यदः परैर्न विजानाति तदद्भुतं महथ् ||")</f>
        <v>विविनक्ति न बुद्धिदुर्विधः स्वयमेव स्वहितं पृथग्जनः । यदुदीरितमप्यदः परैर्न विजानाति तदद्भुतं महथ् ||</v>
      </c>
      <c r="B7227" s="4" t="s">
        <v>24</v>
      </c>
      <c r="C7227" s="4"/>
    </row>
    <row r="7228" spans="1:3" ht="24" customHeight="1">
      <c r="A7228" s="4" t="str">
        <f ca="1">IFERROR(__xludf.DUMMYFUNCTION("""COMPUTED_VALUE"""),"विदुरेष्यदपायमात्मना परतः श्रद्दधतेऽथवा बुधाः । न परोपहितं न च स्वतः प्रमिमीतेऽनुभवादृतेऽल्पधीः ||")</f>
        <v>विदुरेष्यदपायमात्मना परतः श्रद्दधतेऽथवा बुधाः । न परोपहितं न च स्वतः प्रमिमीतेऽनुभवादृतेऽल्पधीः ||</v>
      </c>
      <c r="B7228" s="4" t="s">
        <v>20</v>
      </c>
      <c r="C7228" s="4"/>
    </row>
    <row r="7229" spans="1:3" ht="24" customHeight="1">
      <c r="A7229" s="4" t="str">
        <f ca="1">IFERROR(__xludf.DUMMYFUNCTION("""COMPUTED_VALUE"""),"कुशलं खलु तुभ्यमेव तद्वचनं कृष्ण यदभ्यधामहं । उपदेशपराः परेष्वपि स्वविनाशाभिमुखेषु साधवः ||")</f>
        <v>कुशलं खलु तुभ्यमेव तद्वचनं कृष्ण यदभ्यधामहं । उपदेशपराः परेष्वपि स्वविनाशाभिमुखेषु साधवः ||</v>
      </c>
      <c r="B7229" s="4" t="s">
        <v>4</v>
      </c>
      <c r="C7229" s="4"/>
    </row>
    <row r="7230" spans="1:3" ht="24" customHeight="1">
      <c r="A7230" s="4" t="str">
        <f ca="1">IFERROR(__xludf.DUMMYFUNCTION("""COMPUTED_VALUE"""),"उभयं युगपन्मयोदितं त्वरया सान्त्वमथेतरच्च ते । प्रविभज्य पृथङ्मनीषया स्वगुणं यत्किल तत्करिष्यसि ||")</f>
        <v>उभयं युगपन्मयोदितं त्वरया सान्त्वमथेतरच्च ते । प्रविभज्य पृथङ्मनीषया स्वगुणं यत्किल तत्करिष्यसि ||</v>
      </c>
      <c r="B7230" s="4" t="s">
        <v>18</v>
      </c>
      <c r="C7230" s="4"/>
    </row>
    <row r="7231" spans="1:3" ht="24" customHeight="1">
      <c r="A7231" s="4" t="str">
        <f ca="1">IFERROR(__xludf.DUMMYFUNCTION("""COMPUTED_VALUE"""),"अथवाभिनिविष्टबुद्धिषु व्रजति व्यर्थकतां सुभाषितं । रविरागिषु शीतरोचिषः करजालं कमलाकरेष्विव ||")</f>
        <v>अथवाभिनिविष्टबुद्धिषु व्रजति व्यर्थकतां सुभाषितं । रविरागिषु शीतरोचिषः करजालं कमलाकरेष्विव ||</v>
      </c>
      <c r="B7231" s="4" t="s">
        <v>4</v>
      </c>
      <c r="C7231" s="4"/>
    </row>
    <row r="7232" spans="1:3" ht="24" customHeight="1">
      <c r="A7232" s="4" t="str">
        <f ca="1">IFERROR(__xludf.DUMMYFUNCTION("""COMPUTED_VALUE"""),"अनपेक्ष्य गुणागुणौ जनः स्वरुचिं निश्चयतोनुधावति । अपहाय महीशमर्चिचत्सदति त्वां ननु भीमपूर्वजः ||")</f>
        <v>अनपेक्ष्य गुणागुणौ जनः स्वरुचिं निश्चयतोनुधावति । अपहाय महीशमर्चिचत्सदति त्वां ननु भीमपूर्वजः ||</v>
      </c>
      <c r="B7232" s="4" t="s">
        <v>3</v>
      </c>
      <c r="C7232" s="4"/>
    </row>
    <row r="7233" spans="1:3" ht="24" customHeight="1">
      <c r="A7233" s="4" t="str">
        <f ca="1">IFERROR(__xludf.DUMMYFUNCTION("""COMPUTED_VALUE"""),"त्वयि भक्तिमता न सत्कृतः कुरुराजा गुरुरेव चेदिपः । प्रियमांसमृगाधिपोज्झितः किमवद्यः करिकुम्भजो मणिः ||")</f>
        <v>त्वयि भक्तिमता न सत्कृतः कुरुराजा गुरुरेव चेदिपः । प्रियमांसमृगाधिपोज्झितः किमवद्यः करिकुम्भजो मणिः ||</v>
      </c>
      <c r="B7233" s="4" t="s">
        <v>7</v>
      </c>
      <c r="C7233" s="4"/>
    </row>
    <row r="7234" spans="1:3" ht="24" customHeight="1">
      <c r="A7234" s="4" t="str">
        <f ca="1">IFERROR(__xludf.DUMMYFUNCTION("""COMPUTED_VALUE"""),"क्रियते धवलः खलूच्चकैर्धवलैरेव सितेतरैरधः । शिरसौधमधत्त श्ङ्करः सुरसिन्धोर्मधुजित्तमङ्घ्रिणा ||")</f>
        <v>क्रियते धवलः खलूच्चकैर्धवलैरेव सितेतरैरधः । शिरसौधमधत्त श्ङ्करः सुरसिन्धोर्मधुजित्तमङ्घ्रिणा ||</v>
      </c>
      <c r="B7234" s="4" t="s">
        <v>7</v>
      </c>
      <c r="C7234" s="4"/>
    </row>
    <row r="7235" spans="1:3" ht="24" customHeight="1">
      <c r="A7235" s="4" t="str">
        <f ca="1">IFERROR(__xludf.DUMMYFUNCTION("""COMPUTED_VALUE"""),"अबुधैः कृतमानसम्विदस्तव पार्थैः कुत एव योग्यता । सहसि प्लवगैरुपासितं न हि गुञ्जाफलमेति सोष्मतां ||")</f>
        <v>अबुधैः कृतमानसम्विदस्तव पार्थैः कुत एव योग्यता । सहसि प्लवगैरुपासितं न हि गुञ्जाफलमेति सोष्मतां ||</v>
      </c>
      <c r="B7235" s="4" t="s">
        <v>2</v>
      </c>
      <c r="C7235" s="4"/>
    </row>
    <row r="7236" spans="1:3" ht="24" customHeight="1">
      <c r="A7236" s="4" t="str">
        <f ca="1">IFERROR(__xludf.DUMMYFUNCTION("""COMPUTED_VALUE"""),"अपराधशतक्षमं नृपः क्षमयात्येति भवन्तमेकया । हृतवत्यपि भीष्मकात्मजां त्वयि चक्षाम समर्थ एव यथ् ||")</f>
        <v>अपराधशतक्षमं नृपः क्षमयात्येति भवन्तमेकया । हृतवत्यपि भीष्मकात्मजां त्वयि चक्षाम समर्थ एव यथ् ||</v>
      </c>
      <c r="B7236" s="4" t="s">
        <v>5</v>
      </c>
      <c r="C7236" s="4"/>
    </row>
    <row r="7237" spans="1:3" ht="24" customHeight="1">
      <c r="A7237" s="4" t="str">
        <f ca="1">IFERROR(__xludf.DUMMYFUNCTION("""COMPUTED_VALUE"""),"गुरुभिः प्रतिपादितां वधूमपहृत्य स्वजनस्य भूपतेः । जनकोऽसि जनार्दन स्फुटं हतधर्मार्थतया मनोभुवः ||")</f>
        <v>गुरुभिः प्रतिपादितां वधूमपहृत्य स्वजनस्य भूपतेः । जनकोऽसि जनार्दन स्फुटं हतधर्मार्थतया मनोभुवः ||</v>
      </c>
      <c r="B7237" s="4" t="s">
        <v>4</v>
      </c>
      <c r="C7237" s="4"/>
    </row>
    <row r="7238" spans="1:3" ht="24" customHeight="1">
      <c r="A7238" s="4" t="str">
        <f ca="1">IFERROR(__xludf.DUMMYFUNCTION("""COMPUTED_VALUE"""),"अनिरूपिरूपसंपदस्तमसो वान्यभृतच्छदच्छवेः । तव सर्वगतस्य संप्रति क्षितिपः क्षिप्नुरभीशुमानिव ||")</f>
        <v>अनिरूपिरूपसंपदस्तमसो वान्यभृतच्छदच्छवेः । तव सर्वगतस्य संप्रति क्षितिपः क्षिप्नुरभीशुमानिव ||</v>
      </c>
      <c r="B7238" s="4" t="s">
        <v>4</v>
      </c>
      <c r="C7238" s="4"/>
    </row>
    <row r="7239" spans="1:3" ht="24" customHeight="1">
      <c r="A7239" s="4" t="str">
        <f ca="1">IFERROR(__xludf.DUMMYFUNCTION("""COMPUTED_VALUE"""),"क्षुभितस्य महीभृतस्त्वयि प्रशमोपन्यसनं वृथा मम । प्रलयोल्लसितस्य वारिधेः परिवाहो जगतः करोति किं ||")</f>
        <v>क्षुभितस्य महीभृतस्त्वयि प्रशमोपन्यसनं वृथा मम । प्रलयोल्लसितस्य वारिधेः परिवाहो जगतः करोति किं ||</v>
      </c>
      <c r="B7239" s="4" t="s">
        <v>19</v>
      </c>
      <c r="C7239" s="4"/>
    </row>
    <row r="7240" spans="1:3" ht="24" customHeight="1">
      <c r="A7240" s="4" t="str">
        <f ca="1">IFERROR(__xludf.DUMMYFUNCTION("""COMPUTED_VALUE"""),"प्रहितः प्रधनाय माधवानहमाकारयितुं महीभृता । न परेषु महौजसश्छलादपकुर्वन्ति मलिम्लुचा इव ||")</f>
        <v>प्रहितः प्रधनाय माधवानहमाकारयितुं महीभृता । न परेषु महौजसश्छलादपकुर्वन्ति मलिम्लुचा इव ||</v>
      </c>
      <c r="B7240" s="4" t="s">
        <v>4</v>
      </c>
      <c r="C7240" s="4"/>
    </row>
    <row r="7241" spans="1:3" ht="24" customHeight="1">
      <c r="A7241" s="4" t="str">
        <f ca="1">IFERROR(__xludf.DUMMYFUNCTION("""COMPUTED_VALUE"""),"तदयं समुपैति भूपतिः पयसां पूर इवानिवारितः । अविलम्बितमेधि वेतसस्तरुवन्माधव मा स्म भज्यथाः ||")</f>
        <v>तदयं समुपैति भूपतिः पयसां पूर इवानिवारितः । अविलम्बितमेधि वेतसस्तरुवन्माधव मा स्म भज्यथाः ||</v>
      </c>
      <c r="B7241" s="4" t="s">
        <v>10</v>
      </c>
      <c r="C7241" s="4"/>
    </row>
    <row r="7242" spans="1:3" ht="24" customHeight="1">
      <c r="A7242" s="4" t="str">
        <f ca="1">IFERROR(__xludf.DUMMYFUNCTION("""COMPUTED_VALUE"""),"परिपाति स केवलं शिशूनिति तन्नामनि मा स्म विश्वसीः । तरुणानपि रक्षति क्षमी स शरण्यः शरणागतान्द्विषः ||")</f>
        <v>परिपाति स केवलं शिशूनिति तन्नामनि मा स्म विश्वसीः । तरुणानपि रक्षति क्षमी स शरण्यः शरणागतान्द्विषः ||</v>
      </c>
      <c r="B7242" s="4" t="s">
        <v>13</v>
      </c>
      <c r="C7242" s="4"/>
    </row>
    <row r="7243" spans="1:3" ht="24" customHeight="1">
      <c r="A7243" s="4" t="str">
        <f ca="1">IFERROR(__xludf.DUMMYFUNCTION("""COMPUTED_VALUE"""),"न विदध्युरशङ्कमप्रियं महतः स्वार्थपराः परे कथं । भजते कुपितोऽप्युदारधीरनुनीतिं नतिमात्रकेण सः ||")</f>
        <v>न विदध्युरशङ्कमप्रियं महतः स्वार्थपराः परे कथं । भजते कुपितोऽप्युदारधीरनुनीतिं नतिमात्रकेण सः ||</v>
      </c>
      <c r="B7243" s="4" t="s">
        <v>18</v>
      </c>
      <c r="C7243" s="4"/>
    </row>
    <row r="7244" spans="1:3" ht="24" customHeight="1">
      <c r="A7244" s="4" t="str">
        <f ca="1">IFERROR(__xludf.DUMMYFUNCTION("""COMPUTED_VALUE"""),"हितमप्रियमिच्छसि श्रुतं यदि संधत्स्व पुरा न नश्यसि । अनृतैरथ तुष्यसि प्रियैर्जयताज्जीव भवावनीश्वरः ||")</f>
        <v>हितमप्रियमिच्छसि श्रुतं यदि संधत्स्व पुरा न नश्यसि । अनृतैरथ तुष्यसि प्रियैर्जयताज्जीव भवावनीश्वरः ||</v>
      </c>
      <c r="B7244" s="4" t="s">
        <v>0</v>
      </c>
      <c r="C7244" s="4"/>
    </row>
    <row r="7245" spans="1:3" ht="24" customHeight="1">
      <c r="A7245" s="4" t="str">
        <f ca="1">IFERROR(__xludf.DUMMYFUNCTION("""COMPUTED_VALUE"""),"प्रतिपक्षजिदप्यसंशयं युधि चैद्येन विजेष्यते भवान् । ग्रसते हि तमोपहं मुहुर्ननु राह्वाह्वमहर्पतिं तमः ||")</f>
        <v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||</v>
      </c>
      <c r="B7245" s="4" t="s">
        <v>12</v>
      </c>
      <c r="C7245" s="4"/>
    </row>
    <row r="7246" spans="1:3" ht="24" customHeight="1">
      <c r="A7246" s="4" t="str">
        <f ca="1">IFERROR(__xludf.DUMMYFUNCTION("""COMPUTED_VALUE"""),"अचिराज्जितमीनकेतनो विलसन्वृष्णिगणैर्नमस्कृतः । क्षितिपः क्षयितोद्धतान्तको हरलीलां स विडम्बयिष्यति ||")</f>
        <v>अचिराज्जितमीनकेतनो विलसन्वृष्णिगणैर्नमस्कृतः । क्षितिपः क्षयितोद्धतान्तको हरलीलां स विडम्बयिष्यति ||</v>
      </c>
      <c r="B7246" s="4" t="s">
        <v>2</v>
      </c>
      <c r="C7246" s="4"/>
    </row>
    <row r="7247" spans="1:3" ht="24" customHeight="1">
      <c r="A7247" s="4" t="str">
        <f ca="1">IFERROR(__xludf.DUMMYFUNCTION("""COMPUTED_VALUE"""),"निहतोन्मददुष्टकुञ्जराद्दधतो भूरि यशः क्रमार्जितं । न बिभेति रणे हरेरपि क्षितिपः का गणनास्य वृष्णिषु ||")</f>
        <v>निहतोन्मददुष्टकुञ्जराद्दधतो भूरि यशः क्रमार्जितं । न बिभेति रणे हरेरपि क्षितिपः का गणनास्य वृष्णिषु ||</v>
      </c>
      <c r="B7247" s="4" t="s">
        <v>13</v>
      </c>
      <c r="C7247" s="4"/>
    </row>
    <row r="7248" spans="1:3" ht="24" customHeight="1">
      <c r="A7248" s="4" t="str">
        <f ca="1">IFERROR(__xludf.DUMMYFUNCTION("""COMPUTED_VALUE"""),"न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||")</f>
        <v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||</v>
      </c>
      <c r="B7248" s="4" t="s">
        <v>13</v>
      </c>
      <c r="C7248" s="4"/>
    </row>
    <row r="7249" spans="1:3" ht="24" customHeight="1">
      <c r="A7249" s="4" t="str">
        <f ca="1">IFERROR(__xludf.DUMMYFUNCTION("""COMPUTED_VALUE"""),"प्रतनूल्लसिताचिरद्युतः शरदं प्राप्य विखण्डितायुधाः । दधतेऽरिभिरस्य तुल्यतां यदि नासारभृतः पयोभृतः ||")</f>
        <v>प्रतनूल्लसिताचिरद्युतः शरदं प्राप्य विखण्डितायुधाः । दधतेऽरिभिरस्य तुल्यतां यदि नासारभृतः पयोभृतः ||</v>
      </c>
      <c r="B7249" s="4" t="s">
        <v>2</v>
      </c>
      <c r="C7249" s="4"/>
    </row>
    <row r="7250" spans="1:3" ht="24" customHeight="1">
      <c r="A7250" s="4" t="str">
        <f ca="1">IFERROR(__xludf.DUMMYFUNCTION("""COMPUTED_VALUE"""),"मलिनं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||")</f>
        <v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||</v>
      </c>
      <c r="B7250" s="4" t="s">
        <v>2</v>
      </c>
      <c r="C7250" s="4"/>
    </row>
    <row r="7251" spans="1:3" ht="24" customHeight="1">
      <c r="A7251" s="4" t="str">
        <f ca="1">IFERROR(__xludf.DUMMYFUNCTION("""COMPUTED_VALUE"""),"समराय निकामकर्कशं क्षणमाकृष्टमुपैति यस्य च । धनुषा सममाशु विद्विषां कुलमाशङ्कितभङ्गमानतिं ||")</f>
        <v>समराय निकामकर्कशं क्षणमाकृष्टमुपैति यस्य च । धनुषा सममाशु विद्विषां कुलमाशङ्कितभङ्गमानतिं ||</v>
      </c>
      <c r="B7251" s="4" t="s">
        <v>2</v>
      </c>
      <c r="C7251" s="4"/>
    </row>
    <row r="7252" spans="1:3" ht="24" customHeight="1">
      <c r="A7252" s="4" t="str">
        <f ca="1">IFERROR(__xludf.DUMMYFUNCTION("""COMPUTED_VALUE"""),"तुहिनांशुममुं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||")</f>
        <v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||</v>
      </c>
      <c r="B7252" s="4" t="s">
        <v>0</v>
      </c>
      <c r="C7252" s="4"/>
    </row>
    <row r="7253" spans="1:3" ht="24" customHeight="1">
      <c r="A7253" s="4" t="str">
        <f ca="1">IFERROR(__xludf.DUMMYFUNCTION("""COMPUTED_VALUE"""),"दधतोऽसुलभक्षयागमास्तनुमेकान्तरताममानुषीं । भुवि सम्प्रति न प्रतिष्ठिताः सदृशा यस्य सुरैररातयः ||")</f>
        <v>दधतोऽसुलभक्षयागमास्तनुमेकान्तरताममानुषीं । भुवि सम्प्रति न प्रतिष्ठिताः सदृशा यस्य सुरैररातयः ||</v>
      </c>
      <c r="B7253" s="4" t="s">
        <v>5</v>
      </c>
      <c r="C7253" s="4"/>
    </row>
    <row r="7254" spans="1:3" ht="24" customHeight="1">
      <c r="A7254" s="4" t="str">
        <f ca="1">IFERROR(__xludf.DUMMYFUNCTION("""COMPUTED_VALUE"""),"अतिविस्मयनीयकर्मणो नृपतेर्यस्य विरोधि किञ्चन । यदुमुक्तनयो नयत्यसावहितानां कुलमक्षयं क्षयं ||")</f>
        <v>अतिविस्मयनीयकर्मणो नृपतेर्यस्य विरोधि किञ्चन । यदुमुक्तनयो नयत्यसावहितानां कुलमक्षयं क्षयं ||</v>
      </c>
      <c r="B7254" s="4" t="s">
        <v>5</v>
      </c>
      <c r="C7254" s="4"/>
    </row>
    <row r="7255" spans="1:3" ht="24" customHeight="1">
      <c r="A7255" s="4" t="str">
        <f ca="1">IFERROR(__xludf.DUMMYFUNCTION("""COMPUTED_VALUE"""),"चलितोर्ध्वकबन्धसम्पदो मकरव्यूहनिरूद्धवर्त्मनः. अतरत्स्वभुजौजसा मुहुर्महतः सङ्गरसागरानसौ ||")</f>
        <v>चलितोर्ध्वकबन्धसम्पदो मकरव्यूहनिरूद्धवर्त्मनः. अतरत्स्वभुजौजसा मुहुर्महतः सङ्गरसागरानसौ ||</v>
      </c>
      <c r="B7255" s="4" t="s">
        <v>18</v>
      </c>
      <c r="C7255" s="4"/>
    </row>
    <row r="7256" spans="1:3" ht="24" customHeight="1">
      <c r="A7256" s="4" t="str">
        <f ca="1">IFERROR(__xludf.DUMMYFUNCTION("""COMPUTED_VALUE"""),"न चिकीर्षति यः स्मयोद्धतो नृपतित्तच्चरणोपपगं शिरः । चरणं कुरुते गतस्मयः स्मसावेव तदीयमूर्धनि ||")</f>
        <v>न चिकीर्षति यः स्मयोद्धतो नृपतित्तच्चरणोपपगं शिरः । चरणं कुरुते गतस्मयः स्मसावेव तदीयमूर्धनि ||</v>
      </c>
      <c r="B7256" s="4" t="s">
        <v>1</v>
      </c>
      <c r="C7256" s="4"/>
    </row>
    <row r="7257" spans="1:3" ht="24" customHeight="1">
      <c r="A7257" s="4" t="str">
        <f ca="1">IFERROR(__xludf.DUMMYFUNCTION("""COMPUTED_VALUE"""),"स्वभुजद्वयकेवलायुधश्चतुरङ्गामपहाय वाहिनीं । बहुशः सह शक्रदन्तिना स चतुर्दन्तमगच्छदाहवं ||")</f>
        <v>स्वभुजद्वयकेवलायुधश्चतुरङ्गामपहाय वाहिनीं । बहुशः सह शक्रदन्तिना स चतुर्दन्तमगच्छदाहवं ||</v>
      </c>
      <c r="B7257" s="4" t="s">
        <v>4</v>
      </c>
      <c r="C7257" s="4"/>
    </row>
    <row r="7258" spans="1:3" ht="24" customHeight="1">
      <c r="A7258" s="4" t="str">
        <f ca="1">IFERROR(__xludf.DUMMYFUNCTION("""COMPUTED_VALUE"""),"अविचालितचारुचक्रयोरनुरागादुपगूढयोः श्रिया । युवयोरिदमेव भिद्यते यदुपेन्द्रस्त्वमतीन्द्र एव सः ||")</f>
        <v>अविचालितचारुचक्रयोरनुरागादुपगूढयोः श्रिया । युवयोरिदमेव भिद्यते यदुपेन्द्रस्त्वमतीन्द्र एव सः ||</v>
      </c>
      <c r="B7258" s="4" t="s">
        <v>18</v>
      </c>
      <c r="C7258" s="4"/>
    </row>
    <row r="7259" spans="1:3" ht="24" customHeight="1">
      <c r="A7259" s="4" t="str">
        <f ca="1">IFERROR(__xludf.DUMMYFUNCTION("""COMPUTED_VALUE"""),"भूतभूतिरहीनभोगभाग्विजितानेकपुरोऽपि विद्विषां । रुचिमिन्दुदले करोत्यजः परिपूर्णेन्दुरुचिर्महीपतिः ||")</f>
        <v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||</v>
      </c>
      <c r="B7259" s="4" t="s">
        <v>2</v>
      </c>
      <c r="C7259" s="4"/>
    </row>
    <row r="7260" spans="1:3" ht="24" customHeight="1">
      <c r="A7260" s="4" t="str">
        <f ca="1">IFERROR(__xludf.DUMMYFUNCTION("""COMPUTED_VALUE"""),"नयति द्रुतमुद्धतिश्रितः प्रसभं भङ्गमभङ्गुरोदयः । गमयत्यवनीतलस्फुरद्भुजशाखं भृशमन्यमुन्नतिं ||")</f>
        <v>नयति द्रुतमुद्धतिश्रितः प्रसभं भङ्गमभङ्गुरोदयः । गमयत्यवनीतलस्फुरद्भुजशाखं भृशमन्यमुन्नतिं ||</v>
      </c>
      <c r="B7260" s="4" t="s">
        <v>2</v>
      </c>
      <c r="C7260" s="4"/>
    </row>
    <row r="7261" spans="1:3" ht="24" customHeight="1">
      <c r="A7261" s="4" t="str">
        <f ca="1">IFERROR(__xludf.DUMMYFUNCTION("""COMPUTED_VALUE"""),"अधिगम्य च रन्ध्रमन्तरा जनयन्मण्डलभेदमन्यतः । खनति क्षतसंहति क्षणादपि मूलानि महान्ति कस्यचिथ् ||")</f>
        <v>अधिगम्य च रन्ध्रमन्तरा जनयन्मण्डलभेदमन्यतः । खनति क्षतसंहति क्षणादपि मूलानि महान्ति कस्यचिथ् ||</v>
      </c>
      <c r="B7261" s="4" t="s">
        <v>16</v>
      </c>
      <c r="C7261" s="4"/>
    </row>
    <row r="7262" spans="1:3" ht="24" customHeight="1">
      <c r="A7262" s="4" t="str">
        <f ca="1">IFERROR(__xludf.DUMMYFUNCTION("""COMPUTED_VALUE"""),"घनपत्रभृतोऽनुगामिनस्तरसाकृष्य करोति कांश्चन । दृढमप्यपरं प्रतिष्ठितं प्रतिकूलं नितरां निरस्यति ||")</f>
        <v>घनपत्रभृतोऽनुगामिनस्तरसाकृष्य करोति कांश्चन । दृढमप्यपरं प्रतिष्ठितं प्रतिकूलं नितरां निरस्यति ||</v>
      </c>
      <c r="B7262" s="4" t="s">
        <v>2</v>
      </c>
      <c r="C7262" s="4"/>
    </row>
    <row r="7263" spans="1:3" ht="24" customHeight="1">
      <c r="A7263" s="4" t="str">
        <f ca="1">IFERROR(__xludf.DUMMYFUNCTION("""COMPUTED_VALUE"""),"इति पूर इवोदकस्य यः सरितां प्रवृषिजस्तटद्रुमैः । क्वचनापि महानखण्डितप्रसरः क्रीडति भूभृतां गणैः ||")</f>
        <v>इति पूर इवोदकस्य यः सरितां प्रवृषिजस्तटद्रुमैः । क्वचनापि महानखण्डितप्रसरः क्रीडति भूभृतां गणैः ||</v>
      </c>
      <c r="B7263" s="4" t="s">
        <v>7</v>
      </c>
      <c r="C7263" s="4"/>
    </row>
    <row r="7264" spans="1:3" ht="24" customHeight="1">
      <c r="A7264" s="4" t="str">
        <f ca="1">IFERROR(__xludf.DUMMYFUNCTION("""COMPUTED_VALUE"""),"अलघूपलपङ्क्तिशालिनीः परितो रुद्धनिरन्तराम्बराः । अधिरूढनितम्बभूमयो न विमुञ्चन्ति चिराय मेखलाः ||")</f>
        <v>अलघूपलपङ्क्तिशालिनीः परितो रुद्धनिरन्तराम्बराः । अधिरूढनितम्बभूमयो न विमुञ्चन्ति चिराय मेखलाः ||</v>
      </c>
      <c r="B7264" s="4" t="s">
        <v>11</v>
      </c>
      <c r="C7264" s="4"/>
    </row>
    <row r="7265" spans="1:3" ht="24" customHeight="1">
      <c r="A7265" s="4" t="str">
        <f ca="1">IFERROR(__xludf.DUMMYFUNCTION("""COMPUTED_VALUE"""),"कटकानि भजन्ति चारुभिर्नवमुक्ताफलभूषणैर्भुजैः । नियतं दधते च चित्रकैरवियोगं पृथुगण्डशैलतः ||")</f>
        <v>कटकानि भजन्ति चारुभिर्नवमुक्ताफलभूषणैर्भुजैः । नियतं दधते च चित्रकैरवियोगं पृथुगण्डशैलतः ||</v>
      </c>
      <c r="B7265" s="4" t="s">
        <v>2</v>
      </c>
      <c r="C7265" s="4"/>
    </row>
    <row r="7266" spans="1:3" ht="24" customHeight="1">
      <c r="A7266" s="4" t="str">
        <f ca="1">IFERROR(__xludf.DUMMYFUNCTION("""COMPUTED_VALUE"""),"इतियस्य ससंपदः पुरा यदवापुर्भवनेष्वरिस्त्रियः । स्फुटमेव समस्तमापदा तदिदानीमवनीध्रमूर्धसु ||")</f>
        <v>इतियस्य ससंपदः पुरा यदवापुर्भवनेष्वरिस्त्रियः । स्फुटमेव समस्तमापदा तदिदानीमवनीध्रमूर्धसु ||</v>
      </c>
      <c r="B7266" s="4" t="s">
        <v>18</v>
      </c>
      <c r="C7266" s="4"/>
    </row>
    <row r="7267" spans="1:3" ht="24" customHeight="1">
      <c r="A7267" s="4" t="str">
        <f ca="1">IFERROR(__xludf.DUMMYFUNCTION("""COMPUTED_VALUE"""),"महतः कुकुरान्धकद्रुमानतिमात्रं दववद्दहन्नपि । अतिचित्रमिदं महीपतिर्यदकृष्णामवनीं करिष्यति ||")</f>
        <v>महतः कुकुरान्धकद्रुमानतिमात्रं दववद्दहन्नपि । अतिचित्रमिदं महीपतिर्यदकृष्णामवनीं करिष्यति ||</v>
      </c>
      <c r="B7267" s="4" t="s">
        <v>2</v>
      </c>
      <c r="C7267" s="4"/>
    </row>
    <row r="7268" spans="1:3" ht="24" customHeight="1">
      <c r="A7268" s="4" t="str">
        <f ca="1">IFERROR(__xludf.DUMMYFUNCTION("""COMPUTED_VALUE"""),"परितः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||")</f>
        <v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||</v>
      </c>
      <c r="B7268" s="4" t="s">
        <v>25</v>
      </c>
      <c r="C7268" s="4"/>
    </row>
    <row r="7269" spans="1:3" ht="24" customHeight="1">
      <c r="A7269" s="4" t="str">
        <f ca="1">IFERROR(__xludf.DUMMYFUNCTION("""COMPUTED_VALUE"""),"यामूढवानूढवराहमूर्तिर्मुहूर्तमादौ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||")</f>
        <v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||</v>
      </c>
      <c r="B7269" s="4" t="s">
        <v>6</v>
      </c>
      <c r="C7269" s="4"/>
    </row>
    <row r="7270" spans="1:3" ht="24" customHeight="1">
      <c r="A7270" s="4" t="str">
        <f ca="1">IFERROR(__xludf.DUMMYFUNCTION("""COMPUTED_VALUE"""),"भूयांस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||")</f>
        <v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||</v>
      </c>
      <c r="B7270" s="4" t="s">
        <v>5</v>
      </c>
      <c r="C7270" s="4"/>
    </row>
    <row r="7271" spans="1:3" ht="24" customHeight="1">
      <c r="A7271" s="4" t="str">
        <f ca="1">IFERROR(__xludf.DUMMYFUNCTION("""COMPUTED_VALUE"""),"लोकालोकव्याहतं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||")</f>
        <v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||</v>
      </c>
      <c r="B7271" s="4" t="s">
        <v>3</v>
      </c>
      <c r="C7271" s="4"/>
    </row>
    <row r="7272" spans="1:3" ht="24" customHeight="1">
      <c r="A7272" s="4" t="str">
        <f ca="1">IFERROR(__xludf.DUMMYFUNCTION("""COMPUTED_VALUE"""),"विच्छित्तिर्नवचन्दनेन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||")</f>
        <v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||</v>
      </c>
      <c r="B7272" s="4" t="s">
        <v>9</v>
      </c>
      <c r="C7272" s="4"/>
    </row>
    <row r="7273" spans="1:3" ht="24" customHeight="1">
      <c r="A7273" s="4" t="str">
        <f ca="1">IFERROR(__xludf.DUMMYFUNCTION("""COMPUTED_VALUE"""),"विनिहत्य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||")</f>
        <v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||</v>
      </c>
      <c r="B7273" s="4" t="s">
        <v>18</v>
      </c>
      <c r="C7273" s="4"/>
    </row>
    <row r="7274" spans="1:3" ht="24" customHeight="1">
      <c r="A7274" s="4" t="str">
        <f ca="1">IFERROR(__xludf.DUMMYFUNCTION("""COMPUTED_VALUE"""),"इतीरिते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||")</f>
        <v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||</v>
      </c>
      <c r="B7274" s="4" t="s">
        <v>17</v>
      </c>
      <c r="C7274" s="4"/>
    </row>
    <row r="7275" spans="1:3" ht="24" customHeight="1">
      <c r="A7275" s="4" t="str">
        <f ca="1">IFERROR(__xludf.DUMMYFUNCTION("""COMPUTED_VALUE"""),"सरागया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||")</f>
        <v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||</v>
      </c>
      <c r="B7275" s="4" t="s">
        <v>0</v>
      </c>
      <c r="C7275" s="4"/>
    </row>
    <row r="7276" spans="1:3" ht="24" customHeight="1">
      <c r="A7276" s="4" t="str">
        <f ca="1">IFERROR(__xludf.DUMMYFUNCTION("""COMPUTED_VALUE"""),"अलक्ष्यत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||")</f>
        <v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||</v>
      </c>
      <c r="B7276" s="4" t="s">
        <v>19</v>
      </c>
      <c r="C7276" s="4"/>
    </row>
    <row r="7277" spans="1:3" ht="24" customHeight="1">
      <c r="A7277" s="4" t="str">
        <f ca="1">IFERROR(__xludf.DUMMYFUNCTION("""COMPUTED_VALUE"""),"अवज्ञया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||")</f>
        <v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||</v>
      </c>
      <c r="B7277" s="4" t="s">
        <v>16</v>
      </c>
      <c r="C7277" s="4"/>
    </row>
    <row r="7278" spans="1:3" ht="24" customHeight="1">
      <c r="A7278" s="4" t="str">
        <f ca="1">IFERROR(__xludf.DUMMYFUNCTION("""COMPUTED_VALUE"""),"यदुत्पतत्पृथुतरहारमण्डलं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||")</f>
        <v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||</v>
      </c>
      <c r="B7278" s="4" t="s">
        <v>17</v>
      </c>
      <c r="C7278" s="4"/>
    </row>
    <row r="7279" spans="1:3" ht="24" customHeight="1">
      <c r="A7279" s="4" t="str">
        <f ca="1">IFERROR(__xludf.DUMMYFUNCTION("""COMPUTED_VALUE"""),"प्रकुप्यतः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वदनसरोजमस्विदथ् ||")</f>
        <v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वदनसरोजमस्विदथ् ||</v>
      </c>
      <c r="B7279" s="4" t="s">
        <v>17</v>
      </c>
      <c r="C7279" s="4"/>
    </row>
    <row r="7280" spans="1:3" ht="24" customHeight="1">
      <c r="A7280" s="4" t="str">
        <f ca="1">IFERROR(__xludf.DUMMYFUNCTION("""COMPUTED_VALUE"""),"प्रजापतिक्रतुनिधनार्थमुत्थितंव्यतर्कयज्ज्वरमिव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||")</f>
        <v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||</v>
      </c>
      <c r="B7280" s="4" t="s">
        <v>1</v>
      </c>
      <c r="C7280" s="4"/>
    </row>
    <row r="7281" spans="1:3" ht="24" customHeight="1">
      <c r="A7281" s="4" t="str">
        <f ca="1">IFERROR(__xludf.DUMMYFUNCTION("""COMPUTED_VALUE"""),"परस्परं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||")</f>
        <v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||</v>
      </c>
      <c r="B7281" s="4" t="s">
        <v>6</v>
      </c>
      <c r="C7281" s="4"/>
    </row>
    <row r="7282" spans="1:3" ht="24" customHeight="1">
      <c r="A7282" s="4" t="str">
        <f ca="1">IFERROR(__xludf.DUMMYFUNCTION("""COMPUTED_VALUE"""),"निरायतामनलशिखोज्ज्वलां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||")</f>
        <v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||</v>
      </c>
      <c r="B7282" s="4" t="s">
        <v>19</v>
      </c>
      <c r="C7282" s="4"/>
    </row>
    <row r="7283" spans="1:3" ht="24" customHeight="1">
      <c r="A7283" s="4" t="str">
        <f ca="1">IFERROR(__xludf.DUMMYFUNCTION("""COMPUTED_VALUE"""),"दुरीक्षतामभजत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||")</f>
        <v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||</v>
      </c>
      <c r="B7283" s="4" t="s">
        <v>8</v>
      </c>
      <c r="C7283" s="4"/>
    </row>
    <row r="7284" spans="1:3" ht="24" customHeight="1">
      <c r="A7284" s="4" t="str">
        <f ca="1">IFERROR(__xludf.DUMMYFUNCTION("""COMPUTED_VALUE"""),"विचिन्तयन्नुपनतमाहवं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||")</f>
        <v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||</v>
      </c>
      <c r="B7284" s="4" t="s">
        <v>10</v>
      </c>
      <c r="C7284" s="4"/>
    </row>
    <row r="7285" spans="1:3" ht="24" customHeight="1">
      <c r="A7285" s="4" t="str">
        <f ca="1">IFERROR(__xludf.DUMMYFUNCTION("""COMPUTED_VALUE"""),"विलङ्घितस्थितिमभिवीक्ष्य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||")</f>
        <v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||</v>
      </c>
      <c r="B7285" s="4" t="s">
        <v>0</v>
      </c>
      <c r="C7285" s="4"/>
    </row>
    <row r="7286" spans="1:3" ht="24" customHeight="1">
      <c r="A7286" s="4" t="str">
        <f ca="1">IFERROR(__xludf.DUMMYFUNCTION("""COMPUTED_VALUE"""),"विवर्तयन्मदकलुषीकृते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||")</f>
        <v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||</v>
      </c>
      <c r="B7286" s="4" t="s">
        <v>7</v>
      </c>
      <c r="C7286" s="4"/>
    </row>
    <row r="7287" spans="1:3" ht="24" customHeight="1">
      <c r="A7287" s="4" t="str">
        <f ca="1">IFERROR(__xludf.DUMMYFUNCTION("""COMPUTED_VALUE"""),"सकुङ्कुमैरविरलमम्बुबिन्दुभिर्गवेषणः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||")</f>
        <v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||</v>
      </c>
      <c r="B7287" s="4" t="s">
        <v>4</v>
      </c>
      <c r="C7287" s="4"/>
    </row>
    <row r="7288" spans="1:3" ht="24" customHeight="1">
      <c r="A7288" s="4" t="str">
        <f ca="1">IFERROR(__xludf.DUMMYFUNCTION("""COMPUTED_VALUE"""),"ससंभ्रमं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||")</f>
        <v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||</v>
      </c>
      <c r="B7288" s="4" t="s">
        <v>11</v>
      </c>
      <c r="C7288" s="4"/>
    </row>
    <row r="7289" spans="1:3" ht="24" customHeight="1">
      <c r="A7289" s="4" t="str">
        <f ca="1">IFERROR(__xludf.DUMMYFUNCTION("""COMPUTED_VALUE"""),"प्रतिक्षणं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||")</f>
        <v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||</v>
      </c>
      <c r="B7289" s="4" t="s">
        <v>4</v>
      </c>
      <c r="C7289" s="4"/>
    </row>
    <row r="7290" spans="1:3" ht="24" customHeight="1">
      <c r="A7290" s="4" t="str">
        <f ca="1">IFERROR(__xludf.DUMMYFUNCTION("""COMPUTED_VALUE"""),"दधौ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||")</f>
        <v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||</v>
      </c>
      <c r="B7290" s="4" t="s">
        <v>0</v>
      </c>
      <c r="C7290" s="4"/>
    </row>
    <row r="7291" spans="1:3" ht="24" customHeight="1">
      <c r="A7291" s="4" t="str">
        <f ca="1">IFERROR(__xludf.DUMMYFUNCTION("""COMPUTED_VALUE"""),"समाकुले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||")</f>
        <v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||</v>
      </c>
      <c r="B7291" s="4" t="s">
        <v>20</v>
      </c>
      <c r="C7291" s="4"/>
    </row>
    <row r="7292" spans="1:3" ht="24" customHeight="1">
      <c r="A7292" s="4" t="str">
        <f ca="1">IFERROR(__xludf.DUMMYFUNCTION("""COMPUTED_VALUE"""),"परानमी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||")</f>
        <v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||</v>
      </c>
      <c r="B7292" s="4" t="s">
        <v>4</v>
      </c>
      <c r="C7292" s="4"/>
    </row>
    <row r="7293" spans="1:3" ht="24" customHeight="1">
      <c r="A7293" s="4" t="str">
        <f ca="1">IFERROR(__xludf.DUMMYFUNCTION("""COMPUTED_VALUE"""),"निराकृते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||")</f>
        <v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||</v>
      </c>
      <c r="B7293" s="4" t="s">
        <v>5</v>
      </c>
      <c r="C7293" s="4"/>
    </row>
    <row r="7294" spans="1:3" ht="24" customHeight="1">
      <c r="A7294" s="4" t="str">
        <f ca="1">IFERROR(__xludf.DUMMYFUNCTION("""COMPUTED_VALUE"""),"मुहुः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||")</f>
        <v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||</v>
      </c>
      <c r="B7294" s="4" t="s">
        <v>2</v>
      </c>
      <c r="C7294" s="4"/>
    </row>
    <row r="7295" spans="1:3" ht="24" customHeight="1">
      <c r="A7295" s="4" t="str">
        <f ca="1">IFERROR(__xludf.DUMMYFUNCTION("""COMPUTED_VALUE"""),"दुरुद्वहाः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||")</f>
        <v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||</v>
      </c>
      <c r="B7295" s="4" t="s">
        <v>19</v>
      </c>
      <c r="C7295" s="4"/>
    </row>
    <row r="7296" spans="1:3" ht="24" customHeight="1">
      <c r="A7296" s="4" t="str">
        <f ca="1">IFERROR(__xludf.DUMMYFUNCTION("""COMPUTED_VALUE"""),"संकल्पं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||")</f>
        <v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||</v>
      </c>
      <c r="B7296" s="4" t="s">
        <v>0</v>
      </c>
      <c r="C7296" s="4"/>
    </row>
    <row r="7297" spans="1:3" ht="24" customHeight="1">
      <c r="A7297" s="4" t="str">
        <f ca="1">IFERROR(__xludf.DUMMYFUNCTION("""COMPUTED_VALUE"""),"युधे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||")</f>
        <v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||</v>
      </c>
      <c r="B7297" s="4" t="s">
        <v>5</v>
      </c>
      <c r="C7297" s="4"/>
    </row>
    <row r="7298" spans="1:3" ht="24" customHeight="1">
      <c r="A7298" s="4" t="str">
        <f ca="1">IFERROR(__xludf.DUMMYFUNCTION("""COMPUTED_VALUE"""),"सुमेखलाः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||")</f>
        <v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||</v>
      </c>
      <c r="B7298" s="4" t="s">
        <v>4</v>
      </c>
      <c r="C7298" s="4"/>
    </row>
    <row r="7299" spans="1:3" ht="24" customHeight="1">
      <c r="A7299" s="4" t="str">
        <f ca="1">IFERROR(__xludf.DUMMYFUNCTION("""COMPUTED_VALUE"""),"मनोहरैः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||")</f>
        <v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||</v>
      </c>
      <c r="B7299" s="4" t="s">
        <v>20</v>
      </c>
      <c r="C7299" s="4"/>
    </row>
    <row r="7300" spans="1:3" ht="24" customHeight="1">
      <c r="A7300" s="4" t="str">
        <f ca="1">IFERROR(__xludf.DUMMYFUNCTION("""COMPUTED_VALUE"""),"अवारितं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||")</f>
        <v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||</v>
      </c>
      <c r="B7300" s="4" t="s">
        <v>18</v>
      </c>
      <c r="C7300" s="4"/>
    </row>
    <row r="7301" spans="1:3" ht="24" customHeight="1">
      <c r="A7301" s="4" t="str">
        <f ca="1">IFERROR(__xludf.DUMMYFUNCTION("""COMPUTED_VALUE"""),"उपेत्यच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||")</f>
        <v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||</v>
      </c>
      <c r="B7301" s="4" t="s">
        <v>20</v>
      </c>
      <c r="C7301" s="4"/>
    </row>
    <row r="7302" spans="1:3" ht="24" customHeight="1">
      <c r="A7302" s="4" t="str">
        <f ca="1">IFERROR(__xludf.DUMMYFUNCTION("""COMPUTED_VALUE"""),"गभीरताविजितमृदङ्गनादया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||")</f>
        <v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||</v>
      </c>
      <c r="B7302" s="4" t="s">
        <v>18</v>
      </c>
      <c r="C7302" s="4"/>
    </row>
    <row r="7303" spans="1:3" ht="24" customHeight="1">
      <c r="A7303" s="4" t="str">
        <f ca="1">IFERROR(__xludf.DUMMYFUNCTION("""COMPUTED_VALUE"""),"निरन्तरस्थगितदिगन्तरं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||")</f>
        <v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||</v>
      </c>
      <c r="B7303" s="4" t="s">
        <v>7</v>
      </c>
      <c r="C7303" s="4"/>
    </row>
    <row r="7304" spans="1:3" ht="24" customHeight="1">
      <c r="A7304" s="4" t="str">
        <f ca="1">IFERROR(__xludf.DUMMYFUNCTION("""COMPUTED_VALUE"""),"बबृंहिरे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||")</f>
        <v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||</v>
      </c>
      <c r="B7304" s="4" t="s">
        <v>5</v>
      </c>
      <c r="C7304" s="4"/>
    </row>
    <row r="7305" spans="1:3" ht="24" customHeight="1">
      <c r="A7305" s="4" t="str">
        <f ca="1">IFERROR(__xludf.DUMMYFUNCTION("""COMPUTED_VALUE"""),"अनारतं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||")</f>
        <v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||</v>
      </c>
      <c r="B7305" s="4" t="s">
        <v>5</v>
      </c>
      <c r="C7305" s="4"/>
    </row>
    <row r="7306" spans="1:3" ht="24" customHeight="1">
      <c r="A7306" s="4" t="str">
        <f ca="1">IFERROR(__xludf.DUMMYFUNCTION("""COMPUTED_VALUE"""),"जडीकृतश्रवणपथे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||")</f>
        <v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||</v>
      </c>
      <c r="B7306" s="4" t="s">
        <v>11</v>
      </c>
      <c r="C7306" s="4"/>
    </row>
    <row r="7307" spans="1:3" ht="24" customHeight="1">
      <c r="A7307" s="4" t="str">
        <f ca="1">IFERROR(__xludf.DUMMYFUNCTION("""COMPUTED_VALUE"""),"अरातिभिर्युधि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||")</f>
        <v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||</v>
      </c>
      <c r="B7307" s="4" t="s">
        <v>1</v>
      </c>
      <c r="C7307" s="4"/>
    </row>
    <row r="7308" spans="1:3" ht="24" customHeight="1">
      <c r="A7308" s="4" t="str">
        <f ca="1">IFERROR(__xludf.DUMMYFUNCTION("""COMPUTED_VALUE"""),"प्रचोदिताः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||")</f>
        <v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||</v>
      </c>
      <c r="B7308" s="4" t="s">
        <v>5</v>
      </c>
      <c r="C7308" s="4"/>
    </row>
    <row r="7309" spans="1:3" ht="24" customHeight="1">
      <c r="A7309" s="4" t="str">
        <f ca="1">IFERROR(__xludf.DUMMYFUNCTION("""COMPUTED_VALUE"""),"सविक्रमक्रमणचलैरितस्ततः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||")</f>
        <v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||</v>
      </c>
      <c r="B7309" s="4" t="s">
        <v>7</v>
      </c>
      <c r="C7309" s="4"/>
    </row>
    <row r="7310" spans="1:3" ht="24" customHeight="1">
      <c r="A7310" s="4" t="str">
        <f ca="1">IFERROR(__xludf.DUMMYFUNCTION("""COMPUTED_VALUE"""),"चलाङ्गुलीकिसलयमुद्धतैः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||")</f>
        <v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||</v>
      </c>
      <c r="B7310" s="4" t="s">
        <v>2</v>
      </c>
      <c r="C7310" s="4"/>
    </row>
    <row r="7311" spans="1:3" ht="24" customHeight="1">
      <c r="A7311" s="4" t="str">
        <f ca="1">IFERROR(__xludf.DUMMYFUNCTION("""COMPUTED_VALUE"""),"असिच्यत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||")</f>
        <v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||</v>
      </c>
      <c r="B7311" s="4" t="s">
        <v>1</v>
      </c>
      <c r="C7311" s="4"/>
    </row>
    <row r="7312" spans="1:3" ht="24" customHeight="1">
      <c r="A7312" s="4" t="str">
        <f ca="1">IFERROR(__xludf.DUMMYFUNCTION("""COMPUTED_VALUE"""),"उदासिरे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||")</f>
        <v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||</v>
      </c>
      <c r="B7312" s="4" t="s">
        <v>11</v>
      </c>
      <c r="C7312" s="4"/>
    </row>
    <row r="7313" spans="1:3" ht="24" customHeight="1">
      <c r="A7313" s="4" t="str">
        <f ca="1">IFERROR(__xludf.DUMMYFUNCTION("""COMPUTED_VALUE"""),"न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||")</f>
        <v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||</v>
      </c>
      <c r="B7313" s="4" t="s">
        <v>2</v>
      </c>
      <c r="C7313" s="4"/>
    </row>
    <row r="7314" spans="1:3" ht="24" customHeight="1">
      <c r="A7314" s="4" t="str">
        <f ca="1">IFERROR(__xludf.DUMMYFUNCTION("""COMPUTED_VALUE"""),"यियासितामथ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||")</f>
        <v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||</v>
      </c>
      <c r="B7314" s="4" t="s">
        <v>4</v>
      </c>
      <c r="C7314" s="4"/>
    </row>
    <row r="7315" spans="1:3" ht="24" customHeight="1">
      <c r="A7315" s="4" t="str">
        <f ca="1">IFERROR(__xludf.DUMMYFUNCTION("""COMPUTED_VALUE"""),"मनस्विनामुदितगुरुप्रतिश्रुतिः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||")</f>
        <v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||</v>
      </c>
      <c r="B7315" s="4" t="s">
        <v>1</v>
      </c>
      <c r="C7315" s="4"/>
    </row>
    <row r="7316" spans="1:3" ht="24" customHeight="1">
      <c r="A7316" s="4" t="str">
        <f ca="1">IFERROR(__xludf.DUMMYFUNCTION("""COMPUTED_VALUE"""),"यथा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||")</f>
        <v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||</v>
      </c>
      <c r="B7316" s="4" t="s">
        <v>18</v>
      </c>
      <c r="C7316" s="4"/>
    </row>
    <row r="7317" spans="1:3" ht="24" customHeight="1">
      <c r="A7317" s="4" t="str">
        <f ca="1">IFERROR(__xludf.DUMMYFUNCTION("""COMPUTED_VALUE"""),"प्रसारिणि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||")</f>
        <v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||</v>
      </c>
      <c r="B7317" s="4" t="s">
        <v>11</v>
      </c>
      <c r="C7317" s="4"/>
    </row>
    <row r="7318" spans="1:3" ht="24" customHeight="1">
      <c r="A7318" s="4" t="str">
        <f ca="1">IFERROR(__xludf.DUMMYFUNCTION("""COMPUTED_VALUE"""),"क्षणेन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||")</f>
        <v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||</v>
      </c>
      <c r="B7318" s="4" t="s">
        <v>2</v>
      </c>
      <c r="C7318" s="4"/>
    </row>
    <row r="7319" spans="1:3" ht="24" customHeight="1">
      <c r="A7319" s="4" t="str">
        <f ca="1">IFERROR(__xludf.DUMMYFUNCTION("""COMPUTED_VALUE"""),"पय्ॐउचामभिपततां दिवि द्रुतं विपर्ययः परित इवातपस्य सः । समक्रमः समविषमेष्वथ क्षणात्क्षमातलं बलजलराशिरानशे ||")</f>
        <v>पय्ॐउचामभिपततां दिवि द्रुतं विपर्ययः परित इवातपस्य सः । समक्रमः समविषमेष्वथ क्षणात्क्षमातलं बलजलराशिरानशे ||</v>
      </c>
      <c r="B7319" s="4" t="s">
        <v>8</v>
      </c>
      <c r="C7319" s="4"/>
    </row>
    <row r="7320" spans="1:3" ht="24" customHeight="1">
      <c r="A7320" s="4" t="str">
        <f ca="1">IFERROR(__xludf.DUMMYFUNCTION("""COMPUTED_VALUE"""),"ममौ पुरः क्षणमिव पश्यतो महत्तनूदरस्थितभुवनत्रयस्य तथ् । विशालतां दधति नितान्तमायते बलं द्विषां मधुमथनस्य चक्षुषि ||")</f>
        <v>ममौ पुरः क्षणमिव पश्यतो महत्तनूदरस्थितभुवनत्रयस्य तथ् । विशालतां दधति नितान्तमायते बलं द्विषां मधुमथनस्य चक्षुषि ||</v>
      </c>
      <c r="B7320" s="4" t="s">
        <v>13</v>
      </c>
      <c r="C7320" s="4"/>
    </row>
    <row r="7321" spans="1:3" ht="24" customHeight="1">
      <c r="A7321" s="4" t="str">
        <f ca="1">IFERROR(__xludf.DUMMYFUNCTION("""COMPUTED_VALUE"""),"भृशस्विदः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||")</f>
        <v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||</v>
      </c>
      <c r="B7321" s="4" t="s">
        <v>7</v>
      </c>
      <c r="C7321" s="4"/>
    </row>
    <row r="7322" spans="1:3" ht="24" customHeight="1">
      <c r="A7322" s="4" t="str">
        <f ca="1">IFERROR(__xludf.DUMMYFUNCTION("""COMPUTED_VALUE"""),"ध्वजांशुकैर्ध्रुवमनुकूलमारुतप्रसारितैः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||")</f>
        <v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||</v>
      </c>
      <c r="B7322" s="4" t="s">
        <v>0</v>
      </c>
      <c r="C7322" s="4"/>
    </row>
    <row r="7323" spans="1:3" ht="24" customHeight="1">
      <c r="A7323" s="4" t="str">
        <f ca="1">IFERROR(__xludf.DUMMYFUNCTION("""COMPUTED_VALUE"""),"हरेरपि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||")</f>
        <v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||</v>
      </c>
      <c r="B7323" s="4" t="s">
        <v>13</v>
      </c>
      <c r="C7323" s="4"/>
    </row>
    <row r="7324" spans="1:3" ht="24" customHeight="1">
      <c r="A7324" s="4" t="str">
        <f ca="1">IFERROR(__xludf.DUMMYFUNCTION("""COMPUTED_VALUE"""),"उपाहितैर्वपुषि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||")</f>
        <v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||</v>
      </c>
      <c r="B7324" s="4" t="s">
        <v>4</v>
      </c>
      <c r="C7324" s="4"/>
    </row>
    <row r="7325" spans="1:3" ht="24" customHeight="1">
      <c r="A7325" s="4" t="str">
        <f ca="1">IFERROR(__xludf.DUMMYFUNCTION("""COMPUTED_VALUE"""),"अथोच्चकैर्जरठकपोतकन्धरातनूरुहप्रकरविपाण्डुरद्युति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||")</f>
        <v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||</v>
      </c>
      <c r="B7325" s="4" t="s">
        <v>3</v>
      </c>
      <c r="C7325" s="4"/>
    </row>
    <row r="7326" spans="1:3" ht="24" customHeight="1">
      <c r="A7326" s="4" t="str">
        <f ca="1">IFERROR(__xludf.DUMMYFUNCTION("""COMPUTED_VALUE"""),"विषङ्गिभिर्भृशमितरेतरं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||")</f>
        <v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||</v>
      </c>
      <c r="B7326" s="4" t="s">
        <v>5</v>
      </c>
      <c r="C7326" s="4"/>
    </row>
    <row r="7327" spans="1:3" ht="24" customHeight="1">
      <c r="A7327" s="4" t="str">
        <f ca="1">IFERROR(__xludf.DUMMYFUNCTION("""COMPUTED_VALUE"""),"गरीयसः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||")</f>
        <v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||</v>
      </c>
      <c r="B7327" s="4" t="s">
        <v>2</v>
      </c>
      <c r="C7327" s="4"/>
    </row>
    <row r="7328" spans="1:3" ht="24" customHeight="1">
      <c r="A7328" s="4" t="str">
        <f ca="1">IFERROR(__xludf.DUMMYFUNCTION("""COMPUTED_VALUE"""),"पुरा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||")</f>
        <v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||</v>
      </c>
      <c r="B7328" s="4" t="s">
        <v>4</v>
      </c>
      <c r="C7328" s="4"/>
    </row>
    <row r="7329" spans="1:3" ht="24" customHeight="1">
      <c r="A7329" s="4" t="str">
        <f ca="1">IFERROR(__xludf.DUMMYFUNCTION("""COMPUTED_VALUE"""),"क्वचिल्लसद्घननिकुरम्बकर्बुरः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||")</f>
        <v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||</v>
      </c>
      <c r="B7329" s="4" t="s">
        <v>5</v>
      </c>
      <c r="C7329" s="4"/>
    </row>
    <row r="7330" spans="1:3" ht="24" customHeight="1">
      <c r="A7330" s="4" t="str">
        <f ca="1">IFERROR(__xludf.DUMMYFUNCTION("""COMPUTED_VALUE"""),"महीयसा महति दिगन्तदन्तिनामनीकजे रजसि मुखानुषङ्गिणि । विसारितामजिहत कोकिलावलीमलीमसा जलदमदाम्बुराजयः ||")</f>
        <v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||</v>
      </c>
      <c r="B7330" s="4" t="s">
        <v>5</v>
      </c>
      <c r="C7330" s="4"/>
    </row>
    <row r="7331" spans="1:3" ht="24" customHeight="1">
      <c r="A7331" s="4" t="str">
        <f ca="1">IFERROR(__xludf.DUMMYFUNCTION("""COMPUTED_VALUE"""),"शिरोरुहैरलिकुलक्ॐअलैरमी मुधा मृधे मृषत युवान एव मा । बलोद्धतं धवलितमूर्धजानिति ध्रुवं जनाञ्जरत इवाकरोद्रजः ||")</f>
        <v>शिरोरुहैरलिकुलक्ॐअलैरमी मुधा मृधे मृषत युवान एव मा । बलोद्धतं धवलितमूर्धजानिति ध्रुवं जनाञ्जरत इवाकरोद्रजः ||</v>
      </c>
      <c r="B7331" s="4" t="s">
        <v>3</v>
      </c>
      <c r="C7331" s="4"/>
    </row>
    <row r="7332" spans="1:3" ht="24" customHeight="1">
      <c r="A7332" s="4" t="str">
        <f ca="1">IFERROR(__xludf.DUMMYFUNCTION("""COMPUTED_VALUE"""),"सुसंहतैर्दधदपि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||")</f>
        <v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||</v>
      </c>
      <c r="B7332" s="4" t="s">
        <v>2</v>
      </c>
      <c r="C7332" s="4"/>
    </row>
    <row r="7333" spans="1:3" ht="24" customHeight="1">
      <c r="A7333" s="4" t="str">
        <f ca="1">IFERROR(__xludf.DUMMYFUNCTION("""COMPUTED_VALUE"""),"द्रुतद्रवद्रथचरणक्षतक्षमातलोल्लसद्बहुलरजोऽवगुण्ठितं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||")</f>
        <v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||</v>
      </c>
      <c r="B7333" s="4" t="s">
        <v>6</v>
      </c>
      <c r="C7333" s="4"/>
    </row>
    <row r="7334" spans="1:3" ht="24" customHeight="1">
      <c r="A7334" s="4" t="str">
        <f ca="1">IFERROR(__xludf.DUMMYFUNCTION("""COMPUTED_VALUE"""),"समुल्लसद्दिनकरवक्त्रकान्तयो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||")</f>
        <v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||</v>
      </c>
      <c r="B7334" s="4" t="s">
        <v>5</v>
      </c>
      <c r="C7334" s="4"/>
    </row>
    <row r="7335" spans="1:3" ht="24" customHeight="1">
      <c r="A7335" s="4" t="str">
        <f ca="1">IFERROR(__xludf.DUMMYFUNCTION("""COMPUTED_VALUE"""),"निरीक्षितुं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||")</f>
        <v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||</v>
      </c>
      <c r="B7335" s="4" t="s">
        <v>2</v>
      </c>
      <c r="C7335" s="4"/>
    </row>
    <row r="7336" spans="1:3" ht="24" customHeight="1">
      <c r="A7336" s="4" t="str">
        <f ca="1">IFERROR(__xludf.DUMMYFUNCTION("""COMPUTED_VALUE"""),"विषङ्गिणि प्रतिपदमापिबत्यपो हताचिरद्युतिनि समीरलक्ष्मणि । शनैःशनैरुपचितपङ्कभारिकाः पय्ॐउचः प्रययुरपेतवृष्टयः ||")</f>
        <v>विषङ्गिणि प्रतिपदमापिबत्यपो हताचिरद्युतिनि समीरलक्ष्मणि । शनैःशनैरुपचितपङ्कभारिकाः पय्ॐउचः प्रययुरपेतवृष्टयः ||</v>
      </c>
      <c r="B7336" s="4" t="s">
        <v>5</v>
      </c>
      <c r="C7336" s="4"/>
    </row>
    <row r="7337" spans="1:3" ht="24" customHeight="1">
      <c r="A7337" s="4" t="str">
        <f ca="1">IFERROR(__xludf.DUMMYFUNCTION("""COMPUTED_VALUE"""),"नभोनदीव्यतिकरधौतमूर्तिभिर्वियद्गतैरनधिगतानि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||")</f>
        <v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||</v>
      </c>
      <c r="B7337" s="4" t="s">
        <v>3</v>
      </c>
      <c r="C7337" s="4"/>
    </row>
    <row r="7338" spans="1:3" ht="24" customHeight="1">
      <c r="A7338" s="4" t="str">
        <f ca="1">IFERROR(__xludf.DUMMYFUNCTION("""COMPUTED_VALUE"""),"गजव्रजाक्रमणभरावनम्रया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||")</f>
        <v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||</v>
      </c>
      <c r="B7338" s="4" t="s">
        <v>23</v>
      </c>
      <c r="C7338" s="4"/>
    </row>
    <row r="7339" spans="1:3" ht="24" customHeight="1">
      <c r="A7339" s="4" t="str">
        <f ca="1">IFERROR(__xludf.DUMMYFUNCTION("""COMPUTED_VALUE"""),"समस्थलीकृतविवरेण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||")</f>
        <v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||</v>
      </c>
      <c r="B7339" s="4" t="s">
        <v>5</v>
      </c>
      <c r="C7339" s="4"/>
    </row>
    <row r="7340" spans="1:3" ht="24" customHeight="1">
      <c r="A7340" s="4" t="str">
        <f ca="1">IFERROR(__xludf.DUMMYFUNCTION("""COMPUTED_VALUE"""),"गते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||")</f>
        <v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||</v>
      </c>
      <c r="B7340" s="4" t="s">
        <v>18</v>
      </c>
      <c r="C7340" s="4"/>
    </row>
    <row r="7341" spans="1:3" ht="24" customHeight="1">
      <c r="A7341" s="4" t="str">
        <f ca="1">IFERROR(__xludf.DUMMYFUNCTION("""COMPUTED_VALUE"""),"मदाम्भसा परिगलितेन सप्तधा गजाञ्जनः शमितरजश्चयानधः । उपर्यवस्थितघनपांशुमण्डलानलोकयत्ततपटमण्डपानिव ||")</f>
        <v>मदाम्भसा परिगलितेन सप्तधा गजाञ्जनः शमितरजश्चयानधः । उपर्यवस्थितघनपांशुमण्डलानलोकयत्ततपटमण्डपानिव ||</v>
      </c>
      <c r="B7341" s="4" t="s">
        <v>4</v>
      </c>
      <c r="C7341" s="4"/>
    </row>
    <row r="7342" spans="1:3" ht="24" customHeight="1">
      <c r="A7342" s="4" t="str">
        <f ca="1">IFERROR(__xludf.DUMMYFUNCTION("""COMPUTED_VALUE"""),"अन्यूनोन्नतयोऽतिमात्रपृथवः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पांसून्गजाम्भ्ॐउचः ||")</f>
        <v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पांसून्गजाम्भ्ॐउचः ||</v>
      </c>
      <c r="B7342" s="4" t="s">
        <v>16</v>
      </c>
      <c r="C7342" s="4"/>
    </row>
    <row r="7343" spans="1:3" ht="24" customHeight="1">
      <c r="A7343" s="4" t="str">
        <f ca="1">IFERROR(__xludf.DUMMYFUNCTION("""COMPUTED_VALUE"""),"सञ्जग्माते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||")</f>
        <v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||</v>
      </c>
      <c r="B7343" s="4" t="s">
        <v>2</v>
      </c>
      <c r="C7343" s="4"/>
    </row>
    <row r="7344" spans="1:3" ht="24" customHeight="1">
      <c r="A7344" s="4" t="str">
        <f ca="1">IFERROR(__xludf.DUMMYFUNCTION("""COMPUTED_VALUE"""),"पत्तिः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||")</f>
        <v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||</v>
      </c>
      <c r="B7344" s="4" t="s">
        <v>3</v>
      </c>
      <c r="C7344" s="4"/>
    </row>
    <row r="7345" spans="1:3" ht="24" customHeight="1">
      <c r="A7345" s="4" t="str">
        <f ca="1">IFERROR(__xludf.DUMMYFUNCTION("""COMPUTED_VALUE"""),"रथ्याघोषैर्बृंहणैर्वारणानामैक्यं गच्छन्वाजिनां ह्रेषया च । व्य्ॐअव्यापी सन्ततं दुन्दुभीनामव्यक्तोऽभूदीशितेव प्रणादः ||")</f>
        <v>रथ्याघोषैर्बृंहणैर्वारणानामैक्यं गच्छन्वाजिनां ह्रेषया च । व्य्ॐअव्यापी सन्ततं दुन्दुभीनामव्यक्तोऽभूदीशितेव प्रणादः ||</v>
      </c>
      <c r="B7345" s="4" t="s">
        <v>17</v>
      </c>
      <c r="C7345" s="4"/>
    </row>
    <row r="7346" spans="1:3" ht="24" customHeight="1">
      <c r="A7346" s="4" t="str">
        <f ca="1">IFERROR(__xludf.DUMMYFUNCTION("""COMPUTED_VALUE"""),"रोषावेशाद्गच्छतां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||")</f>
        <v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||</v>
      </c>
      <c r="B7346" s="4" t="s">
        <v>14</v>
      </c>
      <c r="C7346" s="4"/>
    </row>
    <row r="7347" spans="1:3" ht="24" customHeight="1">
      <c r="A7347" s="4" t="str">
        <f ca="1">IFERROR(__xludf.DUMMYFUNCTION("""COMPUTED_VALUE"""),"वर्ध्राबद्धा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||")</f>
        <v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||</v>
      </c>
      <c r="B7347" s="4" t="s">
        <v>13</v>
      </c>
      <c r="C7347" s="4"/>
    </row>
    <row r="7348" spans="1:3" ht="24" customHeight="1">
      <c r="A7348" s="4" t="str">
        <f ca="1">IFERROR(__xludf.DUMMYFUNCTION("""COMPUTED_VALUE"""),"सान्द्रत्वक्कास्तल्पलाश्लिष्टकक्षा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||")</f>
        <v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||</v>
      </c>
      <c r="B7348" s="4" t="s">
        <v>6</v>
      </c>
      <c r="C7348" s="4"/>
    </row>
    <row r="7349" spans="1:3" ht="24" customHeight="1">
      <c r="A7349" s="4" t="str">
        <f ca="1">IFERROR(__xludf.DUMMYFUNCTION("""COMPUTED_VALUE"""),"संक्रीडन्ती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प्रत्यनन्दथ् ||")</f>
        <v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प्रत्यनन्दथ् ||</v>
      </c>
      <c r="B7349" s="4" t="s">
        <v>17</v>
      </c>
      <c r="C7349" s="4"/>
    </row>
    <row r="7350" spans="1:3" ht="24" customHeight="1">
      <c r="A7350" s="4" t="str">
        <f ca="1">IFERROR(__xludf.DUMMYFUNCTION("""COMPUTED_VALUE"""),"कुर्वाणानां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||")</f>
        <v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||</v>
      </c>
      <c r="B7350" s="4" t="s">
        <v>19</v>
      </c>
      <c r="C7350" s="4"/>
    </row>
    <row r="7351" spans="1:3" ht="24" customHeight="1">
      <c r="A7351" s="4" t="str">
        <f ca="1">IFERROR(__xludf.DUMMYFUNCTION("""COMPUTED_VALUE"""),"उद्यन्नादं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||")</f>
        <v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||</v>
      </c>
      <c r="B7351" s="4" t="s">
        <v>18</v>
      </c>
      <c r="C7351" s="4"/>
    </row>
    <row r="7352" spans="1:3" ht="24" customHeight="1">
      <c r="A7352" s="4" t="str">
        <f ca="1">IFERROR(__xludf.DUMMYFUNCTION("""COMPUTED_VALUE"""),"घण्डानादो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||")</f>
        <v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||</v>
      </c>
      <c r="B7352" s="4" t="s">
        <v>5</v>
      </c>
      <c r="C7352" s="4"/>
    </row>
    <row r="7353" spans="1:3" ht="24" customHeight="1">
      <c r="A7353" s="4" t="str">
        <f ca="1">IFERROR(__xludf.DUMMYFUNCTION("""COMPUTED_VALUE"""),"यातैश्चातुर्विध्यमस्त्रादिभेदादव्यासङ्गैः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||")</f>
        <v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||</v>
      </c>
      <c r="B7353" s="4" t="s">
        <v>5</v>
      </c>
      <c r="C7353" s="4"/>
    </row>
    <row r="7354" spans="1:3" ht="24" customHeight="1">
      <c r="A7354" s="4" t="str">
        <f ca="1">IFERROR(__xludf.DUMMYFUNCTION("""COMPUTED_VALUE"""),"रोषावेशादाभिमुख्येन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||")</f>
        <v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||</v>
      </c>
      <c r="B7354" s="4" t="s">
        <v>2</v>
      </c>
      <c r="C7354" s="4"/>
    </row>
    <row r="7355" spans="1:3" ht="24" customHeight="1">
      <c r="A7355" s="4" t="str">
        <f ca="1">IFERROR(__xludf.DUMMYFUNCTION("""COMPUTED_VALUE"""),"शुद्धाः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||")</f>
        <v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||</v>
      </c>
      <c r="B7355" s="4" t="s">
        <v>5</v>
      </c>
      <c r="C7355" s="4"/>
    </row>
    <row r="7356" spans="1:3" ht="24" customHeight="1">
      <c r="A7356" s="4" t="str">
        <f ca="1">IFERROR(__xludf.DUMMYFUNCTION("""COMPUTED_VALUE"""),"आक्रम्याजेरग्रिमस्कन्धमुच्चैरास्थायाथो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||")</f>
        <v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||</v>
      </c>
      <c r="B7356" s="4" t="s">
        <v>1</v>
      </c>
      <c r="C7356" s="4"/>
    </row>
    <row r="7357" spans="1:3" ht="24" customHeight="1">
      <c r="A7357" s="4" t="str">
        <f ca="1">IFERROR(__xludf.DUMMYFUNCTION("""COMPUTED_VALUE"""),"रोदोरन्ध्रं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||")</f>
        <v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||</v>
      </c>
      <c r="B7357" s="4" t="s">
        <v>18</v>
      </c>
      <c r="C7357" s="4"/>
    </row>
    <row r="7358" spans="1:3" ht="24" customHeight="1">
      <c r="A7358" s="4" t="str">
        <f ca="1">IFERROR(__xludf.DUMMYFUNCTION("""COMPUTED_VALUE"""),"वीर्योत्साहश्लाघि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||")</f>
        <v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||</v>
      </c>
      <c r="B7358" s="4" t="s">
        <v>1</v>
      </c>
      <c r="C7358" s="4"/>
    </row>
    <row r="7359" spans="1:3" ht="24" customHeight="1">
      <c r="A7359" s="4" t="str">
        <f ca="1">IFERROR(__xludf.DUMMYFUNCTION("""COMPUTED_VALUE"""),"आधावन्तः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||")</f>
        <v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||</v>
      </c>
      <c r="B7359" s="4" t="s">
        <v>7</v>
      </c>
      <c r="C7359" s="4"/>
    </row>
    <row r="7360" spans="1:3" ht="24" customHeight="1">
      <c r="A7360" s="4" t="str">
        <f ca="1">IFERROR(__xludf.DUMMYFUNCTION("""COMPUTED_VALUE"""),"मिश्रीभूते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||")</f>
        <v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||</v>
      </c>
      <c r="B7360" s="4" t="s">
        <v>18</v>
      </c>
      <c r="C7360" s="4"/>
    </row>
    <row r="7361" spans="1:3" ht="24" customHeight="1">
      <c r="A7361" s="4" t="str">
        <f ca="1">IFERROR(__xludf.DUMMYFUNCTION("""COMPUTED_VALUE"""),"सद्वंशत्वादङ्गसंसङ्गिनीत्वं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||")</f>
        <v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||</v>
      </c>
      <c r="B7361" s="4" t="s">
        <v>7</v>
      </c>
      <c r="C7361" s="4"/>
    </row>
    <row r="7362" spans="1:3" ht="24" customHeight="1">
      <c r="A7362" s="4" t="str">
        <f ca="1">IFERROR(__xludf.DUMMYFUNCTION("""COMPUTED_VALUE"""),"नीते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||")</f>
        <v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||</v>
      </c>
      <c r="B7362" s="4" t="s">
        <v>12</v>
      </c>
      <c r="C7362" s="4"/>
    </row>
    <row r="7363" spans="1:3" ht="24" customHeight="1">
      <c r="A7363" s="4" t="str">
        <f ca="1">IFERROR(__xludf.DUMMYFUNCTION("""COMPUTED_VALUE"""),"आमूलान्तात्सायकेनायतेन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||")</f>
        <v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||</v>
      </c>
      <c r="B7363" s="4" t="s">
        <v>7</v>
      </c>
      <c r="C7363" s="4"/>
    </row>
    <row r="7364" spans="1:3" ht="24" customHeight="1">
      <c r="A7364" s="4" t="str">
        <f ca="1">IFERROR(__xludf.DUMMYFUNCTION("""COMPUTED_VALUE"""),"भित्वा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||")</f>
        <v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||</v>
      </c>
      <c r="B7364" s="4" t="s">
        <v>9</v>
      </c>
      <c r="C7364" s="4"/>
    </row>
    <row r="7365" spans="1:3" ht="24" customHeight="1">
      <c r="A7365" s="4" t="str">
        <f ca="1">IFERROR(__xludf.DUMMYFUNCTION("""COMPUTED_VALUE"""),"कुन्तेनोच्चैः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||")</f>
        <v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||</v>
      </c>
      <c r="B7365" s="4" t="s">
        <v>2</v>
      </c>
      <c r="C7365" s="4"/>
    </row>
    <row r="7366" spans="1:3" ht="24" customHeight="1">
      <c r="A7366" s="4" t="str">
        <f ca="1">IFERROR(__xludf.DUMMYFUNCTION("""COMPUTED_VALUE"""),"जेतुं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||")</f>
        <v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||</v>
      </c>
      <c r="B7366" s="4" t="s">
        <v>1</v>
      </c>
      <c r="C7366" s="4"/>
    </row>
    <row r="7367" spans="1:3" ht="24" customHeight="1">
      <c r="A7367" s="4" t="str">
        <f ca="1">IFERROR(__xludf.DUMMYFUNCTION("""COMPUTED_VALUE"""),"विष्वद्रीचीर्विक्षपन्सैन्यवीचीराजावन्तः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||")</f>
        <v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||</v>
      </c>
      <c r="B7367" s="4" t="s">
        <v>24</v>
      </c>
      <c r="C7367" s="4"/>
    </row>
    <row r="7368" spans="1:3" ht="24" customHeight="1">
      <c r="A7368" s="4" t="str">
        <f ca="1">IFERROR(__xludf.DUMMYFUNCTION("""COMPUTED_VALUE"""),"यावच्चक्रे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||")</f>
        <v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||</v>
      </c>
      <c r="B7368" s="4" t="s">
        <v>5</v>
      </c>
      <c r="C7368" s="4"/>
    </row>
    <row r="7369" spans="1:3" ht="24" customHeight="1">
      <c r="A7369" s="4" t="str">
        <f ca="1">IFERROR(__xludf.DUMMYFUNCTION("""COMPUTED_VALUE"""),"क्रुध्यन्गन्धादन्यनागाय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||")</f>
        <v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||</v>
      </c>
      <c r="B7369" s="4" t="s">
        <v>4</v>
      </c>
      <c r="C7369" s="4"/>
    </row>
    <row r="7370" spans="1:3" ht="24" customHeight="1">
      <c r="A7370" s="4" t="str">
        <f ca="1">IFERROR(__xludf.DUMMYFUNCTION("""COMPUTED_VALUE"""),"प्रत्यासन्ने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||")</f>
        <v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||</v>
      </c>
      <c r="B7370" s="4" t="s">
        <v>20</v>
      </c>
      <c r="C7370" s="4"/>
    </row>
    <row r="7371" spans="1:3" ht="24" customHeight="1">
      <c r="A7371" s="4" t="str">
        <f ca="1">IFERROR(__xludf.DUMMYFUNCTION("""COMPUTED_VALUE"""),"तूर्णं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कादम्बानामेकपातैरसीव्यथ् ||")</f>
        <v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कादम्बानामेकपातैरसीव्यथ् ||</v>
      </c>
      <c r="B7371" s="4" t="s">
        <v>5</v>
      </c>
      <c r="C7371" s="4"/>
    </row>
    <row r="7372" spans="1:3" ht="24" customHeight="1">
      <c r="A7372" s="4" t="str">
        <f ca="1">IFERROR(__xludf.DUMMYFUNCTION("""COMPUTED_VALUE"""),"आस्थद्दृष्टेराच्छदं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||")</f>
        <v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||</v>
      </c>
      <c r="B7372" s="4" t="s">
        <v>1</v>
      </c>
      <c r="C7372" s="4"/>
    </row>
    <row r="7373" spans="1:3" ht="24" customHeight="1">
      <c r="A7373" s="4" t="str">
        <f ca="1">IFERROR(__xludf.DUMMYFUNCTION("""COMPUTED_VALUE"""),"यत्नाद्रक्षन्सुस्थितत्वादनाशं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||")</f>
        <v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||</v>
      </c>
      <c r="B7373" s="4" t="s">
        <v>4</v>
      </c>
      <c r="C7373" s="4"/>
    </row>
    <row r="7374" spans="1:3" ht="24" customHeight="1">
      <c r="A7374" s="4" t="str">
        <f ca="1">IFERROR(__xludf.DUMMYFUNCTION("""COMPUTED_VALUE"""),"अन्योन्येषां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||")</f>
        <v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||</v>
      </c>
      <c r="B7374" s="4" t="s">
        <v>6</v>
      </c>
      <c r="C7374" s="4"/>
    </row>
    <row r="7375" spans="1:3" ht="24" customHeight="1">
      <c r="A7375" s="4" t="str">
        <f ca="1">IFERROR(__xludf.DUMMYFUNCTION("""COMPUTED_VALUE"""),"द्राधीयांस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||")</f>
        <v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||</v>
      </c>
      <c r="B7375" s="4" t="s">
        <v>2</v>
      </c>
      <c r="C7375" s="4"/>
    </row>
    <row r="7376" spans="1:3" ht="24" customHeight="1">
      <c r="A7376" s="4" t="str">
        <f ca="1">IFERROR(__xludf.DUMMYFUNCTION("""COMPUTED_VALUE"""),"मातङ्गानां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||")</f>
        <v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||</v>
      </c>
      <c r="B7376" s="4" t="s">
        <v>5</v>
      </c>
      <c r="C7376" s="4"/>
    </row>
    <row r="7377" spans="1:3" ht="24" customHeight="1">
      <c r="A7377" s="4" t="str">
        <f ca="1">IFERROR(__xludf.DUMMYFUNCTION("""COMPUTED_VALUE"""),"ओषामासे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वह्निभिर्वारणानामुच्चैर्मूर्धव्य्ॐनि नक्षत्रमाला ||")</f>
        <v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वह्निभिर्वारणानामुच्चैर्मूर्धव्य्ॐनि नक्षत्रमाला ||</v>
      </c>
      <c r="B7377" s="4" t="s">
        <v>11</v>
      </c>
      <c r="C7377" s="4"/>
    </row>
    <row r="7378" spans="1:3" ht="24" customHeight="1">
      <c r="A7378" s="4" t="str">
        <f ca="1">IFERROR(__xludf.DUMMYFUNCTION("""COMPUTED_VALUE"""),"सान्द्राण्भोदश्यामले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||")</f>
        <v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||</v>
      </c>
      <c r="B7378" s="4" t="s">
        <v>4</v>
      </c>
      <c r="C7378" s="4"/>
    </row>
    <row r="7379" spans="1:3" ht="24" customHeight="1">
      <c r="A7379" s="4" t="str">
        <f ca="1">IFERROR(__xludf.DUMMYFUNCTION("""COMPUTED_VALUE"""),"आकम्पाग्रैः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||")</f>
        <v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||</v>
      </c>
      <c r="B7379" s="4" t="s">
        <v>15</v>
      </c>
      <c r="C7379" s="4"/>
    </row>
    <row r="7380" spans="1:3" ht="24" customHeight="1">
      <c r="A7380" s="4" t="str">
        <f ca="1">IFERROR(__xludf.DUMMYFUNCTION("""COMPUTED_VALUE"""),"उत्क्षप्योच्चैः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||")</f>
        <v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||</v>
      </c>
      <c r="B7380" s="4" t="s">
        <v>5</v>
      </c>
      <c r="C7380" s="4"/>
    </row>
    <row r="7381" spans="1:3" ht="24" customHeight="1">
      <c r="A7381" s="4" t="str">
        <f ca="1">IFERROR(__xludf.DUMMYFUNCTION("""COMPUTED_VALUE"""),"भग्नेऽपीभे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||")</f>
        <v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||</v>
      </c>
      <c r="B7381" s="4" t="s">
        <v>20</v>
      </c>
      <c r="C7381" s="4"/>
    </row>
    <row r="7382" spans="1:3" ht="24" customHeight="1">
      <c r="A7382" s="4" t="str">
        <f ca="1">IFERROR(__xludf.DUMMYFUNCTION("""COMPUTED_VALUE"""),"व्याप्तं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||")</f>
        <v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||</v>
      </c>
      <c r="B7382" s="4" t="s">
        <v>2</v>
      </c>
      <c r="C7382" s="4"/>
    </row>
    <row r="7383" spans="1:3" ht="24" customHeight="1">
      <c r="A7383" s="4" t="str">
        <f ca="1">IFERROR(__xludf.DUMMYFUNCTION("""COMPUTED_VALUE"""),"भृङ्गश्रेणीश्यामभासां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हृष्टर्ॐएव रेजे ||")</f>
        <v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हृष्टर्ॐएव रेजे ||</v>
      </c>
      <c r="B7383" s="4" t="s">
        <v>3</v>
      </c>
      <c r="C7383" s="4"/>
    </row>
    <row r="7384" spans="1:3" ht="24" customHeight="1">
      <c r="A7384" s="4" t="str">
        <f ca="1">IFERROR(__xludf.DUMMYFUNCTION("""COMPUTED_VALUE"""),"आताम्राभा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||")</f>
        <v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||</v>
      </c>
      <c r="B7384" s="4" t="s">
        <v>0</v>
      </c>
      <c r="C7384" s="4"/>
    </row>
    <row r="7385" spans="1:3" ht="24" customHeight="1">
      <c r="A7385" s="4" t="str">
        <f ca="1">IFERROR(__xludf.DUMMYFUNCTION("""COMPUTED_VALUE"""),"क्रामन्दन्तौ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||")</f>
        <v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||</v>
      </c>
      <c r="B7385" s="4" t="s">
        <v>30</v>
      </c>
      <c r="C7385" s="4"/>
    </row>
    <row r="7386" spans="1:3" ht="24" customHeight="1">
      <c r="A7386" s="4" t="str">
        <f ca="1">IFERROR(__xludf.DUMMYFUNCTION("""COMPUTED_VALUE"""),"कुर्वञ्ज्योत्स्नाविप्रुषां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||")</f>
        <v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||</v>
      </c>
      <c r="B7386" s="4" t="s">
        <v>28</v>
      </c>
      <c r="C7386" s="4"/>
    </row>
    <row r="7387" spans="1:3" ht="24" customHeight="1">
      <c r="A7387" s="4" t="str">
        <f ca="1">IFERROR(__xludf.DUMMYFUNCTION("""COMPUTED_VALUE"""),"दूरोत्क्षिप्तक्षिप्रचक्रेण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||")</f>
        <v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||</v>
      </c>
      <c r="B7387" s="4" t="s">
        <v>13</v>
      </c>
      <c r="C7387" s="4"/>
    </row>
    <row r="7388" spans="1:3" ht="24" customHeight="1">
      <c r="A7388" s="4" t="str">
        <f ca="1">IFERROR(__xludf.DUMMYFUNCTION("""COMPUTED_VALUE"""),"आपस्काराल्लूनगात्रस्य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||")</f>
        <v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||</v>
      </c>
      <c r="B7388" s="4" t="s">
        <v>4</v>
      </c>
      <c r="C7388" s="4"/>
    </row>
    <row r="7389" spans="1:3" ht="24" customHeight="1">
      <c r="A7389" s="4" t="str">
        <f ca="1">IFERROR(__xludf.DUMMYFUNCTION("""COMPUTED_VALUE"""),"लब्धस्पर्शं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||")</f>
        <v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||</v>
      </c>
      <c r="B7389" s="4" t="s">
        <v>5</v>
      </c>
      <c r="C7389" s="4"/>
    </row>
    <row r="7390" spans="1:3" ht="24" customHeight="1">
      <c r="A7390" s="4" t="str">
        <f ca="1">IFERROR(__xludf.DUMMYFUNCTION("""COMPUTED_VALUE"""),"हस्तेनाग्रे वीतभीतिं गृहीत्वा कञ्चिद्व्यालः क्षिप्तवानूर्ध्वमुच्चैः । आसीनानां व्य्ॐनि तस्यैव हेतोः स्वर्गस्त्रीणामर्पयामास नूनं ||")</f>
        <v>हस्तेनाग्रे वीतभीतिं गृहीत्वा कञ्चिद्व्यालः क्षिप्तवानूर्ध्वमुच्चैः । आसीनानां व्य्ॐनि तस्यैव हेतोः स्वर्गस्त्रीणामर्पयामास नूनं ||</v>
      </c>
      <c r="B7390" s="4" t="s">
        <v>1</v>
      </c>
      <c r="C7390" s="4"/>
    </row>
    <row r="7391" spans="1:3" ht="24" customHeight="1">
      <c r="A7391" s="4" t="str">
        <f ca="1">IFERROR(__xludf.DUMMYFUNCTION("""COMPUTED_VALUE"""),"कंचिद्दूरादायतेन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||")</f>
        <v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||</v>
      </c>
      <c r="B7391" s="4" t="s">
        <v>2</v>
      </c>
      <c r="C7391" s="4"/>
    </row>
    <row r="7392" spans="1:3" ht="24" customHeight="1">
      <c r="A7392" s="4" t="str">
        <f ca="1">IFERROR(__xludf.DUMMYFUNCTION("""COMPUTED_VALUE"""),"तन्वाः पुंसो नन्द गोपात्मजायाः कंसेनेव स्फोटितायाः गजेन । दिव्या मूर्तिर्व्य्ॐअगैरुत्पतन्ती वीक्षामासे विस्मितैश्चण्डिकेव ||")</f>
        <v>तन्वाः पुंसो नन्द गोपात्मजायाः कंसेनेव स्फोटितायाः गजेन । दिव्या मूर्तिर्व्य्ॐअगैरुत्पतन्ती वीक्षामासे विस्मितैश्चण्डिकेव ||</v>
      </c>
      <c r="B7392" s="4" t="s">
        <v>4</v>
      </c>
      <c r="C7392" s="4"/>
    </row>
    <row r="7393" spans="1:3" ht="24" customHeight="1">
      <c r="A7393" s="4" t="str">
        <f ca="1">IFERROR(__xludf.DUMMYFUNCTION("""COMPUTED_VALUE"""),"आक्रम्यैकामग्रपादेन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||")</f>
        <v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||</v>
      </c>
      <c r="B7393" s="4" t="s">
        <v>2</v>
      </c>
      <c r="C7393" s="4"/>
    </row>
    <row r="7394" spans="1:3" ht="24" customHeight="1">
      <c r="A7394" s="4" t="str">
        <f ca="1">IFERROR(__xludf.DUMMYFUNCTION("""COMPUTED_VALUE"""),"शोचित्वाग्रे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||")</f>
        <v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||</v>
      </c>
      <c r="B7394" s="4" t="s">
        <v>2</v>
      </c>
      <c r="C7394" s="4"/>
    </row>
    <row r="7395" spans="1:3" ht="24" customHeight="1">
      <c r="A7395" s="4" t="str">
        <f ca="1">IFERROR(__xludf.DUMMYFUNCTION("""COMPUTED_VALUE"""),"उत्प्लुत्यारादर्धचन्द्रेण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||")</f>
        <v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||</v>
      </c>
      <c r="B7395" s="4" t="s">
        <v>7</v>
      </c>
      <c r="C7395" s="4"/>
    </row>
    <row r="7396" spans="1:3" ht="24" customHeight="1">
      <c r="A7396" s="4" t="str">
        <f ca="1">IFERROR(__xludf.DUMMYFUNCTION("""COMPUTED_VALUE"""),"तूर्यारावैराहितोत्तालतालैर्गायन्तीभिः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||")</f>
        <v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||</v>
      </c>
      <c r="B7396" s="4" t="s">
        <v>18</v>
      </c>
      <c r="C7396" s="4"/>
    </row>
    <row r="7397" spans="1:3" ht="24" customHeight="1">
      <c r="A7397" s="4" t="str">
        <f ca="1">IFERROR(__xludf.DUMMYFUNCTION("""COMPUTED_VALUE"""),"प्रत्यावृत्तं भङ्गभाजि स्वसैन्ये तुल्यं मुक्तैराकिरन्ति स्म कश्चिथ् । एकौघेन स्वर्णपुङ्खैर्द्विषन्तः सिद्धाः माल्यैः साधुवादैर्द्वयेऽपि ||")</f>
        <v>प्रत्यावृत्तं भङ्गभाजि स्वसैन्ये तुल्यं मुक्तैराकिरन्ति स्म कश्चिथ् । एकौघेन स्वर्णपुङ्खैर्द्विषन्तः सिद्धाः माल्यैः साधुवादैर्द्वयेऽपि ||</v>
      </c>
      <c r="B7397" s="4" t="s">
        <v>9</v>
      </c>
      <c r="C7397" s="4"/>
    </row>
    <row r="7398" spans="1:3" ht="24" customHeight="1">
      <c r="A7398" s="4" t="str">
        <f ca="1">IFERROR(__xludf.DUMMYFUNCTION("""COMPUTED_VALUE"""),"बाणाक्षिप्तारोहशून्यासनानां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||")</f>
        <v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||</v>
      </c>
      <c r="B7398" s="4" t="s">
        <v>1</v>
      </c>
      <c r="C7398" s="4"/>
    </row>
    <row r="7399" spans="1:3" ht="24" customHeight="1">
      <c r="A7399" s="4" t="str">
        <f ca="1">IFERROR(__xludf.DUMMYFUNCTION("""COMPUTED_VALUE"""),"पौनः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||")</f>
        <v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||</v>
      </c>
      <c r="B7399" s="4" t="s">
        <v>13</v>
      </c>
      <c r="C7399" s="4"/>
    </row>
    <row r="7400" spans="1:3" ht="24" customHeight="1">
      <c r="A7400" s="4" t="str">
        <f ca="1">IFERROR(__xludf.DUMMYFUNCTION("""COMPUTED_VALUE"""),"कश्चिन्मूर्च्छामेत्य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||")</f>
        <v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||</v>
      </c>
      <c r="B7400" s="4" t="s">
        <v>21</v>
      </c>
      <c r="C7400" s="4"/>
    </row>
    <row r="7401" spans="1:3" ht="24" customHeight="1">
      <c r="A7401" s="4" t="str">
        <f ca="1">IFERROR(__xludf.DUMMYFUNCTION("""COMPUTED_VALUE"""),"लूनग्रीवात्सायकेनापरस्य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||")</f>
        <v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||</v>
      </c>
      <c r="B7401" s="4" t="s">
        <v>0</v>
      </c>
      <c r="C7401" s="4"/>
    </row>
    <row r="7402" spans="1:3" ht="24" customHeight="1">
      <c r="A7402" s="4" t="str">
        <f ca="1">IFERROR(__xludf.DUMMYFUNCTION("""COMPUTED_VALUE"""),"वृत्तं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||")</f>
        <v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||</v>
      </c>
      <c r="B7402" s="4" t="s">
        <v>10</v>
      </c>
      <c r="C7402" s="4"/>
    </row>
    <row r="7403" spans="1:3" ht="24" customHeight="1">
      <c r="A7403" s="4" t="str">
        <f ca="1">IFERROR(__xludf.DUMMYFUNCTION("""COMPUTED_VALUE"""),"त्यक्तप्राणं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||")</f>
        <v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||</v>
      </c>
      <c r="B7403" s="4" t="s">
        <v>0</v>
      </c>
      <c r="C7403" s="4"/>
    </row>
    <row r="7404" spans="1:3" ht="24" customHeight="1">
      <c r="A7404" s="4" t="str">
        <f ca="1">IFERROR(__xludf.DUMMYFUNCTION("""COMPUTED_VALUE"""),"स्वर्गेवासं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||")</f>
        <v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||</v>
      </c>
      <c r="B7404" s="4" t="s">
        <v>5</v>
      </c>
      <c r="C7404" s="4"/>
    </row>
    <row r="7405" spans="1:3" ht="24" customHeight="1">
      <c r="A7405" s="4" t="str">
        <f ca="1">IFERROR(__xludf.DUMMYFUNCTION("""COMPUTED_VALUE"""),"गत्वा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||")</f>
        <v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||</v>
      </c>
      <c r="B7405" s="4" t="s">
        <v>2</v>
      </c>
      <c r="C7405" s="4"/>
    </row>
    <row r="7406" spans="1:3" ht="24" customHeight="1">
      <c r="A7406" s="4" t="str">
        <f ca="1">IFERROR(__xludf.DUMMYFUNCTION("""COMPUTED_VALUE"""),"कश्चिच्छ्स्त्रापातमूढोऽपवोढुर्लब्ध्वा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||")</f>
        <v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||</v>
      </c>
      <c r="B7406" s="4" t="s">
        <v>2</v>
      </c>
      <c r="C7406" s="4"/>
    </row>
    <row r="7407" spans="1:3" ht="24" customHeight="1">
      <c r="A7407" s="4" t="str">
        <f ca="1">IFERROR(__xludf.DUMMYFUNCTION("""COMPUTED_VALUE"""),"भिन्नोरस्कौशत्रुणाकृष्य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स्वर्गतावप्यभूतां ||")</f>
        <v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स्वर्गतावप्यभूतां ||</v>
      </c>
      <c r="B7407" s="4" t="s">
        <v>2</v>
      </c>
      <c r="C7407" s="4"/>
    </row>
    <row r="7408" spans="1:3" ht="24" customHeight="1">
      <c r="A7408" s="4" t="str">
        <f ca="1">IFERROR(__xludf.DUMMYFUNCTION("""COMPUTED_VALUE"""),"भिन्नानस्त्रैर्मोहभाजोऽभिजातान्हन्तुं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||")</f>
        <v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||</v>
      </c>
      <c r="B7408" s="4" t="s">
        <v>1</v>
      </c>
      <c r="C7408" s="4"/>
    </row>
    <row r="7409" spans="1:3" ht="24" customHeight="1">
      <c r="A7409" s="4" t="str">
        <f ca="1">IFERROR(__xludf.DUMMYFUNCTION("""COMPUTED_VALUE"""),"भग्नैर्दण्डैरातपत्राणि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||")</f>
        <v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||</v>
      </c>
      <c r="B7409" s="4" t="s">
        <v>2</v>
      </c>
      <c r="C7409" s="4"/>
    </row>
    <row r="7410" spans="1:3" ht="24" customHeight="1">
      <c r="A7410" s="4" t="str">
        <f ca="1">IFERROR(__xludf.DUMMYFUNCTION("""COMPUTED_VALUE"""),"रेजुर्भ्रष्टा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||")</f>
        <v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||</v>
      </c>
      <c r="B7410" s="4" t="s">
        <v>5</v>
      </c>
      <c r="C7410" s="4"/>
    </row>
    <row r="7411" spans="1:3" ht="24" customHeight="1">
      <c r="A7411" s="4" t="str">
        <f ca="1">IFERROR(__xludf.DUMMYFUNCTION("""COMPUTED_VALUE"""),"निम्नेष्वोधीभूतमस्त्रक्षतानामस्रं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||")</f>
        <v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||</v>
      </c>
      <c r="B7411" s="4" t="s">
        <v>5</v>
      </c>
      <c r="C7411" s="4"/>
    </row>
    <row r="7412" spans="1:3" ht="24" customHeight="1">
      <c r="A7412" s="4" t="str">
        <f ca="1">IFERROR(__xludf.DUMMYFUNCTION("""COMPUTED_VALUE"""),"रामेण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||")</f>
        <v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||</v>
      </c>
      <c r="B7412" s="4" t="s">
        <v>5</v>
      </c>
      <c r="C7412" s="4"/>
    </row>
    <row r="7413" spans="1:3" ht="24" customHeight="1">
      <c r="A7413" s="4" t="str">
        <f ca="1">IFERROR(__xludf.DUMMYFUNCTION("""COMPUTED_VALUE"""),"संदानान्तादस्त्रिभिः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||")</f>
        <v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||</v>
      </c>
      <c r="B7413" s="4" t="s">
        <v>1</v>
      </c>
      <c r="C7413" s="4"/>
    </row>
    <row r="7414" spans="1:3" ht="24" customHeight="1">
      <c r="A7414" s="4" t="str">
        <f ca="1">IFERROR(__xludf.DUMMYFUNCTION("""COMPUTED_VALUE"""),"पद्माकारैर्योधवक्त्रैरिभानां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||")</f>
        <v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||</v>
      </c>
      <c r="B7414" s="4" t="s">
        <v>6</v>
      </c>
      <c r="C7414" s="4"/>
    </row>
    <row r="7415" spans="1:3" ht="24" customHeight="1">
      <c r="A7415" s="4" t="str">
        <f ca="1">IFERROR(__xludf.DUMMYFUNCTION("""COMPUTED_VALUE"""),"उत्क्रान्तानामामिषायोपरिष्टादध्याकाशं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||")</f>
        <v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||</v>
      </c>
      <c r="B7415" s="4" t="s">
        <v>0</v>
      </c>
      <c r="C7415" s="4"/>
    </row>
    <row r="7416" spans="1:3" ht="24" customHeight="1">
      <c r="A7416" s="4" t="str">
        <f ca="1">IFERROR(__xludf.DUMMYFUNCTION("""COMPUTED_VALUE"""),"आतन्वद्भिर्दिक्षु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||")</f>
        <v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||</v>
      </c>
      <c r="B7416" s="4" t="s">
        <v>5</v>
      </c>
      <c r="C7416" s="4"/>
    </row>
    <row r="7417" spans="1:3" ht="24" customHeight="1">
      <c r="A7417" s="4" t="str">
        <f ca="1">IFERROR(__xludf.DUMMYFUNCTION("""COMPUTED_VALUE"""),"ओजोभाजां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||")</f>
        <v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||</v>
      </c>
      <c r="B7417" s="4" t="s">
        <v>8</v>
      </c>
      <c r="C7417" s="4"/>
    </row>
    <row r="7418" spans="1:3" ht="24" customHeight="1">
      <c r="A7418" s="4" t="str">
        <f ca="1">IFERROR(__xludf.DUMMYFUNCTION("""COMPUTED_VALUE"""),"नैरन्तर्यच्छिन्नदेहान्तरालं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||")</f>
        <v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||</v>
      </c>
      <c r="B7418" s="4" t="s">
        <v>6</v>
      </c>
      <c r="C7418" s="4"/>
    </row>
    <row r="7419" spans="1:3" ht="24" customHeight="1">
      <c r="A7419" s="4" t="str">
        <f ca="1">IFERROR(__xludf.DUMMYFUNCTION("""COMPUTED_VALUE"""),"ग्लानिच्छेदि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||")</f>
        <v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||</v>
      </c>
      <c r="B7419" s="4" t="s">
        <v>16</v>
      </c>
      <c r="C7419" s="4"/>
    </row>
    <row r="7420" spans="1:3" ht="24" customHeight="1">
      <c r="A7420" s="4" t="str">
        <f ca="1">IFERROR(__xludf.DUMMYFUNCTION("""COMPUTED_VALUE"""),"क्रव्यात्पूगैः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||")</f>
        <v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||</v>
      </c>
      <c r="B7420" s="4" t="s">
        <v>1</v>
      </c>
      <c r="C7420" s="4"/>
    </row>
    <row r="7421" spans="1:3" ht="24" customHeight="1">
      <c r="A7421" s="4" t="str">
        <f ca="1">IFERROR(__xludf.DUMMYFUNCTION("""COMPUTED_VALUE"""),"कीर्णा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||")</f>
        <v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||</v>
      </c>
      <c r="B7421" s="4" t="s">
        <v>11</v>
      </c>
      <c r="C7421" s="4"/>
    </row>
    <row r="7422" spans="1:3" ht="24" customHeight="1">
      <c r="A7422" s="4" t="str">
        <f ca="1">IFERROR(__xludf.DUMMYFUNCTION("""COMPUTED_VALUE"""),"आयन्तीनामविरतरयंराजकानीकिनीना-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||")</f>
        <v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||</v>
      </c>
      <c r="B7422" s="4" t="s">
        <v>3</v>
      </c>
      <c r="C7422" s="4"/>
    </row>
    <row r="7423" spans="1:3" ht="24" customHeight="1">
      <c r="A7423" s="4" t="str">
        <f ca="1">IFERROR(__xludf.DUMMYFUNCTION("""COMPUTED_VALUE"""),"अथोत्तस्थे रणाटव्यामसुहृद्वेणुदारिणा । नृपाङ्घ्रिपौघसंघर्षादग्निवद्वेणुदारिणा ||")</f>
        <v>अथोत्तस्थे रणाटव्यामसुहृद्वेणुदारिणा । नृपाङ्घ्रिपौघसंघर्षादग्निवद्वेणुदारिणा ||</v>
      </c>
      <c r="B7423" s="4" t="s">
        <v>7</v>
      </c>
      <c r="C7423" s="4"/>
    </row>
    <row r="7424" spans="1:3" ht="24" customHeight="1">
      <c r="A7424" s="4" t="str">
        <f ca="1">IFERROR(__xludf.DUMMYFUNCTION("""COMPUTED_VALUE"""),"आपतन्तममुन्दूरादूरीकृतपराक्रमः । बलोऽवलोकयामास मातङ्गमिव केसरी ||")</f>
        <v>आपतन्तममुन्दूरादूरीकृतपराक्रमः । बलोऽवलोकयामास मातङ्गमिव केसरी ||</v>
      </c>
      <c r="B7424" s="4" t="s">
        <v>0</v>
      </c>
      <c r="C7424" s="4"/>
    </row>
    <row r="7425" spans="1:3" ht="24" customHeight="1">
      <c r="A7425" s="4" t="str">
        <f ca="1">IFERROR(__xludf.DUMMYFUNCTION("""COMPUTED_VALUE"""),"जजौजोजाजिजिज्जाजी तं ततोऽतिततातितुथ् । भाभोऽभीभाभिभूभारारारिररिरीररः ||")</f>
        <v>जजौजोजाजिजिज्जाजी तं ततोऽतिततातितुथ् । भाभोऽभीभाभिभूभारारारिररिरीररः ||</v>
      </c>
      <c r="B7425" s="4" t="s">
        <v>0</v>
      </c>
      <c r="C7425" s="4"/>
    </row>
    <row r="7426" spans="1:3" ht="24" customHeight="1">
      <c r="A7426" s="4" t="str">
        <f ca="1">IFERROR(__xludf.DUMMYFUNCTION("""COMPUTED_VALUE"""),"भवन्भवाय लोकानामाकम्पितमहीतलः । निर्घात इव निर्घोषभीमस्तस्यापतद्रथः ||")</f>
        <v>भवन्भवाय लोकानामाकम्पितमहीतलः । निर्घात इव निर्घोषभीमस्तस्यापतद्रथः ||</v>
      </c>
      <c r="B7426" s="4" t="s">
        <v>10</v>
      </c>
      <c r="C7426" s="4"/>
    </row>
    <row r="7427" spans="1:3" ht="24" customHeight="1">
      <c r="A7427" s="4" t="str">
        <f ca="1">IFERROR(__xludf.DUMMYFUNCTION("""COMPUTED_VALUE"""),"रामे रिपुः शरानाजिमहेष्वास विचक्षणे । कोपादथैनं शितमा महेष्वा स विचक्षणे ||")</f>
        <v>रामे रिपुः शरानाजिमहेष्वास विचक्षणे । कोपादथैनं शितमा महेष्वा स विचक्षणे ||</v>
      </c>
      <c r="B7427" s="4" t="s">
        <v>7</v>
      </c>
      <c r="C7427" s="4"/>
    </row>
    <row r="7428" spans="1:3" ht="24" customHeight="1">
      <c r="A7428" s="4" t="str">
        <f ca="1">IFERROR(__xludf.DUMMYFUNCTION("""COMPUTED_VALUE"""),"दिशमर्कमिवावाचीं मूर्च्छागतमपाहरथ् । मन्दप्रतापं तं सूतः शीघ्रमाजिविहायसः ||")</f>
        <v>दिशमर्कमिवावाचीं मूर्च्छागतमपाहरथ् । मन्दप्रतापं तं सूतः शीघ्रमाजिविहायसः ||</v>
      </c>
      <c r="B7428" s="4" t="s">
        <v>18</v>
      </c>
      <c r="C7428" s="4"/>
    </row>
    <row r="7429" spans="1:3" ht="24" customHeight="1">
      <c r="A7429" s="4" t="str">
        <f ca="1">IFERROR(__xludf.DUMMYFUNCTION("""COMPUTED_VALUE"""),"कृत्वा शिनेः शाल्वचमूं सप्रभावा चमूर्जितां । ससर्ज वक्त्रैः फुल्लाब्जसप्रभा वाचमूर्जितां ||")</f>
        <v>कृत्वा शिनेः शाल्वचमूं सप्रभावा चमूर्जितां । ससर्ज वक्त्रैः फुल्लाब्जसप्रभा वाचमूर्जितां ||</v>
      </c>
      <c r="B7429" s="4" t="s">
        <v>2</v>
      </c>
      <c r="C7429" s="4"/>
    </row>
    <row r="7430" spans="1:3" ht="24" customHeight="1">
      <c r="A7430" s="4" t="str">
        <f ca="1">IFERROR(__xludf.DUMMYFUNCTION("""COMPUTED_VALUE"""),"उल्मुकेन द्रुमं प्राप्य संकुचत्पत्रसंपदं । तजः प्रकिरता दिक्षु सप्रतापमदीप्यत ||")</f>
        <v>उल्मुकेन द्रुमं प्राप्य संकुचत्पत्रसंपदं । तजः प्रकिरता दिक्षु सप्रतापमदीप्यत ||</v>
      </c>
      <c r="B7430" s="4" t="s">
        <v>2</v>
      </c>
      <c r="C7430" s="4"/>
    </row>
    <row r="7431" spans="1:3" ht="24" customHeight="1">
      <c r="A7431" s="4" t="str">
        <f ca="1">IFERROR(__xludf.DUMMYFUNCTION("""COMPUTED_VALUE"""),"पृथोरध्यक्षिपधृद्रुक्मी यया चापमुदायुधः । तयैव वाचापगमं ययाचापमुदायुधः ||")</f>
        <v>पृथोरध्यक्षिपधृद्रुक्मी यया चापमुदायुधः । तयैव वाचापगमं ययाचापमुदायुधः ||</v>
      </c>
      <c r="B7431" s="4" t="s">
        <v>20</v>
      </c>
      <c r="C7431" s="4"/>
    </row>
    <row r="7432" spans="1:3" ht="24" customHeight="1">
      <c r="A7432" s="4" t="str">
        <f ca="1">IFERROR(__xludf.DUMMYFUNCTION("""COMPUTED_VALUE"""),"समं समन्ततो राज्ञामापतन्तीरनीकिनीः । कार्ष्णिः प्रत्यग्रहीदेकः सारस्वानिव निम्नगाः ||")</f>
        <v>समं समन्ततो राज्ञामापतन्तीरनीकिनीः । कार्ष्णिः प्रत्यग्रहीदेकः सारस्वानिव निम्नगाः ||</v>
      </c>
      <c r="B7432" s="4" t="s">
        <v>15</v>
      </c>
      <c r="C7432" s="4"/>
    </row>
    <row r="7433" spans="1:3" ht="24" customHeight="1">
      <c r="A7433" s="4" t="str">
        <f ca="1">IFERROR(__xludf.DUMMYFUNCTION("""COMPUTED_VALUE"""),"दधानैर्घनसादृश्यं लसदायसदंशनैः । तत्र काञ्चनसच्छाया ससृजे तैः शराशनिः ||")</f>
        <v>दधानैर्घनसादृश्यं लसदायसदंशनैः । तत्र काञ्चनसच्छाया ससृजे तैः शराशनिः ||</v>
      </c>
      <c r="B7433" s="4" t="s">
        <v>1</v>
      </c>
      <c r="C7433" s="4"/>
    </row>
    <row r="7434" spans="1:3" ht="24" customHeight="1">
      <c r="A7434" s="4" t="str">
        <f ca="1">IFERROR(__xludf.DUMMYFUNCTION("""COMPUTED_VALUE"""),"नखांशुमञ्जरीकीर्णमसौतरुरिवोच्चकैः । बभौ विभ्रमद्धनुःशाखामधिरूढशिलीमुखां ||")</f>
        <v>नखांशुमञ्जरीकीर्णमसौतरुरिवोच्चकैः । बभौ विभ्रमद्धनुःशाखामधिरूढशिलीमुखां ||</v>
      </c>
      <c r="B7434" s="4" t="s">
        <v>14</v>
      </c>
      <c r="C7434" s="4"/>
    </row>
    <row r="7435" spans="1:3" ht="24" customHeight="1">
      <c r="A7435" s="4" t="str">
        <f ca="1">IFERROR(__xludf.DUMMYFUNCTION("""COMPUTED_VALUE"""),"प्रप्य भीममसौ जन्यं सौजन्यं दधदानते । विध्यन्मुमोच न रिपूनरिपूगान्तकः शरैः ||")</f>
        <v>प्रप्य भीममसौ जन्यं सौजन्यं दधदानते । विध्यन्मुमोच न रिपूनरिपूगान्तकः शरैः ||</v>
      </c>
      <c r="B7435" s="4" t="s">
        <v>0</v>
      </c>
      <c r="C7435" s="4"/>
    </row>
    <row r="7436" spans="1:3" ht="24" customHeight="1">
      <c r="A7436" s="4" t="str">
        <f ca="1">IFERROR(__xludf.DUMMYFUNCTION("""COMPUTED_VALUE"""),"कृतस्य सर्वक्षितिपैर्विजयाशंसया पुरः । अनेकस्य चकारासौ बाणैर्बाणस्य खण्डनं ||")</f>
        <v>कृतस्य सर्वक्षितिपैर्विजयाशंसया पुरः । अनेकस्य चकारासौ बाणैर्बाणस्य खण्डनं ||</v>
      </c>
      <c r="B7436" s="4" t="s">
        <v>1</v>
      </c>
      <c r="C7436" s="4"/>
    </row>
    <row r="7437" spans="1:3" ht="24" customHeight="1">
      <c r="A7437" s="4" t="str">
        <f ca="1">IFERROR(__xludf.DUMMYFUNCTION("""COMPUTED_VALUE"""),"याबभार कृतानेकमाया सेना ससारतां । धनुः स कर्षन्रहितमायासेनाससार तां ||")</f>
        <v>याबभार कृतानेकमाया सेना ससारतां । धनुः स कर्षन्रहितमायासेनाससार तां ||</v>
      </c>
      <c r="B7437" s="4" t="s">
        <v>2</v>
      </c>
      <c r="C7437" s="4"/>
    </row>
    <row r="7438" spans="1:3" ht="24" customHeight="1">
      <c r="A7438" s="4" t="str">
        <f ca="1">IFERROR(__xludf.DUMMYFUNCTION("""COMPUTED_VALUE"""),"ओजो महौजाः कृत्वाधस्तत्क्षणादुत्तमौजसः । कुर्वन्नाजावमुख्यत्वमनमन्नाम मुख्यतां ||")</f>
        <v>ओजो महौजाः कृत्वाधस्तत्क्षणादुत्तमौजसः । कुर्वन्नाजावमुख्यत्वमनमन्नाम मुख्यतां ||</v>
      </c>
      <c r="B7438" s="4" t="s">
        <v>2</v>
      </c>
      <c r="C7438" s="4"/>
    </row>
    <row r="7439" spans="1:3" ht="24" customHeight="1">
      <c r="A7439" s="4" t="str">
        <f ca="1">IFERROR(__xludf.DUMMYFUNCTION("""COMPUTED_VALUE"""),"दूरादेव चमूर्भल्लैः कुमारो हन्ति स स्म याः । न पुनः सांयुगीं ताः स्म कुमारो हन्ति सस्मयाः ||")</f>
        <v>दूरादेव चमूर्भल्लैः कुमारो हन्ति स स्म याः । न पुनः सांयुगीं ताः स्म कुमारो हन्ति सस्मयाः ||</v>
      </c>
      <c r="B7439" s="4" t="s">
        <v>5</v>
      </c>
      <c r="C7439" s="4"/>
    </row>
    <row r="7440" spans="1:3" ht="24" customHeight="1">
      <c r="A7440" s="4" t="str">
        <f ca="1">IFERROR(__xludf.DUMMYFUNCTION("""COMPUTED_VALUE"""),"निपीड्य तरसा तेन मुक्ताः काममनास्थया । उपाययुर्विलक्षत्वं विद्विषो न शिलीमुखाः ||")</f>
        <v>निपीड्य तरसा तेन मुक्ताः काममनास्थया । उपाययुर्विलक्षत्वं विद्विषो न शिलीमुखाः ||</v>
      </c>
      <c r="B7440" s="4" t="s">
        <v>14</v>
      </c>
      <c r="C7440" s="4"/>
    </row>
    <row r="7441" spans="1:3" ht="24" customHeight="1">
      <c r="A7441" s="4" t="str">
        <f ca="1">IFERROR(__xludf.DUMMYFUNCTION("""COMPUTED_VALUE"""),"तस्यावदानैः समरे सहसा र्ॐअहर्षिभिः । सुरैरशंसि व्य्ॐअस्थैः सह सारो महर्षिभिः ||")</f>
        <v>तस्यावदानैः समरे सहसा र्ॐअहर्षिभिः । सुरैरशंसि व्य्ॐअस्थैः सह सारो महर्षिभिः ||</v>
      </c>
      <c r="B7441" s="4" t="s">
        <v>6</v>
      </c>
      <c r="C7441" s="4"/>
    </row>
    <row r="7442" spans="1:3" ht="24" customHeight="1">
      <c r="A7442" s="4" t="str">
        <f ca="1">IFERROR(__xludf.DUMMYFUNCTION("""COMPUTED_VALUE"""),"सुगन्धयद्दिशः शुभ्रमम्लानि कुसुमं दिवः । भूरि तत्रापतत्तस्मादुत्पपात दिवं यशः ||")</f>
        <v>सुगन्धयद्दिशः शुभ्रमम्लानि कुसुमं दिवः । भूरि तत्रापतत्तस्मादुत्पपात दिवं यशः ||</v>
      </c>
      <c r="B7442" s="4" t="s">
        <v>8</v>
      </c>
      <c r="C7442" s="4"/>
    </row>
    <row r="7443" spans="1:3" ht="24" customHeight="1">
      <c r="A7443" s="4" t="str">
        <f ca="1">IFERROR(__xludf.DUMMYFUNCTION("""COMPUTED_VALUE"""),"सोढुं तस्य द्विषो नालमवयोधरवा रणं । ऊर्णुनाव यशश्च द्यामपयोधरवारणं ||")</f>
        <v>सोढुं तस्य द्विषो नालमवयोधरवा रणं । ऊर्णुनाव यशश्च द्यामपयोधरवारणं ||</v>
      </c>
      <c r="B7443" s="4" t="s">
        <v>7</v>
      </c>
      <c r="C7443" s="4"/>
    </row>
    <row r="7444" spans="1:3" ht="24" customHeight="1">
      <c r="A7444" s="4" t="str">
        <f ca="1">IFERROR(__xludf.DUMMYFUNCTION("""COMPUTED_VALUE"""),"केशप्रचुरलोकस्य पर्यस्कारि विकासिना । शेखरेणेव युद्धस्य शिरः कुसुमलक्ष्मणा ||")</f>
        <v>केशप्रचुरलोकस्य पर्यस्कारि विकासिना । शेखरेणेव युद्धस्य शिरः कुसुमलक्ष्मणा ||</v>
      </c>
      <c r="B7444" s="4" t="s">
        <v>7</v>
      </c>
      <c r="C7444" s="4"/>
    </row>
    <row r="7445" spans="1:3" ht="24" customHeight="1">
      <c r="A7445" s="4" t="str">
        <f ca="1">IFERROR(__xludf.DUMMYFUNCTION("""COMPUTED_VALUE"""),"सादरं युद्धमानापि तेनान्यनरसादरं । सा दरं पृतना निन्ये हीयमाना रसादरं ||")</f>
        <v>सादरं युद्धमानापि तेनान्यनरसादरं । सा दरं पृतना निन्ये हीयमाना रसादरं ||</v>
      </c>
      <c r="B7445" s="4" t="s">
        <v>0</v>
      </c>
      <c r="C7445" s="4"/>
    </row>
    <row r="7446" spans="1:3" ht="24" customHeight="1">
      <c r="A7446" s="4" t="str">
        <f ca="1">IFERROR(__xludf.DUMMYFUNCTION("""COMPUTED_VALUE"""),"इत्यालिङ्गतामालोक्य जयलक्ष्म्या झषध्वजं । क्रुद्धयेव क्रुधा सद्यः प्रपेदे चेदिभूपतिः ||")</f>
        <v>इत्यालिङ्गतामालोक्य जयलक्ष्म्या झषध्वजं । क्रुद्धयेव क्रुधा सद्यः प्रपेदे चेदिभूपतिः ||</v>
      </c>
      <c r="B7446" s="4" t="s">
        <v>2</v>
      </c>
      <c r="C7446" s="4"/>
    </row>
    <row r="7447" spans="1:3" ht="24" customHeight="1">
      <c r="A7447" s="4" t="str">
        <f ca="1">IFERROR(__xludf.DUMMYFUNCTION("""COMPUTED_VALUE"""),"अहितानभि वाहिन्या स मानी चतुरङ्गया । चचाल वल्ल्गत्कलभसमानीचतुरङ्गया ||")</f>
        <v>अहितानभि वाहिन्या स मानी चतुरङ्गया । चचाल वल्ल्गत्कलभसमानीचतुरङ्गया ||</v>
      </c>
      <c r="B7447" s="4" t="s">
        <v>5</v>
      </c>
      <c r="C7447" s="4"/>
    </row>
    <row r="7448" spans="1:3" ht="24" customHeight="1">
      <c r="A7448" s="4" t="str">
        <f ca="1">IFERROR(__xludf.DUMMYFUNCTION("""COMPUTED_VALUE"""),"ततस्ततधनुर्मौर्वीविस्फारस्फारिनिःस्वनैः । तूर्यैर्युगक्षये क्षुभ्यदकूपारानुकारिणी ||")</f>
        <v>ततस्ततधनुर्मौर्वीविस्फारस्फारिनिःस्वनैः । तूर्यैर्युगक्षये क्षुभ्यदकूपारानुकारिणी ||</v>
      </c>
      <c r="B7448" s="4" t="s">
        <v>7</v>
      </c>
      <c r="C7448" s="4"/>
    </row>
    <row r="7449" spans="1:3" ht="24" customHeight="1">
      <c r="A7449" s="4" t="str">
        <f ca="1">IFERROR(__xludf.DUMMYFUNCTION("""COMPUTED_VALUE"""),"सकारनानारकास कायसाददसायका । रसाहवावाहसार नादवाददवादना ||")</f>
        <v>सकारनानारकास कायसाददसायका । रसाहवावाहसार नादवाददवादना ||</v>
      </c>
      <c r="B7449" s="4" t="s">
        <v>1</v>
      </c>
      <c r="C7449" s="4"/>
    </row>
    <row r="7450" spans="1:3" ht="24" customHeight="1">
      <c r="A7450" s="4" t="str">
        <f ca="1">IFERROR(__xludf.DUMMYFUNCTION("""COMPUTED_VALUE"""),"लोलासिकालियकुला यमस्यैव स्वसा स्वयं । चिकीर्षुरुल्लसल्लोहवर्मश्यामा सहायतां ||")</f>
        <v>लोलासिकालियकुला यमस्यैव स्वसा स्वयं । चिकीर्षुरुल्लसल्लोहवर्मश्यामा सहायतां ||</v>
      </c>
      <c r="B7450" s="4" t="s">
        <v>2</v>
      </c>
      <c r="C7450" s="4"/>
    </row>
    <row r="7451" spans="1:3" ht="24" customHeight="1">
      <c r="A7451" s="4" t="str">
        <f ca="1">IFERROR(__xludf.DUMMYFUNCTION("""COMPUTED_VALUE"""),"सासेनागमनारम्भे रसेनासीदनारता । तारनादजनामत्त धीरनागमनामया ||")</f>
        <v>सासेनागमनारम्भे रसेनासीदनारता । तारनादजनामत्त धीरनागमनामया ||</v>
      </c>
      <c r="B7451" s="4" t="s">
        <v>5</v>
      </c>
      <c r="C7451" s="4"/>
    </row>
    <row r="7452" spans="1:3" ht="24" customHeight="1">
      <c r="A7452" s="4" t="str">
        <f ca="1">IFERROR(__xludf.DUMMYFUNCTION("""COMPUTED_VALUE"""),"धूतधौतासयः प्रष्ठाः प्रतिष्ठन्तक्षमाभृतां । शौर्यनुरागनिकषः सा हि वेलानुजीविनां ||")</f>
        <v>धूतधौतासयः प्रष्ठाः प्रतिष्ठन्तक्षमाभृतां । शौर्यनुरागनिकषः सा हि वेलानुजीविनां ||</v>
      </c>
      <c r="B7452" s="4" t="s">
        <v>1</v>
      </c>
      <c r="C7452" s="4"/>
    </row>
    <row r="7453" spans="1:3" ht="24" customHeight="1">
      <c r="A7453" s="4" t="str">
        <f ca="1">IFERROR(__xludf.DUMMYFUNCTION("""COMPUTED_VALUE"""),"दिवमिन्युधा गन्तुं क्ॐअलामलसम्पदं । दधौ दधानोऽसिलतां कोऽमलामलसम्पदं ||")</f>
        <v>दिवमिन्युधा गन्तुं क्ॐअलामलसम्पदं । दधौ दधानोऽसिलतां कोऽमलामलसम्पदं ||</v>
      </c>
      <c r="B7453" s="4" t="s">
        <v>17</v>
      </c>
      <c r="C7453" s="4"/>
    </row>
    <row r="7454" spans="1:3" ht="24" customHeight="1">
      <c r="A7454" s="4" t="str">
        <f ca="1">IFERROR(__xludf.DUMMYFUNCTION("""COMPUTED_VALUE"""),"कृतोरुवेगं युगपद्व्यजिगीषन्त सैनिकाः । विपक्षं बाहुपरिघैर्जङ्घाभिरितरेतरं ||")</f>
        <v>कृतोरुवेगं युगपद्व्यजिगीषन्त सैनिकाः । विपक्षं बाहुपरिघैर्जङ्घाभिरितरेतरं ||</v>
      </c>
      <c r="B7454" s="4" t="s">
        <v>0</v>
      </c>
      <c r="C7454" s="4"/>
    </row>
    <row r="7455" spans="1:3" ht="24" customHeight="1">
      <c r="A7455" s="4" t="str">
        <f ca="1">IFERROR(__xludf.DUMMYFUNCTION("""COMPUTED_VALUE"""),"वाहनाजनि मानासे साराजावनमा ततः. मत्तसारगराजेभे भारीहावज्जनध्वनि ||")</f>
        <v>वाहनाजनि मानासे साराजावनमा ततः. मत्तसारगराजेभे भारीहावज्जनध्वनि ||</v>
      </c>
      <c r="B7455" s="4" t="s">
        <v>1</v>
      </c>
      <c r="C7455" s="4"/>
    </row>
    <row r="7456" spans="1:3" ht="24" customHeight="1">
      <c r="A7456" s="4" t="str">
        <f ca="1">IFERROR(__xludf.DUMMYFUNCTION("""COMPUTED_VALUE"""),"निध्वनज्जवहारीभा भेजे रागरसात्तमः । ततमानवजारासा सेना मानिजनाहवा ||")</f>
        <v>निध्वनज्जवहारीभा भेजे रागरसात्तमः । ततमानवजारासा सेना मानिजनाहवा ||</v>
      </c>
      <c r="B7456" s="4" t="s">
        <v>4</v>
      </c>
      <c r="C7456" s="4"/>
    </row>
    <row r="7457" spans="1:3" ht="24" customHeight="1">
      <c r="A7457" s="4" t="str">
        <f ca="1">IFERROR(__xludf.DUMMYFUNCTION("""COMPUTED_VALUE"""),"अभग्नवृत्ताः प्रसभादाकृष्टा यौवनोद्धतैः । चक्रन्दुरुच्चकैर्मुष्टिग्राह्यमध्या धनुर्लताः ||")</f>
        <v>अभग्नवृत्ताः प्रसभादाकृष्टा यौवनोद्धतैः । चक्रन्दुरुच्चकैर्मुष्टिग्राह्यमध्या धनुर्लताः ||</v>
      </c>
      <c r="B7457" s="4" t="s">
        <v>2</v>
      </c>
      <c r="C7457" s="4"/>
    </row>
    <row r="7458" spans="1:3" ht="24" customHeight="1">
      <c r="A7458" s="4" t="str">
        <f ca="1">IFERROR(__xludf.DUMMYFUNCTION("""COMPUTED_VALUE"""),"करेणुः प्रम्थितोऽनेको रेणुर्घण्टाः सहस्रशः । करेणुः शीकरो जज्ञे रेणुस्तेन शमं ययौ ||")</f>
        <v>करेणुः प्रम्थितोऽनेको रेणुर्घण्टाः सहस्रशः । करेणुः शीकरो जज्ञे रेणुस्तेन शमं ययौ ||</v>
      </c>
      <c r="B7458" s="4" t="s">
        <v>5</v>
      </c>
      <c r="C7458" s="4"/>
    </row>
    <row r="7459" spans="1:3" ht="24" customHeight="1">
      <c r="A7459" s="4" t="str">
        <f ca="1">IFERROR(__xludf.DUMMYFUNCTION("""COMPUTED_VALUE"""),"धृतप्रत्यग्रशृङ्गाररसरागरपि द्विपैः । सरोषसम्भ्रमैर्बर्भ्रे रौद्र एव रणे रसः ||")</f>
        <v>धृतप्रत्यग्रशृङ्गाररसरागरपि द्विपैः । सरोषसम्भ्रमैर्बर्भ्रे रौद्र एव रणे रसः ||</v>
      </c>
      <c r="B7459" s="4" t="s">
        <v>18</v>
      </c>
      <c r="C7459" s="4"/>
    </row>
    <row r="7460" spans="1:3" ht="24" customHeight="1">
      <c r="A7460" s="4" t="str">
        <f ca="1">IFERROR(__xludf.DUMMYFUNCTION("""COMPUTED_VALUE"""),"न तस्थौ भर्तृतः प्राप्तमानसम्प्रतिपत्तिषु । रणैकसर्गेषु भयं मानसं प्रति पत्तिषु ||")</f>
        <v>न तस्थौ भर्तृतः प्राप्तमानसम्प्रतिपत्तिषु । रणैकसर्गेषु भयं मानसं प्रति पत्तिषु ||</v>
      </c>
      <c r="B7460" s="4" t="s">
        <v>13</v>
      </c>
      <c r="C7460" s="4"/>
    </row>
    <row r="7461" spans="1:3" ht="24" customHeight="1">
      <c r="A7461" s="4" t="str">
        <f ca="1">IFERROR(__xludf.DUMMYFUNCTION("""COMPUTED_VALUE"""),"बाणाहितपूर्णतूणीरकोटरैर्धन्विशाखिभिः । गोधाश्लिष्टभुजाशाखैरभूद्भीमा रणाटवी ||")</f>
        <v>बाणाहितपूर्णतूणीरकोटरैर्धन्विशाखिभिः । गोधाश्लिष्टभुजाशाखैरभूद्भीमा रणाटवी ||</v>
      </c>
      <c r="B7461" s="4" t="s">
        <v>4</v>
      </c>
      <c r="C7461" s="4"/>
    </row>
    <row r="7462" spans="1:3" ht="24" customHeight="1">
      <c r="A7462" s="4" t="str">
        <f ca="1">IFERROR(__xludf.DUMMYFUNCTION("""COMPUTED_VALUE"""),"नानाजाववजानाना सा जनौघघनौजसा । परानिहऽहानिराप तान्वियाततयान्विता ||")</f>
        <v>नानाजाववजानाना सा जनौघघनौजसा । परानिहऽहानिराप तान्वियाततयान्विता ||</v>
      </c>
      <c r="B7462" s="4" t="s">
        <v>2</v>
      </c>
      <c r="C7462" s="4"/>
    </row>
    <row r="7463" spans="1:3" ht="24" customHeight="1">
      <c r="A7463" s="4" t="str">
        <f ca="1">IFERROR(__xludf.DUMMYFUNCTION("""COMPUTED_VALUE"""),"विषमं सर्वतोभद्रचक्रग्ॐऊत्रिकादिभिः । श्लोकैरिवमहाकाव्यं व्यूहैस्तदभवद्बलं ||")</f>
        <v>विषमं सर्वतोभद्रचक्रग्ॐऊत्रिकादिभिः । श्लोकैरिवमहाकाव्यं व्यूहैस्तदभवद्बलं ||</v>
      </c>
      <c r="B7463" s="4" t="s">
        <v>11</v>
      </c>
      <c r="C7463" s="4"/>
    </row>
    <row r="7464" spans="1:3" ht="24" customHeight="1">
      <c r="A7464" s="4" t="str">
        <f ca="1">IFERROR(__xludf.DUMMYFUNCTION("""COMPUTED_VALUE"""),"संहत्या सात्वतां चैद्यं प्रति भास्वरसेनया । ववले योद्धुमुत्पन्नप्रतिमा स्वरसेन या ||")</f>
        <v>संहत्या सात्वतां चैद्यं प्रति भास्वरसेनया । ववले योद्धुमुत्पन्नप्रतिमा स्वरसेन या ||</v>
      </c>
      <c r="B7464" s="4" t="s">
        <v>5</v>
      </c>
      <c r="C7464" s="4"/>
    </row>
    <row r="7465" spans="1:3" ht="24" customHeight="1">
      <c r="A7465" s="4" t="str">
        <f ca="1">IFERROR(__xludf.DUMMYFUNCTION("""COMPUTED_VALUE"""),"विस्तीर्णमायामवती लोललोकनिरन्तरा । नरेन्द्रमार्गं रथ्येव पपात द्विषतां बलं ||")</f>
        <v>विस्तीर्णमायामवती लोललोकनिरन्तरा । नरेन्द्रमार्गं रथ्येव पपात द्विषतां बलं ||</v>
      </c>
      <c r="B7465" s="4" t="s">
        <v>11</v>
      </c>
      <c r="C7465" s="4"/>
    </row>
    <row r="7466" spans="1:3" ht="24" customHeight="1">
      <c r="A7466" s="4" t="str">
        <f ca="1">IFERROR(__xludf.DUMMYFUNCTION("""COMPUTED_VALUE"""),"वारणागगभीरा सा साराभीगगणारवा । कारितारिवधा सेना नासेधा वारितारिका ||")</f>
        <v>वारणागगभीरा सा साराभीगगणारवा । कारितारिवधा सेना नासेधा वारितारिका ||</v>
      </c>
      <c r="B7466" s="4" t="s">
        <v>19</v>
      </c>
      <c r="C7466" s="4"/>
    </row>
    <row r="7467" spans="1:3" ht="24" customHeight="1">
      <c r="A7467" s="4" t="str">
        <f ca="1">IFERROR(__xludf.DUMMYFUNCTION("""COMPUTED_VALUE"""),"अधिनागं प्रजविनो विकसत्पिच्छचारवः । पेतुर्बर्हिणदेशीयाः शङ्कवः प्राणहारिणः ||")</f>
        <v>अधिनागं प्रजविनो विकसत्पिच्छचारवः । पेतुर्बर्हिणदेशीयाः शङ्कवः प्राणहारिणः ||</v>
      </c>
      <c r="B7467" s="4" t="s">
        <v>7</v>
      </c>
      <c r="C7467" s="4"/>
    </row>
    <row r="7468" spans="1:3" ht="24" customHeight="1">
      <c r="A7468" s="4" t="str">
        <f ca="1">IFERROR(__xludf.DUMMYFUNCTION("""COMPUTED_VALUE"""),"प्रवृत्तेविकसद्ध्वानंसाधनेप्यविषादिभिः । ववृषेविकसद्दानंयुधमाप्यविषाणिभिः ||")</f>
        <v>प्रवृत्तेविकसद्ध्वानंसाधनेप्यविषादिभिः । ववृषेविकसद्दानंयुधमाप्यविषाणिभिः ||</v>
      </c>
      <c r="B7468" s="4" t="s">
        <v>6</v>
      </c>
      <c r="C7468" s="4"/>
    </row>
    <row r="7469" spans="1:3" ht="24" customHeight="1">
      <c r="A7469" s="4" t="str">
        <f ca="1">IFERROR(__xludf.DUMMYFUNCTION("""COMPUTED_VALUE"""),"पुरः प्रयुक्तैर्युद्धं तच्चलितैर्लब्धशुद्धिभिः । आलापैरिव गान्धर्वमदीप्यत पदातिभिः ||")</f>
        <v>पुरः प्रयुक्तैर्युद्धं तच्चलितैर्लब्धशुद्धिभिः । आलापैरिव गान्धर्वमदीप्यत पदातिभिः ||</v>
      </c>
      <c r="B7469" s="4" t="s">
        <v>6</v>
      </c>
      <c r="C7469" s="4"/>
    </row>
    <row r="7470" spans="1:3" ht="24" customHeight="1">
      <c r="A7470" s="4" t="str">
        <f ca="1">IFERROR(__xludf.DUMMYFUNCTION("""COMPUTED_VALUE"""),"केनचित्स्वासिनान्येषां मण्डलाग्रानवद्यता । प्रापे कीर्तिप्लुतमहीमण्डलाग्रानवद्यत ||")</f>
        <v>केनचित्स्वासिनान्येषां मण्डलाग्रानवद्यता । प्रापे कीर्तिप्लुतमहीमण्डलाग्रानवद्यत ||</v>
      </c>
      <c r="B7470" s="4" t="s">
        <v>2</v>
      </c>
      <c r="C7470" s="4"/>
    </row>
    <row r="7471" spans="1:3" ht="24" customHeight="1">
      <c r="A7471" s="4" t="str">
        <f ca="1">IFERROR(__xludf.DUMMYFUNCTION("""COMPUTED_VALUE"""),"विहन्तुं विद्विषस्तीक्ष्णः सममेव सुसंहतेः । परिवारात्पृथक्चक्रे खड्गश्चात्मा च केनचिथ् ||")</f>
        <v>विहन्तुं विद्विषस्तीक्ष्णः सममेव सुसंहतेः । परिवारात्पृथक्चक्रे खड्गश्चात्मा च केनचिथ् ||</v>
      </c>
      <c r="B7471" s="4" t="s">
        <v>16</v>
      </c>
      <c r="C7471" s="4"/>
    </row>
    <row r="7472" spans="1:3" ht="24" customHeight="1">
      <c r="A7472" s="4" t="str">
        <f ca="1">IFERROR(__xludf.DUMMYFUNCTION("""COMPUTED_VALUE"""),"अन्येन विदधेऽरीणामतिमात्रा विलासिना । उद्गूर्णेन चमूस्तूर्णमतिमात्राविलासिना ||")</f>
        <v>अन्येन विदधेऽरीणामतिमात्रा विलासिना । उद्गूर्णेन चमूस्तूर्णमतिमात्राविलासिना ||</v>
      </c>
      <c r="B7472" s="4" t="s">
        <v>1</v>
      </c>
      <c r="C7472" s="4"/>
    </row>
    <row r="7473" spans="1:3" ht="24" customHeight="1">
      <c r="A7473" s="4" t="str">
        <f ca="1">IFERROR(__xludf.DUMMYFUNCTION("""COMPUTED_VALUE"""),"सहस्रपूरणः कश्चिल्लूनमूर्धासिना द्विषः । तथोर्ध्व एव काबन्धीमभजन्नर्तनक्रियां ||")</f>
        <v>सहस्रपूरणः कश्चिल्लूनमूर्धासिना द्विषः । तथोर्ध्व एव काबन्धीमभजन्नर्तनक्रियां ||</v>
      </c>
      <c r="B7473" s="4" t="s">
        <v>5</v>
      </c>
      <c r="C7473" s="4"/>
    </row>
    <row r="7474" spans="1:3" ht="24" customHeight="1">
      <c r="A7474" s="4" t="str">
        <f ca="1">IFERROR(__xludf.DUMMYFUNCTION("""COMPUTED_VALUE"""),"शस्त्रव्रणमयश्रीमदलङ्करणभूषषितः । ददृशेऽन्यो रावणवदलङ्करणभूषितः ||")</f>
        <v>शस्त्रव्रणमयश्रीमदलङ्करणभूषषितः । ददृशेऽन्यो रावणवदलङ्करणभूषितः ||</v>
      </c>
      <c r="B7474" s="4" t="s">
        <v>2</v>
      </c>
      <c r="C7474" s="4"/>
    </row>
    <row r="7475" spans="1:3" ht="24" customHeight="1">
      <c r="A7475" s="4" t="str">
        <f ca="1">IFERROR(__xludf.DUMMYFUNCTION("""COMPUTED_VALUE"""),"द्विषद्विशसनच्छेदनिरस्तोरुयुगोऽपरः । सिक्तश्चास्त्रैरुभयथा बभूवारुणविग्रहः ||")</f>
        <v>द्विषद्विशसनच्छेदनिरस्तोरुयुगोऽपरः । सिक्तश्चास्त्रैरुभयथा बभूवारुणविग्रहः ||</v>
      </c>
      <c r="B7475" s="4" t="s">
        <v>24</v>
      </c>
      <c r="C7475" s="4"/>
    </row>
    <row r="7476" spans="1:3" ht="24" customHeight="1">
      <c r="A7476" s="4" t="str">
        <f ca="1">IFERROR(__xludf.DUMMYFUNCTION("""COMPUTED_VALUE"""),"भीमतामपरोऽम्भोधिसमेऽधित महाहवे । दाक्षे कोपः शिवस्येव समेधितमहा हवे ||")</f>
        <v>भीमतामपरोऽम्भोधिसमेऽधित महाहवे । दाक्षे कोपः शिवस्येव समेधितमहा हवे ||</v>
      </c>
      <c r="B7476" s="4" t="s">
        <v>4</v>
      </c>
      <c r="C7476" s="4"/>
    </row>
    <row r="7477" spans="1:3" ht="24" customHeight="1">
      <c r="A7477" s="4" t="str">
        <f ca="1">IFERROR(__xludf.DUMMYFUNCTION("""COMPUTED_VALUE"""),"दन्तौश्चिच्छिदिरे कोपात्प्रतिपक्षं गजा इव । परनिस्त्रिंशनिर्लूनकरवालाः पदातयः ||")</f>
        <v>दन्तौश्चिच्छिदिरे कोपात्प्रतिपक्षं गजा इव । परनिस्त्रिंशनिर्लूनकरवालाः पदातयः ||</v>
      </c>
      <c r="B7477" s="4" t="s">
        <v>5</v>
      </c>
      <c r="C7477" s="4"/>
    </row>
    <row r="7478" spans="1:3" ht="24" customHeight="1">
      <c r="A7478" s="4" t="str">
        <f ca="1">IFERROR(__xludf.DUMMYFUNCTION("""COMPUTED_VALUE"""),"रणे रभसनिर्भिन्नद्विपपाटविकासिनि । न तत्र गतभीः कश्चिद्विपपाट विकासिनि ||")</f>
        <v>रणे रभसनिर्भिन्नद्विपपाटविकासिनि । न तत्र गतभीः कश्चिद्विपपाट विकासिनि ||</v>
      </c>
      <c r="B7478" s="4" t="s">
        <v>1</v>
      </c>
      <c r="C7478" s="4"/>
    </row>
    <row r="7479" spans="1:3" ht="24" customHeight="1">
      <c r="A7479" s="4" t="str">
        <f ca="1">IFERROR(__xludf.DUMMYFUNCTION("""COMPUTED_VALUE"""),"यावन्न सत्कृतैर्भर्तुः स्नेहस्यानृण्यमिच्छुभिः । अमर्षादितरैस्तावत्तत्यजे युधि जीवितं ||")</f>
        <v>यावन्न सत्कृतैर्भर्तुः स्नेहस्यानृण्यमिच्छुभिः । अमर्षादितरैस्तावत्तत्यजे युधि जीवितं ||</v>
      </c>
      <c r="B7479" s="4" t="s">
        <v>2</v>
      </c>
      <c r="C7479" s="4"/>
    </row>
    <row r="7480" spans="1:3" ht="24" customHeight="1">
      <c r="A7480" s="4" t="str">
        <f ca="1">IFERROR(__xludf.DUMMYFUNCTION("""COMPUTED_VALUE"""),"अयशोभिदुरालोके कोपधाम-रणादृते । अयशोभिदुरा लोके कोपधा मरणादृते ||")</f>
        <v>अयशोभिदुरालोके कोपधाम-रणादृते । अयशोभिदुरा लोके कोपधा मरणादृते ||</v>
      </c>
      <c r="B7480" s="4" t="s">
        <v>2</v>
      </c>
      <c r="C7480" s="4"/>
    </row>
    <row r="7481" spans="1:3" ht="24" customHeight="1">
      <c r="A7481" s="4" t="str">
        <f ca="1">IFERROR(__xludf.DUMMYFUNCTION("""COMPUTED_VALUE"""),"स्खलन्ती नक्वचित्तैक्ष्णादभ्यग्रफलशालिनी । अमोचि शक्तिः शक्तिकैर्लोहजा न शरीरजा ||")</f>
        <v>स्खलन्ती नक्वचित्तैक्ष्णादभ्यग्रफलशालिनी । अमोचि शक्तिः शक्तिकैर्लोहजा न शरीरजा ||</v>
      </c>
      <c r="B7481" s="4" t="s">
        <v>3</v>
      </c>
      <c r="C7481" s="4"/>
    </row>
    <row r="7482" spans="1:3" ht="24" customHeight="1">
      <c r="A7482" s="4" t="str">
        <f ca="1">IFERROR(__xludf.DUMMYFUNCTION("""COMPUTED_VALUE"""),"अपादि व्यापृतनयांस्तथा युयुधिरे नृपाः । आप दिव्या पृतनया विस्मयं जनता यथा ||")</f>
        <v>अपादि व्यापृतनयांस्तथा युयुधिरे नृपाः । आप दिव्या पृतनया विस्मयं जनता यथा ||</v>
      </c>
      <c r="B7482" s="4" t="s">
        <v>10</v>
      </c>
      <c r="C7482" s="4"/>
    </row>
    <row r="7483" spans="1:3" ht="24" customHeight="1">
      <c r="A7483" s="4" t="str">
        <f ca="1">IFERROR(__xludf.DUMMYFUNCTION("""COMPUTED_VALUE"""),"स्वगुणैराफलप्राप्तेराकृष्य गणिका इव । कामुकानिव नालीकांस्त्रिणन्ताः सहसामुचन् ||")</f>
        <v>स्वगुणैराफलप्राप्तेराकृष्य गणिका इव । कामुकानिव नालीकांस्त्रिणन्ताः सहसामुचन् ||</v>
      </c>
      <c r="B7483" s="4" t="s">
        <v>16</v>
      </c>
      <c r="C7483" s="4"/>
    </row>
    <row r="7484" spans="1:3" ht="24" customHeight="1">
      <c r="A7484" s="4" t="str">
        <f ca="1">IFERROR(__xludf.DUMMYFUNCTION("""COMPUTED_VALUE"""),"वाजिनः शत्रुसैन्यस्य समारब्धनवाजिनः । वाजिनश्च शरा मध्यमविशन्द्रुतवाजिनः ||")</f>
        <v>वाजिनः शत्रुसैन्यस्य समारब्धनवाजिनः । वाजिनश्च शरा मध्यमविशन्द्रुतवाजिनः ||</v>
      </c>
      <c r="B7484" s="4" t="s">
        <v>1</v>
      </c>
      <c r="C7484" s="4"/>
    </row>
    <row r="7485" spans="1:3" ht="24" customHeight="1">
      <c r="A7485" s="4" t="str">
        <f ca="1">IFERROR(__xludf.DUMMYFUNCTION("""COMPUTED_VALUE"""),"पुरस्कृत्य फलं प्राप्तैः सत्पक्षाश्रययशालिभिः । कृतपुङ्खतया लेभे लक्षमप्याशु मार्गणैः ||")</f>
        <v>पुरस्कृत्य फलं प्राप्तैः सत्पक्षाश्रययशालिभिः । कृतपुङ्खतया लेभे लक्षमप्याशु मार्गणैः ||</v>
      </c>
      <c r="B7485" s="4" t="s">
        <v>7</v>
      </c>
      <c r="C7485" s="4"/>
    </row>
    <row r="7486" spans="1:3" ht="24" customHeight="1">
      <c r="A7486" s="4" t="str">
        <f ca="1">IFERROR(__xludf.DUMMYFUNCTION("""COMPUTED_VALUE"""),"रक्तश्रुतिं जपासूनसमरागामिषुव्यधाथ् । कश्चित्पुरः सपत्नेषु समरागमिषुव्यधाथ् ||")</f>
        <v>रक्तश्रुतिं जपासूनसमरागामिषुव्यधाथ् । कश्चित्पुरः सपत्नेषु समरागमिषुव्यधाथ् ||</v>
      </c>
      <c r="B7486" s="4" t="s">
        <v>20</v>
      </c>
      <c r="C7486" s="4"/>
    </row>
    <row r="7487" spans="1:3" ht="24" customHeight="1">
      <c r="A7487" s="4" t="str">
        <f ca="1">IFERROR(__xludf.DUMMYFUNCTION("""COMPUTED_VALUE"""),"रयेण रणकाम्यन्तौ दूरादुपगतविभौ । गतासुरन्तरा दन्ती वरण्डक इवाभवथ् ||")</f>
        <v>रयेण रणकाम्यन्तौ दूरादुपगतविभौ । गतासुरन्तरा दन्ती वरण्डक इवाभवथ् ||</v>
      </c>
      <c r="B7487" s="4" t="s">
        <v>4</v>
      </c>
      <c r="C7487" s="4"/>
    </row>
    <row r="7488" spans="1:3" ht="24" customHeight="1">
      <c r="A7488" s="4" t="str">
        <f ca="1">IFERROR(__xludf.DUMMYFUNCTION("""COMPUTED_VALUE"""),"भूरिभिर्भारिभिर्भीरैर्भूभारैरभिरेभिरे । भेरीरेभिभिरभ्राभैरभीरुभिरिभैरिभाः ||")</f>
        <v>भूरिभिर्भारिभिर्भीरैर्भूभारैरभिरेभिरे । भेरीरेभिभिरभ्राभैरभीरुभिरिभैरिभाः ||</v>
      </c>
      <c r="B7488" s="4" t="s">
        <v>6</v>
      </c>
      <c r="C7488" s="4"/>
    </row>
    <row r="7489" spans="1:3" ht="24" customHeight="1">
      <c r="A7489" s="4" t="str">
        <f ca="1">IFERROR(__xludf.DUMMYFUNCTION("""COMPUTED_VALUE"""),"निशितासिलतालूनैस्तथा हस्तैर्न हस्तिनः । युध्यमाना यथा दन्तैर्भग्नैरापुर्विहस्ततां ||")</f>
        <v>निशितासिलतालूनैस्तथा हस्तैर्न हस्तिनः । युध्यमाना यथा दन्तैर्भग्नैरापुर्विहस्ततां ||</v>
      </c>
      <c r="B7489" s="4" t="s">
        <v>2</v>
      </c>
      <c r="C7489" s="4"/>
    </row>
    <row r="7490" spans="1:3" ht="24" customHeight="1">
      <c r="A7490" s="4" t="str">
        <f ca="1">IFERROR(__xludf.DUMMYFUNCTION("""COMPUTED_VALUE"""),"निपीडनादिव मिथो दानतोयनारतं । वपुषामदयापातादिभानामभितोऽगलथ् ||")</f>
        <v>निपीडनादिव मिथो दानतोयनारतं । वपुषामदयापातादिभानामभितोऽगलथ् ||</v>
      </c>
      <c r="B7490" s="4" t="s">
        <v>11</v>
      </c>
      <c r="C7490" s="4"/>
    </row>
    <row r="7491" spans="1:3" ht="24" customHeight="1">
      <c r="A7491" s="4" t="str">
        <f ca="1">IFERROR(__xludf.DUMMYFUNCTION("""COMPUTED_VALUE"""),"रणाङ्गणं सर इव प्लावितं मदवारिभिः ।गजः पृथुकराकृष्टशतपत्रमलोडयथ् ||")</f>
        <v>रणाङ्गणं सर इव प्लावितं मदवारिभिः ।गजः पृथुकराकृष्टशतपत्रमलोडयथ् ||</v>
      </c>
      <c r="B7491" s="4" t="s">
        <v>5</v>
      </c>
      <c r="C7491" s="4"/>
    </row>
    <row r="7492" spans="1:3" ht="24" customHeight="1">
      <c r="A7492" s="4" t="str">
        <f ca="1">IFERROR(__xludf.DUMMYFUNCTION("""COMPUTED_VALUE"""),"शरक्षते गजे भृङ्गैः सविषादिविषादिनि । रुतव्याजेन रुदितं तत्रासीदतिसीदति ||")</f>
        <v>शरक्षते गजे भृङ्गैः सविषादिविषादिनि । रुतव्याजेन रुदितं तत्रासीदतिसीदति ||</v>
      </c>
      <c r="B7492" s="4" t="s">
        <v>2</v>
      </c>
      <c r="C7492" s="4"/>
    </row>
    <row r="7493" spans="1:3" ht="24" customHeight="1">
      <c r="A7493" s="4" t="str">
        <f ca="1">IFERROR(__xludf.DUMMYFUNCTION("""COMPUTED_VALUE"""),"अन्तकस्य पृथौ तत्र शयनीय इवाहवे । दशनव्यसनादीयुर्मत्कुणत्वं मतङ्गजाः ||")</f>
        <v>अन्तकस्य पृथौ तत्र शयनीय इवाहवे । दशनव्यसनादीयुर्मत्कुणत्वं मतङ्गजाः ||</v>
      </c>
      <c r="B7493" s="4" t="s">
        <v>3</v>
      </c>
      <c r="C7493" s="4"/>
    </row>
    <row r="7494" spans="1:3" ht="24" customHeight="1">
      <c r="A7494" s="4" t="str">
        <f ca="1">IFERROR(__xludf.DUMMYFUNCTION("""COMPUTED_VALUE"""),"अभीकमतिकेनेद्धे भीतानन्दस्यनाशने । कनत्सकामसेनाके मन्दकामकमस्यति ||")</f>
        <v>अभीकमतिकेनेद्धे भीतानन्दस्यनाशने । कनत्सकामसेनाके मन्दकामकमस्यति ||</v>
      </c>
      <c r="B7494" s="4" t="s">
        <v>2</v>
      </c>
      <c r="C7494" s="4"/>
    </row>
    <row r="7495" spans="1:3" ht="24" customHeight="1">
      <c r="A7495" s="4" t="str">
        <f ca="1">IFERROR(__xludf.DUMMYFUNCTION("""COMPUTED_VALUE"""),"दधतोऽपि रणे भीममभीक्ष्णं भावमासुरं । हताः परैरभिमुखाः सुरभूयमुपाययुः ||")</f>
        <v>दधतोऽपि रणे भीममभीक्ष्णं भावमासुरं । हताः परैरभिमुखाः सुरभूयमुपाययुः ||</v>
      </c>
      <c r="B7495" s="4" t="s">
        <v>5</v>
      </c>
      <c r="C7495" s="4"/>
    </row>
    <row r="7496" spans="1:3" ht="24" customHeight="1">
      <c r="A7496" s="4" t="str">
        <f ca="1">IFERROR(__xludf.DUMMYFUNCTION("""COMPUTED_VALUE"""),"येनाङ्गमूहे व्रणवत्सरुचा परतोऽमरैः । समत्वं स ययौ खड्गत्सरुचापरतोऽमरैः ||")</f>
        <v>येनाङ्गमूहे व्रणवत्सरुचा परतोऽमरैः । समत्वं स ययौ खड्गत्सरुचापरतोऽमरैः ||</v>
      </c>
      <c r="B7496" s="4" t="s">
        <v>0</v>
      </c>
      <c r="C7496" s="4"/>
    </row>
    <row r="7497" spans="1:3" ht="24" customHeight="1">
      <c r="A7497" s="4" t="str">
        <f ca="1">IFERROR(__xludf.DUMMYFUNCTION("""COMPUTED_VALUE"""),"निपातितसुहृत्स्वामिपितृव्यभ्रातृमातुलं । पाणिनीयमिवावलोकि धीरैस्तत्समराजिरं ||")</f>
        <v>निपातितसुहृत्स्वामिपितृव्यभ्रातृमातुलं । पाणिनीयमिवावलोकि धीरैस्तत्समराजिरं ||</v>
      </c>
      <c r="B7497" s="4" t="s">
        <v>0</v>
      </c>
      <c r="C7497" s="4"/>
    </row>
    <row r="7498" spans="1:3" ht="24" customHeight="1">
      <c r="A7498" s="4" t="str">
        <f ca="1">IFERROR(__xludf.DUMMYFUNCTION("""COMPUTED_VALUE"""),"अभावि सिन्ध्वा सन्ध्याभ्रसदृग्रुधिरतोयया ।हृते योद्धुं जनः पांशौ स दृग्रुधि रतो यथा ||")</f>
        <v>अभावि सिन्ध्वा सन्ध्याभ्रसदृग्रुधिरतोयया ।हृते योद्धुं जनः पांशौ स दृग्रुधि रतो यथा ||</v>
      </c>
      <c r="B7498" s="4" t="s">
        <v>10</v>
      </c>
      <c r="C7498" s="4"/>
    </row>
    <row r="7499" spans="1:3" ht="24" customHeight="1">
      <c r="A7499" s="4" t="str">
        <f ca="1">IFERROR(__xludf.DUMMYFUNCTION("""COMPUTED_VALUE"""),"विदलत्पुष्कराकीर्णाः पतच्छङ्खकुलाकुलाः । तरत्पत्ररथा नद्यः प्रासर्पन्रक्तवारिजाः ||")</f>
        <v>विदलत्पुष्कराकीर्णाः पतच्छङ्खकुलाकुलाः । तरत्पत्ररथा नद्यः प्रासर्पन्रक्तवारिजाः ||</v>
      </c>
      <c r="B7499" s="4" t="s">
        <v>3</v>
      </c>
      <c r="C7499" s="4"/>
    </row>
    <row r="7500" spans="1:3" ht="24" customHeight="1">
      <c r="A7500" s="4" t="str">
        <f ca="1">IFERROR(__xludf.DUMMYFUNCTION("""COMPUTED_VALUE"""),"असृग्जनोऽस्त्रक्षतिमानवमज्जवसादनं । रक्षःपिशाचं मुमुदे नवमज्जवसादनं ||")</f>
        <v>असृग्जनोऽस्त्रक्षतिमानवमज्जवसादनं । रक्षःपिशाचं मुमुदे नवमज्जवसादनं ||</v>
      </c>
      <c r="B7500" s="4" t="s">
        <v>1</v>
      </c>
      <c r="C7500" s="4"/>
    </row>
    <row r="7501" spans="1:3" ht="24" customHeight="1">
      <c r="A7501" s="4" t="str">
        <f ca="1">IFERROR(__xludf.DUMMYFUNCTION("""COMPUTED_VALUE"""),"चित्रं चापैरपेतज्यैः स्फुरद्रक्तशतहृदं । पयोदजालमिव तद्वीराशंसनमाबभौ ||")</f>
        <v>चित्रं चापैरपेतज्यैः स्फुरद्रक्तशतहृदं । पयोदजालमिव तद्वीराशंसनमाबभौ ||</v>
      </c>
      <c r="B7501" s="4" t="s">
        <v>6</v>
      </c>
      <c r="C7501" s="4"/>
    </row>
    <row r="7502" spans="1:3" ht="24" customHeight="1">
      <c r="A7502" s="4" t="str">
        <f ca="1">IFERROR(__xludf.DUMMYFUNCTION("""COMPUTED_VALUE"""),"बन्धौ विपन्नेऽनेकेन नरेणेह तदन्तिके । अशोचि सैन्ये घण्टाभिर्न रेणे हतदन्तिके ||")</f>
        <v>बन्धौ विपन्नेऽनेकेन नरेणेह तदन्तिके । अशोचि सैन्ये घण्टाभिर्न रेणे हतदन्तिके ||</v>
      </c>
      <c r="B7502" s="4" t="s">
        <v>19</v>
      </c>
      <c r="C7502" s="4"/>
    </row>
    <row r="7503" spans="1:3" ht="24" customHeight="1">
      <c r="A7503" s="4" t="str">
        <f ca="1">IFERROR(__xludf.DUMMYFUNCTION("""COMPUTED_VALUE"""),"कृत्तैः कीर्णा मही रेजे दन्तैर्गात्रैश्च दन्तिनां । क्षुण्णलोकासुभिर्मृत्योर्मुसलोलूखलैरिव ||")</f>
        <v>कृत्तैः कीर्णा मही रेजे दन्तैर्गात्रैश्च दन्तिनां । क्षुण्णलोकासुभिर्मृत्योर्मुसलोलूखलैरिव ||</v>
      </c>
      <c r="B7503" s="4" t="s">
        <v>4</v>
      </c>
      <c r="C7503" s="4"/>
    </row>
    <row r="7504" spans="1:3" ht="24" customHeight="1">
      <c r="A7504" s="4" t="str">
        <f ca="1">IFERROR(__xludf.DUMMYFUNCTION("""COMPUTED_VALUE"""),"युद्धमित्थं विधूतान्यमानवानभियो गतः । चैद्यः परान्पराजिग्ये मानवानभियोगतः ||")</f>
        <v>युद्धमित्थं विधूतान्यमानवानभियो गतः । चैद्यः परान्पराजिग्ये मानवानभियोगतः ||</v>
      </c>
      <c r="B7504" s="4" t="s">
        <v>2</v>
      </c>
      <c r="C7504" s="4"/>
    </row>
    <row r="7505" spans="1:3" ht="24" customHeight="1">
      <c r="A7505" s="4" t="str">
        <f ca="1">IFERROR(__xludf.DUMMYFUNCTION("""COMPUTED_VALUE"""),"अथ वक्ष्ॐअणिच्छायाच्छुरितापीतवाससा । स्फुरदिन्द्रधनुर्भिन्नतडितेव तडित्त्वता ||")</f>
        <v>अथ वक्ष्ॐअणिच्छायाच्छुरितापीतवाससा । स्फुरदिन्द्रधनुर्भिन्नतडितेव तडित्त्वता ||</v>
      </c>
      <c r="B7505" s="4" t="s">
        <v>2</v>
      </c>
      <c r="C7505" s="4"/>
    </row>
    <row r="7506" spans="1:3" ht="24" customHeight="1">
      <c r="A7506" s="4" t="str">
        <f ca="1">IFERROR(__xludf.DUMMYFUNCTION("""COMPUTED_VALUE"""),"नीलेनानालनलिननिलीनोल्ललनालिना । ललनालालनेनालं लीलालोलेन लालिना ||")</f>
        <v>नीलेनानालनलिननिलीनोल्ललनालिना । ललनालालनेनालं लीलालोलेन लालिना ||</v>
      </c>
      <c r="B7506" s="4" t="s">
        <v>1</v>
      </c>
      <c r="C7506" s="4"/>
    </row>
    <row r="7507" spans="1:3" ht="24" customHeight="1">
      <c r="A7507" s="4" t="str">
        <f ca="1">IFERROR(__xludf.DUMMYFUNCTION("""COMPUTED_VALUE"""),"अपूर्वयेव तत्कालसमागमसकामया । दष्टेन राजन्वपुषा कटाक्षैर्विजयश्रिया ||")</f>
        <v>अपूर्वयेव तत्कालसमागमसकामया । दष्टेन राजन्वपुषा कटाक्षैर्विजयश्रिया ||</v>
      </c>
      <c r="B7507" s="4" t="s">
        <v>5</v>
      </c>
      <c r="C7507" s="4"/>
    </row>
    <row r="7508" spans="1:3" ht="24" customHeight="1">
      <c r="A7508" s="4" t="str">
        <f ca="1">IFERROR(__xludf.DUMMYFUNCTION("""COMPUTED_VALUE"""),"विभावी विभवी भाभो विभाभावी विवो विभीः । भवाभिभावी भावावो भवाभावो भुवो विभुः ||")</f>
        <v>विभावी विभवी भाभो विभाभावी विवो विभीः । भवाभिभावी भावावो भवाभावो भुवो विभुः ||</v>
      </c>
      <c r="B7508" s="4" t="s">
        <v>6</v>
      </c>
      <c r="C7508" s="4"/>
    </row>
    <row r="7509" spans="1:3" ht="24" customHeight="1">
      <c r="A7509" s="4" t="str">
        <f ca="1">IFERROR(__xludf.DUMMYFUNCTION("""COMPUTED_VALUE"""),"उपैतुकामैस्तत्पारं निश्चितैर्योगिभिः परैः । देहत्यागकृतोद्योगैरदृश्यत परः पुमान् ||")</f>
        <v>उपैतुकामैस्तत्पारं निश्चितैर्योगिभिः परैः । देहत्यागकृतोद्योगैरदृश्यत परः पुमान् ||</v>
      </c>
      <c r="B7509" s="4" t="s">
        <v>12</v>
      </c>
      <c r="C7509" s="4"/>
    </row>
    <row r="7510" spans="1:3" ht="24" customHeight="1">
      <c r="A7510" s="4" t="str">
        <f ca="1">IFERROR(__xludf.DUMMYFUNCTION("""COMPUTED_VALUE"""),"तं श्रिया घनयानस्तरुचा सारतया तया । यातया तरसा चारुस्तनयानघया श्रितं ||")</f>
        <v>तं श्रिया घनयानस्तरुचा सारतया तया । यातया तरसा चारुस्तनयानघया श्रितं ||</v>
      </c>
      <c r="B7510" s="4" t="s">
        <v>2</v>
      </c>
      <c r="C7510" s="4"/>
    </row>
    <row r="7511" spans="1:3" ht="24" customHeight="1">
      <c r="A7511" s="4" t="str">
        <f ca="1">IFERROR(__xludf.DUMMYFUNCTION("""COMPUTED_VALUE"""),"विद्विषोऽद्विषुरुद्वीक्ष्य तथाप्यासन्निरेनसः । अरुच्यमपि रोगघ्नं निसर्गादेव भेषजं ||")</f>
        <v>विद्विषोऽद्विषुरुद्वीक्ष्य तथाप्यासन्निरेनसः । अरुच्यमपि रोगघ्नं निसर्गादेव भेषजं ||</v>
      </c>
      <c r="B7511" s="4" t="s">
        <v>3</v>
      </c>
      <c r="C7511" s="4"/>
    </row>
    <row r="7512" spans="1:3" ht="24" customHeight="1">
      <c r="A7512" s="4" t="str">
        <f ca="1">IFERROR(__xludf.DUMMYFUNCTION("""COMPUTED_VALUE"""),"विदितं दिवि केऽनीके तं यातं निजिताजिनि । विगदं गवि रोद्धारो योद्धा यो नतिमेति नः ||")</f>
        <v>विदितं दिवि केऽनीके तं यातं निजिताजिनि । विगदं गवि रोद्धारो योद्धा यो नतिमेति नः ||</v>
      </c>
      <c r="B7512" s="4" t="s">
        <v>1</v>
      </c>
      <c r="C7512" s="4"/>
    </row>
    <row r="7513" spans="1:3" ht="24" customHeight="1">
      <c r="A7513" s="4" t="str">
        <f ca="1">IFERROR(__xludf.DUMMYFUNCTION("""COMPUTED_VALUE"""),"नियुज्यमानेन पुरः कर्मण्यतिगरीयसि । रोप्यमाणोरुगुणं भर्त्रा कार्मुकमानमथ् ||")</f>
        <v>नियुज्यमानेन पुरः कर्मण्यतिगरीयसि । रोप्यमाणोरुगुणं भर्त्रा कार्मुकमानमथ् ||</v>
      </c>
      <c r="B7513" s="4" t="s">
        <v>12</v>
      </c>
      <c r="C7513" s="4"/>
    </row>
    <row r="7514" spans="1:3" ht="24" customHeight="1">
      <c r="A7514" s="4" t="str">
        <f ca="1">IFERROR(__xludf.DUMMYFUNCTION("""COMPUTED_VALUE"""),"तत्र बाणाः सुपरुषः समधीयन्त चारवः । द्विषामभूत्सुपरुषस्तस्याकृष्टस्य चारवः ||")</f>
        <v>तत्र बाणाः सुपरुषः समधीयन्त चारवः । द्विषामभूत्सुपरुषस्तस्याकृष्टस्य चारवः ||</v>
      </c>
      <c r="B7514" s="4" t="s">
        <v>4</v>
      </c>
      <c r="C7514" s="4"/>
    </row>
    <row r="7515" spans="1:3" ht="24" customHeight="1">
      <c r="A7515" s="4" t="str">
        <f ca="1">IFERROR(__xludf.DUMMYFUNCTION("""COMPUTED_VALUE"""),"पश्चात्कृतानामप्यस्य नराणामिव पत्रिणां । योयो गुणेन संयुक्तः स स कर्णान्तमाययौ ||")</f>
        <v>पश्चात्कृतानामप्यस्य नराणामिव पत्रिणां । योयो गुणेन संयुक्तः स स कर्णान्तमाययौ ||</v>
      </c>
      <c r="B7515" s="4" t="s">
        <v>5</v>
      </c>
      <c r="C7515" s="4"/>
    </row>
    <row r="7516" spans="1:3" ht="24" customHeight="1">
      <c r="A7516" s="4" t="str">
        <f ca="1">IFERROR(__xludf.DUMMYFUNCTION("""COMPUTED_VALUE"""),"प्रपे रूपी पुरारेपाः परिपूरी परः परैः । रोपैरपारैरुपरि पुपूरेऽपि पुरोऽपरैः ||")</f>
        <v>प्रपे रूपी पुरारेपाः परिपूरी परः परैः । रोपैरपारैरुपरि पुपूरेऽपि पुरोऽपरैः ||</v>
      </c>
      <c r="B7516" s="4" t="s">
        <v>0</v>
      </c>
      <c r="C7516" s="4"/>
    </row>
    <row r="7517" spans="1:3" ht="24" customHeight="1">
      <c r="A7517" s="4" t="str">
        <f ca="1">IFERROR(__xludf.DUMMYFUNCTION("""COMPUTED_VALUE"""),"दिङ्मुखव्यापिनस्तीक्ष्णान्ह्रदिनो मर्मभेदिनः । चिक्षेपैकक्षणेनैव सायकानहितांश्च सः ||")</f>
        <v>दिङ्मुखव्यापिनस्तीक्ष्णान्ह्रदिनो मर्मभेदिनः । चिक्षेपैकक्षणेनैव सायकानहितांश्च सः ||</v>
      </c>
      <c r="B7517" s="4" t="s">
        <v>18</v>
      </c>
      <c r="C7517" s="4"/>
    </row>
    <row r="7518" spans="1:3" ht="24" customHeight="1">
      <c r="A7518" s="4" t="str">
        <f ca="1">IFERROR(__xludf.DUMMYFUNCTION("""COMPUTED_VALUE"""),"शरवर्षी महानादः स्फुरत्कार्मुककेतनः । नीलच्छविरसौ रेजे केशवच्छलनीरदः ||")</f>
        <v>शरवर्षी महानादः स्फुरत्कार्मुककेतनः । नीलच्छविरसौ रेजे केशवच्छलनीरदः ||</v>
      </c>
      <c r="B7518" s="4" t="s">
        <v>17</v>
      </c>
      <c r="C7518" s="4"/>
    </row>
    <row r="7519" spans="1:3" ht="24" customHeight="1">
      <c r="A7519" s="4" t="str">
        <f ca="1">IFERROR(__xludf.DUMMYFUNCTION("""COMPUTED_VALUE"""),"न केवलं जनैस्तस्य लघुसंधायिनो धनुः । मण्डलीकृतमोकान्ताद्बलमैक्षि द्विषामपि ||")</f>
        <v>न केवलं जनैस्तस्य लघुसंधायिनो धनुः । मण्डलीकृतमोकान्ताद्बलमैक्षि द्विषामपि ||</v>
      </c>
      <c r="B7519" s="4" t="s">
        <v>9</v>
      </c>
      <c r="C7519" s="4"/>
    </row>
    <row r="7520" spans="1:3" ht="24" customHeight="1">
      <c r="A7520" s="4" t="str">
        <f ca="1">IFERROR(__xludf.DUMMYFUNCTION("""COMPUTED_VALUE"""),"लोकालोकी कलोऽकल्ककलिलोऽलिकुलालकः । कालोऽकलोऽकलिः काले कोलकेलिकिलः किल ||")</f>
        <v>लोकालोकी कलोऽकल्ककलिलोऽलिकुलालकः । कालोऽकलोऽकलिः काले कोलकेलिकिलः किल ||</v>
      </c>
      <c r="B7520" s="4" t="s">
        <v>11</v>
      </c>
      <c r="C7520" s="4"/>
    </row>
    <row r="7521" spans="1:3" ht="24" customHeight="1">
      <c r="A7521" s="4" t="str">
        <f ca="1">IFERROR(__xludf.DUMMYFUNCTION("""COMPUTED_VALUE"""),"अक्षितारासु विव्याध द्विषतः स तनुत्रिणः । दानेषु स्थूललक्ष्यत्वं न हि तस्य शरासने ||")</f>
        <v>अक्षितारासु विव्याध द्विषतः स तनुत्रिणः । दानेषु स्थूललक्ष्यत्वं न हि तस्य शरासने ||</v>
      </c>
      <c r="B7521" s="4" t="s">
        <v>1</v>
      </c>
      <c r="C7521" s="4"/>
    </row>
    <row r="7522" spans="1:3" ht="24" customHeight="1">
      <c r="A7522" s="4" t="str">
        <f ca="1">IFERROR(__xludf.DUMMYFUNCTION("""COMPUTED_VALUE"""),"वररोऽविवरो वैरिविवारी वारिरारवः । विववार वरो वैरं वीरो रविरिवौर्वरः ||")</f>
        <v>वररोऽविवरो वैरिविवारी वारिरारवः । विववार वरो वैरं वीरो रविरिवौर्वरः ||</v>
      </c>
      <c r="B7522" s="4" t="s">
        <v>0</v>
      </c>
      <c r="C7522" s="4"/>
    </row>
    <row r="7523" spans="1:3" ht="24" customHeight="1">
      <c r="A7523" s="4" t="str">
        <f ca="1">IFERROR(__xludf.DUMMYFUNCTION("""COMPUTED_VALUE"""),"मुक्तानेकशरं प्रणानहरद्भूयसां द्विषां । तदीयं धनुरन्यस्य न हि सेहे सजीवतां ||")</f>
        <v>मुक्तानेकशरं प्रणानहरद्भूयसां द्विषां । तदीयं धनुरन्यस्य न हि सेहे सजीवतां ||</v>
      </c>
      <c r="B7523" s="4" t="s">
        <v>2</v>
      </c>
      <c r="C7523" s="4"/>
    </row>
    <row r="7524" spans="1:3" ht="24" customHeight="1">
      <c r="A7524" s="4" t="str">
        <f ca="1">IFERROR(__xludf.DUMMYFUNCTION("""COMPUTED_VALUE"""),"राजराजी रुरोजाजेरजिरेऽजोऽजरोऽरजाः । रेजारिजूरजोर्जार्जी रराजर्जुरजर्जरः ||")</f>
        <v>राजराजी रुरोजाजेरजिरेऽजोऽजरोऽरजाः । रेजारिजूरजोर्जार्जी रराजर्जुरजर्जरः ||</v>
      </c>
      <c r="B7524" s="4" t="s">
        <v>0</v>
      </c>
      <c r="C7524" s="4"/>
    </row>
    <row r="7525" spans="1:3" ht="24" customHeight="1">
      <c r="A7525" s="4" t="str">
        <f ca="1">IFERROR(__xludf.DUMMYFUNCTION("""COMPUTED_VALUE"""),"उद्धतान्द्विषतस्तस्य निध्नतो द्वितयं ययुः । पानार्थे रुधिरं धातौ रक्षार्थे भुवनं शराः ||")</f>
        <v>उद्धतान्द्विषतस्तस्य निध्नतो द्वितयं ययुः । पानार्थे रुधिरं धातौ रक्षार्थे भुवनं शराः ||</v>
      </c>
      <c r="B7525" s="4" t="s">
        <v>0</v>
      </c>
      <c r="C7525" s="4"/>
    </row>
    <row r="7526" spans="1:3" ht="24" customHeight="1">
      <c r="A7526" s="4" t="str">
        <f ca="1">IFERROR(__xludf.DUMMYFUNCTION("""COMPUTED_VALUE"""),"क्रूरारिकारि कीरेककारकः कारिकाकरः । कोरकाकारकरकः करीरः कर्करोर्ऽकरुक् ||")</f>
        <v>क्रूरारिकारि कीरेककारकः कारिकाकरः । कोरकाकारकरकः करीरः कर्करोर्ऽकरुक् ||</v>
      </c>
      <c r="B7526" s="4" t="s">
        <v>0</v>
      </c>
      <c r="C7526" s="4"/>
    </row>
    <row r="7527" spans="1:3" ht="24" customHeight="1">
      <c r="A7527" s="4" t="str">
        <f ca="1">IFERROR(__xludf.DUMMYFUNCTION("""COMPUTED_VALUE"""),"विधातुमवतीर्णोऽपि लघिमानमसौ भुवः । अनेकमरिसंघातमकरोद्भूमिवर्धनं ||")</f>
        <v>विधातुमवतीर्णोऽपि लघिमानमसौ भुवः । अनेकमरिसंघातमकरोद्भूमिवर्धनं ||</v>
      </c>
      <c r="B7527" s="4" t="s">
        <v>1</v>
      </c>
      <c r="C7527" s="4"/>
    </row>
    <row r="7528" spans="1:3" ht="24" customHeight="1">
      <c r="A7528" s="4" t="str">
        <f ca="1">IFERROR(__xludf.DUMMYFUNCTION("""COMPUTED_VALUE"""),"दारी दरदरिद्रोऽरिदारूदारोऽद्रिदूरदः । दूरादरौद्राददरद्रोदोरुद्दारुरादरी ||")</f>
        <v>दारी दरदरिद्रोऽरिदारूदारोऽद्रिदूरदः । दूरादरौद्राददरद्रोदोरुद्दारुरादरी ||</v>
      </c>
      <c r="B7528" s="4" t="s">
        <v>0</v>
      </c>
      <c r="C7528" s="4"/>
    </row>
    <row r="7529" spans="1:3" ht="24" customHeight="1">
      <c r="A7529" s="4" t="str">
        <f ca="1">IFERROR(__xludf.DUMMYFUNCTION("""COMPUTED_VALUE"""),"एकेषुणा सङ्घतिथान्द्विषो भिन्दन्द्रुमानिव । स जन्मान्तररामस्य चक्रे सदृशमात्मनः ||")</f>
        <v>एकेषुणा सङ्घतिथान्द्विषो भिन्दन्द्रुमानिव । स जन्मान्तररामस्य चक्रे सदृशमात्मनः ||</v>
      </c>
      <c r="B7529" s="4" t="s">
        <v>1</v>
      </c>
      <c r="C7529" s="4"/>
    </row>
    <row r="7530" spans="1:3" ht="24" customHeight="1">
      <c r="A7530" s="4" t="str">
        <f ca="1">IFERROR(__xludf.DUMMYFUNCTION("""COMPUTED_VALUE"""),"शूरः शौरिरशिशिरैराशाशैराशु राशिशः । शरारुः श्रीशरीरेशः शुशूरेऽरिशिरः शरैः ||")</f>
        <v>शूरः शौरिरशिशिरैराशाशैराशु राशिशः । शरारुः श्रीशरीरेशः शुशूरेऽरिशिरः शरैः ||</v>
      </c>
      <c r="B7530" s="4" t="s">
        <v>0</v>
      </c>
      <c r="C7530" s="4"/>
    </row>
    <row r="7531" spans="1:3" ht="24" customHeight="1">
      <c r="A7531" s="4" t="str">
        <f ca="1">IFERROR(__xludf.DUMMYFUNCTION("""COMPUTED_VALUE"""),"व्क्तासीदरितारिणां यत्तदीयास्तदा मुहुः । मनोहृतोऽपि हृदये लेगुरेषां न पत्रिणः ||")</f>
        <v>व्क्तासीदरितारिणां यत्तदीयास्तदा मुहुः । मनोहृतोऽपि हृदये लेगुरेषां न पत्रिणः ||</v>
      </c>
      <c r="B7531" s="4" t="s">
        <v>7</v>
      </c>
      <c r="C7531" s="4"/>
    </row>
    <row r="7532" spans="1:3" ht="24" customHeight="1">
      <c r="A7532" s="4" t="str">
        <f ca="1">IFERROR(__xludf.DUMMYFUNCTION("""COMPUTED_VALUE"""),"नामाक्षराणां मलना मा भूद्भर्तुरतः स्फुटं । अगृह्णत पराङ्गनामसूनस्रं न मार्गणाः ||")</f>
        <v>नामाक्षराणां मलना मा भूद्भर्तुरतः स्फुटं । अगृह्णत पराङ्गनामसूनस्रं न मार्गणाः ||</v>
      </c>
      <c r="B7532" s="4" t="s">
        <v>7</v>
      </c>
      <c r="C7532" s="4"/>
    </row>
    <row r="7533" spans="1:3" ht="24" customHeight="1">
      <c r="A7533" s="4" t="str">
        <f ca="1">IFERROR(__xludf.DUMMYFUNCTION("""COMPUTED_VALUE"""),"आच्छिद्य योधसार्थस्य प्राणसर्वस्वमाशुगाः । ऐकागारिकवद्भूमौ दूराज्जग्मुरदर्शनं ||")</f>
        <v>आच्छिद्य योधसार्थस्य प्राणसर्वस्वमाशुगाः । ऐकागारिकवद्भूमौ दूराज्जग्मुरदर्शनं ||</v>
      </c>
      <c r="B7533" s="4" t="s">
        <v>1</v>
      </c>
      <c r="C7533" s="4"/>
    </row>
    <row r="7534" spans="1:3" ht="24" customHeight="1">
      <c r="A7534" s="4" t="str">
        <f ca="1">IFERROR(__xludf.DUMMYFUNCTION("""COMPUTED_VALUE"""),"भीमास्त्रराजिनस्तस्य बलस्य ध्वजराजिनः । कृतघोराजिनश्चक्रे भुवः सरुधिरा जिनः ||")</f>
        <v>भीमास्त्रराजिनस्तस्य बलस्य ध्वजराजिनः । कृतघोराजिनश्चक्रे भुवः सरुधिरा जिनः ||</v>
      </c>
      <c r="B7534" s="4" t="s">
        <v>1</v>
      </c>
      <c r="C7534" s="4"/>
    </row>
    <row r="7535" spans="1:3" ht="24" customHeight="1">
      <c r="A7535" s="4" t="str">
        <f ca="1">IFERROR(__xludf.DUMMYFUNCTION("""COMPUTED_VALUE"""),"मांसव्यधोचितमुखैः शून्यतां दधदक्रियं । शकुन्तिभिः शत्रुबलं व्यापि तस्येषुभिर्नभः ||")</f>
        <v>मांसव्यधोचितमुखैः शून्यतां दधदक्रियं । शकुन्तिभिः शत्रुबलं व्यापि तस्येषुभिर्नभः ||</v>
      </c>
      <c r="B7535" s="4" t="s">
        <v>6</v>
      </c>
      <c r="C7535" s="4"/>
    </row>
    <row r="7536" spans="1:3" ht="24" customHeight="1">
      <c r="A7536" s="4" t="str">
        <f ca="1">IFERROR(__xludf.DUMMYFUNCTION("""COMPUTED_VALUE"""),"दाददो दद्ददुद्दादी दादादो दूददीददोः । दुद्दादं दददे दुद्दे ददाददददोऽददः ||")</f>
        <v>दाददो दद्ददुद्दादी दादादो दूददीददोः । दुद्दादं दददे दुद्दे ददाददददोऽददः ||</v>
      </c>
      <c r="B7536" s="4" t="s">
        <v>17</v>
      </c>
      <c r="C7536" s="4"/>
    </row>
    <row r="7537" spans="1:3" ht="24" customHeight="1">
      <c r="A7537" s="4" t="str">
        <f ca="1">IFERROR(__xludf.DUMMYFUNCTION("""COMPUTED_VALUE"""),"प्लुतेभकुम्भोरसिजैर्हृदयक्षतिजन्मभिः । प्रावर्तयन्नदीरस्रैर्द्विषां तद्योषितां च सः ||")</f>
        <v>प्लुतेभकुम्भोरसिजैर्हृदयक्षतिजन्मभिः । प्रावर्तयन्नदीरस्रैर्द्विषां तद्योषितां च सः ||</v>
      </c>
      <c r="B7537" s="4" t="s">
        <v>18</v>
      </c>
      <c r="C7537" s="4"/>
    </row>
    <row r="7538" spans="1:3" ht="24" customHeight="1">
      <c r="A7538" s="4" t="str">
        <f ca="1">IFERROR(__xludf.DUMMYFUNCTION("""COMPUTED_VALUE"""),"सदामदबलप्रायः समुद्धृरसो बभौ । प्रतीतविक्रमः श्रीमन्हारिर्हरिरिवापरः ||")</f>
        <v>सदामदबलप्रायः समुद्धृरसो बभौ । प्रतीतविक्रमः श्रीमन्हारिर्हरिरिवापरः ||</v>
      </c>
      <c r="B7538" s="4" t="s">
        <v>0</v>
      </c>
      <c r="C7538" s="4"/>
    </row>
    <row r="7539" spans="1:3" ht="24" customHeight="1">
      <c r="A7539" s="4" t="str">
        <f ca="1">IFERROR(__xludf.DUMMYFUNCTION("""COMPUTED_VALUE"""),"द्विधा त्रिधा चतुर्धा च तमेकमपि शत्रवः । पश्यन्तः स्पर्धया सद्यः स्वयं पञ्चत्वमाययुः ||")</f>
        <v>द्विधा त्रिधा चतुर्धा च तमेकमपि शत्रवः । पश्यन्तः स्पर्धया सद्यः स्वयं पञ्चत्वमाययुः ||</v>
      </c>
      <c r="B7539" s="4" t="s">
        <v>5</v>
      </c>
      <c r="C7539" s="4"/>
    </row>
    <row r="7540" spans="1:3" ht="24" customHeight="1">
      <c r="A7540" s="4" t="str">
        <f ca="1">IFERROR(__xludf.DUMMYFUNCTION("""COMPUTED_VALUE"""),"सदैव संपन्नवपू रणेषु स दैवसंपन्नवपूरणेषु । महो दधेऽस्तारि महानितान्तं महोदधेस्तारिमहा नितान्तं ||")</f>
        <v>सदैव संपन्नवपू रणेषु स दैवसंपन्नवपूरणेषु । महो दधेऽस्तारि महानितान्तं महोदधेस्तारिमहा नितान्तं ||</v>
      </c>
      <c r="B7540" s="4" t="s">
        <v>2</v>
      </c>
      <c r="C7540" s="4"/>
    </row>
    <row r="7541" spans="1:3" ht="24" customHeight="1">
      <c r="A7541" s="4" t="str">
        <f ca="1">IFERROR(__xludf.DUMMYFUNCTION("""COMPUTED_VALUE"""),"इष्टं कृत्वार्थं पत्रिणः शार्ङ्गपाणेरेत्याध्ॐउख्यं प्रविशन्भूमिमाशु । शुद्धया युक्तानां वैरिवर्गस्य मध्ये भर्त्रा क्षिप्तानामेतदेवानुरूपं ||")</f>
        <v>इष्टं कृत्वार्थं पत्रिणः शार्ङ्गपाणेरेत्याध्ॐउख्यं प्रविशन्भूमिमाशु । शुद्धया युक्तानां वैरिवर्गस्य मध्ये भर्त्रा क्षिप्तानामेतदेवानुरूपं ||</v>
      </c>
      <c r="B7541" s="4" t="s">
        <v>9</v>
      </c>
      <c r="C7541" s="4"/>
    </row>
    <row r="7542" spans="1:3" ht="24" customHeight="1">
      <c r="A7542" s="4" t="str">
        <f ca="1">IFERROR(__xludf.DUMMYFUNCTION("""COMPUTED_VALUE"""),"सत्वं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||")</f>
        <v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||</v>
      </c>
      <c r="B7542" s="4" t="s">
        <v>0</v>
      </c>
      <c r="C7542" s="4"/>
    </row>
    <row r="7543" spans="1:3" ht="24" customHeight="1">
      <c r="A7543" s="4" t="str">
        <f ca="1">IFERROR(__xludf.DUMMYFUNCTION("""COMPUTED_VALUE"""),"मुखमुल्लसितत्रिरेखमुच्चैर्भिदुरभ्रूयुगभीषणं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||")</f>
        <v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||</v>
      </c>
      <c r="B7543" s="4" t="s">
        <v>0</v>
      </c>
      <c r="C7543" s="4"/>
    </row>
    <row r="7544" spans="1:3" ht="24" customHeight="1">
      <c r="A7544" s="4" t="str">
        <f ca="1">IFERROR(__xludf.DUMMYFUNCTION("""COMPUTED_VALUE"""),"शितचक्रनिपातसंप्रतीक्ष्यं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||")</f>
        <v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||</v>
      </c>
      <c r="B7544" s="4" t="s">
        <v>5</v>
      </c>
      <c r="C7544" s="4"/>
    </row>
    <row r="7545" spans="1:3" ht="24" customHeight="1">
      <c r="A7545" s="4" t="str">
        <f ca="1">IFERROR(__xludf.DUMMYFUNCTION("""COMPUTED_VALUE"""),"अभिचैद्यमगाद्रथोऽपि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||")</f>
        <v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||</v>
      </c>
      <c r="B7545" s="4" t="s">
        <v>9</v>
      </c>
      <c r="C7545" s="4"/>
    </row>
    <row r="7546" spans="1:3" ht="24" customHeight="1">
      <c r="A7546" s="4" t="str">
        <f ca="1">IFERROR(__xludf.DUMMYFUNCTION("""COMPUTED_VALUE"""),"स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||")</f>
        <v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||</v>
      </c>
      <c r="B7546" s="4" t="s">
        <v>5</v>
      </c>
      <c r="C7546" s="4"/>
    </row>
    <row r="7547" spans="1:3" ht="24" customHeight="1">
      <c r="A7547" s="4" t="str">
        <f ca="1">IFERROR(__xludf.DUMMYFUNCTION("""COMPUTED_VALUE"""),"सजलाम्बुधरारवानुकारी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||")</f>
        <v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||</v>
      </c>
      <c r="B7547" s="4" t="s">
        <v>4</v>
      </c>
      <c r="C7547" s="4"/>
    </row>
    <row r="7548" spans="1:3" ht="24" customHeight="1">
      <c r="A7548" s="4" t="str">
        <f ca="1">IFERROR(__xludf.DUMMYFUNCTION("""COMPUTED_VALUE"""),"अभिवीक्ष्य विदर्भराजपुत्रीकुचकाश्मीरजचिह्नमच्युतोरः । चिरसेवितयापि चेदिराजः सहसावाप रुषा तदैव योगं ||")</f>
        <v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||</v>
      </c>
      <c r="B7548" s="4" t="s">
        <v>15</v>
      </c>
      <c r="C7548" s="4"/>
    </row>
    <row r="7549" spans="1:3" ht="24" customHeight="1">
      <c r="A7549" s="4" t="str">
        <f ca="1">IFERROR(__xludf.DUMMYFUNCTION("""COMPUTED_VALUE"""),"जनिताशनिशब्दशङ्कमुच्चैर्धनुरास्फालितमध्वनन्नृपेण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||")</f>
        <v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||</v>
      </c>
      <c r="B7549" s="4" t="s">
        <v>5</v>
      </c>
      <c r="C7549" s="4"/>
    </row>
    <row r="7550" spans="1:3" ht="24" customHeight="1">
      <c r="A7550" s="4" t="str">
        <f ca="1">IFERROR(__xludf.DUMMYFUNCTION("""COMPUTED_VALUE"""),"समकालमिवाभिलक्षणीयग्रहसंधानविकर्षणापवर्गैः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तिरस्कर्तुमुपेन्द्रमध्यवर्षथ् ||")</f>
        <v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तिरस्कर्तुमुपेन्द्रमध्यवर्षथ् ||</v>
      </c>
      <c r="B7550" s="4" t="s">
        <v>13</v>
      </c>
      <c r="C7550" s="4"/>
    </row>
    <row r="7551" spans="1:3" ht="24" customHeight="1">
      <c r="A7551" s="4" t="str">
        <f ca="1">IFERROR(__xludf.DUMMYFUNCTION("""COMPUTED_VALUE"""),"ऋजुताफलयोगशुद्धिभाजां गुरुपक्षाश्रयिणां शिलीमुखानां । गुणिना नतिमागतेन सन्धिः सह चापेन समञ्जसो बभूव ||")</f>
        <v>ऋजुताफलयोगशुद्धिभाजां गुरुपक्षाश्रयिणां शिलीमुखानां । गुणिना नतिमागतेन सन्धिः सह चापेन समञ्जसो बभूव ||</v>
      </c>
      <c r="B7551" s="4" t="s">
        <v>4</v>
      </c>
      <c r="C7551" s="4"/>
    </row>
    <row r="7552" spans="1:3" ht="24" customHeight="1">
      <c r="A7552" s="4" t="str">
        <f ca="1">IFERROR(__xludf.DUMMYFUNCTION("""COMPUTED_VALUE"""),"अविषह्यतमे कृताधिकारं वशिना कर्मणि चेदिपार्थिवेन । अरसद्धनुरुच्चकैदृढार्तिप्रसभाकर्षणवेपमानजीवं ||")</f>
        <v>अविषह्यतमे कृताधिकारं वशिना कर्मणि चेदिपार्थिवेन । अरसद्धनुरुच्चकैदृढार्तिप्रसभाकर्षणवेपमानजीवं ||</v>
      </c>
      <c r="B7552" s="4" t="s">
        <v>4</v>
      </c>
      <c r="C7552" s="4"/>
    </row>
    <row r="7553" spans="1:3" ht="24" customHeight="1">
      <c r="A7553" s="4" t="str">
        <f ca="1">IFERROR(__xludf.DUMMYFUNCTION("""COMPUTED_VALUE"""),"अनुसन्ततिपातिनः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||")</f>
        <v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||</v>
      </c>
      <c r="B7553" s="4" t="s">
        <v>0</v>
      </c>
      <c r="C7553" s="4"/>
    </row>
    <row r="7554" spans="1:3" ht="24" customHeight="1">
      <c r="A7554" s="4" t="str">
        <f ca="1">IFERROR(__xludf.DUMMYFUNCTION("""COMPUTED_VALUE"""),"गवलासितकान्ति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||")</f>
        <v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||</v>
      </c>
      <c r="B7554" s="4" t="s">
        <v>1</v>
      </c>
      <c r="C7554" s="4"/>
    </row>
    <row r="7555" spans="1:3" ht="24" customHeight="1">
      <c r="A7555" s="4" t="str">
        <f ca="1">IFERROR(__xludf.DUMMYFUNCTION("""COMPUTED_VALUE"""),"तडिदुज्ज्वलजातरूपपुङ्खैः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||")</f>
        <v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||</v>
      </c>
      <c r="B7555" s="4" t="s">
        <v>28</v>
      </c>
      <c r="C7555" s="4"/>
    </row>
    <row r="7556" spans="1:3" ht="24" customHeight="1">
      <c r="A7556" s="4" t="str">
        <f ca="1">IFERROR(__xludf.DUMMYFUNCTION("""COMPUTED_VALUE"""),"शितशल्यमुखावदीर्णमेघक्षरदम्भः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||")</f>
        <v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||</v>
      </c>
      <c r="B7556" s="4" t="s">
        <v>14</v>
      </c>
      <c r="C7556" s="4"/>
    </row>
    <row r="7557" spans="1:3" ht="24" customHeight="1">
      <c r="A7557" s="4" t="str">
        <f ca="1">IFERROR(__xludf.DUMMYFUNCTION("""COMPUTED_VALUE"""),"अमनोरमतां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||")</f>
        <v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||</v>
      </c>
      <c r="B7557" s="4" t="s">
        <v>0</v>
      </c>
      <c r="C7557" s="4"/>
    </row>
    <row r="7558" spans="1:3" ht="24" customHeight="1">
      <c r="A7558" s="4" t="str">
        <f ca="1">IFERROR(__xludf.DUMMYFUNCTION("""COMPUTED_VALUE"""),"विनिवारितभानुतापमेकं सकलस्यापि मुरद्विषो बलस्य । शरजालमयं समं समन्तादुरु सद्मेव नराधिपेन तेने ||")</f>
        <v>विनिवारितभानुतापमेकं सकलस्यापि मुरद्विषो बलस्य । शरजालमयं समं समन्तादुरु सद्मेव नराधिपेन तेने ||</v>
      </c>
      <c r="B7558" s="4" t="s">
        <v>1</v>
      </c>
      <c r="C7558" s="4"/>
    </row>
    <row r="7559" spans="1:3" ht="24" customHeight="1">
      <c r="A7559" s="4" t="str">
        <f ca="1">IFERROR(__xludf.DUMMYFUNCTION("""COMPUTED_VALUE"""),"इति चेदिमहीभृता तदानीं तदनीकं दनुसूनुसूदनस्य । वयसमिव चक्रमक्रियाकं परितोऽरोधि विपाटपञ्चरेण ||")</f>
        <v>इति चेदिमहीभृता तदानीं तदनीकं दनुसूनुसूदनस्य । वयसमिव चक्रमक्रियाकं परितोऽरोधि विपाटपञ्चरेण ||</v>
      </c>
      <c r="B7559" s="4" t="s">
        <v>7</v>
      </c>
      <c r="C7559" s="4"/>
    </row>
    <row r="7560" spans="1:3" ht="24" customHeight="1">
      <c r="A7560" s="4" t="str">
        <f ca="1">IFERROR(__xludf.DUMMYFUNCTION("""COMPUTED_VALUE"""),"इषुवर्षमनेकमेकवीरस्तदरिप्रच्युतमच्युतः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||")</f>
        <v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||</v>
      </c>
      <c r="B7560" s="4" t="s">
        <v>7</v>
      </c>
      <c r="C7560" s="4"/>
    </row>
    <row r="7561" spans="1:3" ht="24" customHeight="1">
      <c r="A7561" s="4" t="str">
        <f ca="1">IFERROR(__xludf.DUMMYFUNCTION("""COMPUTED_VALUE"""),"प्रतिकुञ्चितकूर्परेण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||")</f>
        <v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||</v>
      </c>
      <c r="B7561" s="4" t="s">
        <v>16</v>
      </c>
      <c r="C7561" s="4"/>
    </row>
    <row r="7562" spans="1:3" ht="24" customHeight="1">
      <c r="A7562" s="4" t="str">
        <f ca="1">IFERROR(__xludf.DUMMYFUNCTION("""COMPUTED_VALUE"""),"उरसा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||")</f>
        <v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||</v>
      </c>
      <c r="B7562" s="4" t="s">
        <v>4</v>
      </c>
      <c r="C7562" s="4"/>
    </row>
    <row r="7563" spans="1:3" ht="24" customHeight="1">
      <c r="A7563" s="4" t="str">
        <f ca="1">IFERROR(__xludf.DUMMYFUNCTION("""COMPUTED_VALUE"""),"ध्वनतो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||")</f>
        <v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||</v>
      </c>
      <c r="B7563" s="4" t="s">
        <v>0</v>
      </c>
      <c r="C7563" s="4"/>
    </row>
    <row r="7564" spans="1:3" ht="24" customHeight="1">
      <c r="A7564" s="4" t="str">
        <f ca="1">IFERROR(__xludf.DUMMYFUNCTION("""COMPUTED_VALUE"""),"शिखरोन्नतनिष्ठुरांसपीठः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||")</f>
        <v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||</v>
      </c>
      <c r="B7564" s="4" t="s">
        <v>24</v>
      </c>
      <c r="C7564" s="4"/>
    </row>
    <row r="7565" spans="1:3" ht="24" customHeight="1">
      <c r="A7565" s="4" t="str">
        <f ca="1">IFERROR(__xludf.DUMMYFUNCTION("""COMPUTED_VALUE"""),"तमकुण्ठमुखाः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||")</f>
        <v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||</v>
      </c>
      <c r="B7565" s="4" t="s">
        <v>7</v>
      </c>
      <c r="C7565" s="4"/>
    </row>
    <row r="7566" spans="1:3" ht="24" customHeight="1">
      <c r="A7566" s="4" t="str">
        <f ca="1">IFERROR(__xludf.DUMMYFUNCTION("""COMPUTED_VALUE"""),"दयितैरिव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||")</f>
        <v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||</v>
      </c>
      <c r="B7566" s="4" t="s">
        <v>2</v>
      </c>
      <c r="C7566" s="4"/>
    </row>
    <row r="7567" spans="1:3" ht="24" customHeight="1">
      <c r="A7567" s="4" t="str">
        <f ca="1">IFERROR(__xludf.DUMMYFUNCTION("""COMPUTED_VALUE"""),"प्रमुखेऽभिहताश्च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||")</f>
        <v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||</v>
      </c>
      <c r="B7567" s="4" t="s">
        <v>5</v>
      </c>
      <c r="C7567" s="4"/>
    </row>
    <row r="7568" spans="1:3" ht="24" customHeight="1">
      <c r="A7568" s="4" t="str">
        <f ca="1">IFERROR(__xludf.DUMMYFUNCTION("""COMPUTED_VALUE"""),"इतरेतरत्सन्निकर्षजन्मा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||")</f>
        <v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||</v>
      </c>
      <c r="B7568" s="4" t="s">
        <v>1</v>
      </c>
      <c r="C7568" s="4"/>
    </row>
    <row r="7569" spans="1:3" ht="24" customHeight="1">
      <c r="A7569" s="4" t="str">
        <f ca="1">IFERROR(__xludf.DUMMYFUNCTION("""COMPUTED_VALUE"""),"शरदीव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||")</f>
        <v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||</v>
      </c>
      <c r="B7569" s="4" t="s">
        <v>5</v>
      </c>
      <c r="C7569" s="4"/>
    </row>
    <row r="7570" spans="1:3" ht="24" customHeight="1">
      <c r="A7570" s="4" t="str">
        <f ca="1">IFERROR(__xludf.DUMMYFUNCTION("""COMPUTED_VALUE"""),"स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||")</f>
        <v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||</v>
      </c>
      <c r="B7570" s="4" t="s">
        <v>23</v>
      </c>
      <c r="C7570" s="4"/>
    </row>
    <row r="7571" spans="1:3" ht="24" customHeight="1">
      <c r="A7571" s="4" t="str">
        <f ca="1">IFERROR(__xludf.DUMMYFUNCTION("""COMPUTED_VALUE"""),"भवति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त्ॐअरौघः ||")</f>
        <v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त्ॐअरौघः ||</v>
      </c>
      <c r="B7571" s="4" t="s">
        <v>28</v>
      </c>
      <c r="C7571" s="4"/>
    </row>
    <row r="7572" spans="1:3" ht="24" customHeight="1">
      <c r="A7572" s="4" t="str">
        <f ca="1">IFERROR(__xludf.DUMMYFUNCTION("""COMPUTED_VALUE"""),"गुरुवेगविराविभिः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||")</f>
        <v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||</v>
      </c>
      <c r="B7572" s="4" t="s">
        <v>2</v>
      </c>
      <c r="C7572" s="4"/>
    </row>
    <row r="7573" spans="1:3" ht="24" customHeight="1">
      <c r="A7573" s="4" t="str">
        <f ca="1">IFERROR(__xludf.DUMMYFUNCTION("""COMPUTED_VALUE"""),"शतशः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||")</f>
        <v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||</v>
      </c>
      <c r="B7573" s="4" t="s">
        <v>1</v>
      </c>
      <c r="C7573" s="4"/>
    </row>
    <row r="7574" spans="1:3" ht="24" customHeight="1">
      <c r="A7574" s="4" t="str">
        <f ca="1">IFERROR(__xludf.DUMMYFUNCTION("""COMPUTED_VALUE"""),"विहिताद्भुतलोकसृष्टिमाये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||")</f>
        <v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||</v>
      </c>
      <c r="B7574" s="4" t="s">
        <v>0</v>
      </c>
      <c r="C7574" s="4"/>
    </row>
    <row r="7575" spans="1:3" ht="24" customHeight="1">
      <c r="A7575" s="4" t="str">
        <f ca="1">IFERROR(__xludf.DUMMYFUNCTION("""COMPUTED_VALUE"""),"सलिलार्द्रवराहदेहनीलो विदधद्भास्करमर्थशून्यसंज्ञं । प्रचलायतलोचनारविन्दं विदधे तद्बलमन्धकारः ||")</f>
        <v>सलिलार्द्रवराहदेहनीलो विदधद्भास्करमर्थशून्यसंज्ञं । प्रचलायतलोचनारविन्दं विदधे तद्बलमन्धकारः ||</v>
      </c>
      <c r="B7575" s="4" t="s">
        <v>0</v>
      </c>
      <c r="C7575" s="4"/>
    </row>
    <row r="7576" spans="1:3" ht="24" customHeight="1">
      <c r="A7576" s="4" t="str">
        <f ca="1">IFERROR(__xludf.DUMMYFUNCTION("""COMPUTED_VALUE"""),"गुरवोऽपि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||")</f>
        <v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||</v>
      </c>
      <c r="B7576" s="4" t="s">
        <v>7</v>
      </c>
      <c r="C7576" s="4"/>
    </row>
    <row r="7577" spans="1:3" ht="24" customHeight="1">
      <c r="A7577" s="4" t="str">
        <f ca="1">IFERROR(__xludf.DUMMYFUNCTION("""COMPUTED_VALUE"""),"श्लथतां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||")</f>
        <v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||</v>
      </c>
      <c r="B7577" s="4" t="s">
        <v>7</v>
      </c>
      <c r="C7577" s="4"/>
    </row>
    <row r="7578" spans="1:3" ht="24" customHeight="1">
      <c r="A7578" s="4" t="str">
        <f ca="1">IFERROR(__xludf.DUMMYFUNCTION("""COMPUTED_VALUE"""),"उचितस्वपनोऽपि नीरराशौ स्वबलाम्भोनिधिमध्यगस्तदीनीं । भुवनत्रयकार्यजागरूकः स परं तत्र परः पुमानजागः ||")</f>
        <v>उचितस्वपनोऽपि नीरराशौ स्वबलाम्भोनिधिमध्यगस्तदीनीं । भुवनत्रयकार्यजागरूकः स परं तत्र परः पुमानजागः ||</v>
      </c>
      <c r="B7578" s="4" t="s">
        <v>15</v>
      </c>
      <c r="C7578" s="4"/>
    </row>
    <row r="7579" spans="1:3" ht="24" customHeight="1">
      <c r="A7579" s="4" t="str">
        <f ca="1">IFERROR(__xludf.DUMMYFUNCTION("""COMPUTED_VALUE"""),"अथसूर्यरुचीव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||")</f>
        <v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||</v>
      </c>
      <c r="B7579" s="4" t="s">
        <v>18</v>
      </c>
      <c r="C7579" s="4"/>
    </row>
    <row r="7580" spans="1:3" ht="24" customHeight="1">
      <c r="A7580" s="4" t="str">
        <f ca="1">IFERROR(__xludf.DUMMYFUNCTION("""COMPUTED_VALUE"""),"महतः प्रणतेष्विव प्रसादः स मणेरंशुचयः ककुंमुखेषु । व्यकसद्विकसद्विलोचनेभ्यो दददालोकमनाविलं बलेभ्यः ||")</f>
        <v>महतः प्रणतेष्विव प्रसादः स मणेरंशुचयः ककुंमुखेषु । व्यकसद्विकसद्विलोचनेभ्यो दददालोकमनाविलं बलेभ्यः ||</v>
      </c>
      <c r="B7580" s="4" t="s">
        <v>5</v>
      </c>
      <c r="C7580" s="4"/>
    </row>
    <row r="7581" spans="1:3" ht="24" customHeight="1">
      <c r="A7581" s="4" t="str">
        <f ca="1">IFERROR(__xludf.DUMMYFUNCTION("""COMPUTED_VALUE"""),"प्रकृतिं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||")</f>
        <v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||</v>
      </c>
      <c r="B7581" s="4" t="s">
        <v>19</v>
      </c>
      <c r="C7581" s="4"/>
    </row>
    <row r="7582" spans="1:3" ht="24" customHeight="1">
      <c r="A7582" s="4" t="str">
        <f ca="1">IFERROR(__xludf.DUMMYFUNCTION("""COMPUTED_VALUE"""),"घनसंतमसैर्जवेन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प्रभाणां ||")</f>
        <v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प्रभाणां ||</v>
      </c>
      <c r="B7582" s="4" t="s">
        <v>7</v>
      </c>
      <c r="C7582" s="4"/>
    </row>
    <row r="7583" spans="1:3" ht="24" customHeight="1">
      <c r="A7583" s="4" t="str">
        <f ca="1">IFERROR(__xludf.DUMMYFUNCTION("""COMPUTED_VALUE"""),"व्यवहार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||")</f>
        <v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||</v>
      </c>
      <c r="B7583" s="4" t="s">
        <v>5</v>
      </c>
      <c r="C7583" s="4"/>
    </row>
    <row r="7584" spans="1:3" ht="24" customHeight="1">
      <c r="A7584" s="4" t="str">
        <f ca="1">IFERROR(__xludf.DUMMYFUNCTION("""COMPUTED_VALUE"""),"पृथुदर्विभृतस्ततः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||")</f>
        <v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||</v>
      </c>
      <c r="B7584" s="4" t="s">
        <v>4</v>
      </c>
      <c r="C7584" s="4"/>
    </row>
    <row r="7585" spans="1:3" ht="24" customHeight="1">
      <c r="A7585" s="4" t="str">
        <f ca="1">IFERROR(__xludf.DUMMYFUNCTION("""COMPUTED_VALUE"""),"कृतकेशविडम्बनैर्विहायो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||")</f>
        <v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||</v>
      </c>
      <c r="B7585" s="4" t="s">
        <v>5</v>
      </c>
      <c r="C7585" s="4"/>
    </row>
    <row r="7586" spans="1:3" ht="24" customHeight="1">
      <c r="A7586" s="4" t="str">
        <f ca="1">IFERROR(__xludf.DUMMYFUNCTION("""COMPUTED_VALUE"""),"दधतस्तनिमानमानपूर्व्या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||")</f>
        <v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||</v>
      </c>
      <c r="B7586" s="4" t="s">
        <v>16</v>
      </c>
      <c r="C7586" s="4"/>
    </row>
    <row r="7587" spans="1:3" ht="24" customHeight="1">
      <c r="A7587" s="4" t="str">
        <f ca="1">IFERROR(__xludf.DUMMYFUNCTION("""COMPUTED_VALUE"""),"सविषश्वसनोद्धतोरुधूमव्यवधिम्लानमरीचि पन्नगानां । उपरागवतेव तिग्मभासा वपुरौदुम्बरमण्डलाभमूहे ||")</f>
        <v>सविषश्वसनोद्धतोरुधूमव्यवधिम्लानमरीचि पन्नगानां । उपरागवतेव तिग्मभासा वपुरौदुम्बरमण्डलाभमूहे ||</v>
      </c>
      <c r="B7587" s="4" t="s">
        <v>24</v>
      </c>
      <c r="C7587" s="4"/>
    </row>
    <row r="7588" spans="1:3" ht="24" customHeight="1">
      <c r="A7588" s="4" t="str">
        <f ca="1">IFERROR(__xludf.DUMMYFUNCTION("""COMPUTED_VALUE"""),"शिखिपिच्छकृतध्वजावचूडक्षणसाशङ्कविवर्तमानभोगाः । यमपाशवदाशुबन्धनाय न्यपतन्वृष्णिगणेषु लेलिहानाः ||")</f>
        <v>शिखिपिच्छकृतध्वजावचूडक्षणसाशङ्कविवर्तमानभोगाः । यमपाशवदाशुबन्धनाय न्यपतन्वृष्णिगणेषु लेलिहानाः ||</v>
      </c>
      <c r="B7588" s="4" t="s">
        <v>1</v>
      </c>
      <c r="C7588" s="4"/>
    </row>
    <row r="7589" spans="1:3" ht="24" customHeight="1">
      <c r="A7589" s="4" t="str">
        <f ca="1">IFERROR(__xludf.DUMMYFUNCTION("""COMPUTED_VALUE"""),"पृथुवारिधिवीचिमण्डलान्तर्विलसत्फेनवितानपाण्डुराणि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||")</f>
        <v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||</v>
      </c>
      <c r="B7589" s="4" t="s">
        <v>1</v>
      </c>
      <c r="C7589" s="4"/>
    </row>
    <row r="7590" spans="1:3" ht="24" customHeight="1">
      <c r="A7590" s="4" t="str">
        <f ca="1">IFERROR(__xludf.DUMMYFUNCTION("""COMPUTED_VALUE"""),"कृतमण्डलबन्धमुल्लसद्भिः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||")</f>
        <v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||</v>
      </c>
      <c r="B7590" s="4" t="s">
        <v>4</v>
      </c>
      <c r="C7590" s="4"/>
    </row>
    <row r="7591" spans="1:3" ht="24" customHeight="1">
      <c r="A7591" s="4" t="str">
        <f ca="1">IFERROR(__xludf.DUMMYFUNCTION("""COMPUTED_VALUE"""),"परिवेष्टितमूर्तयश्च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महीरुहाणां ||")</f>
        <v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महीरुहाणां ||</v>
      </c>
      <c r="B7591" s="4" t="s">
        <v>7</v>
      </c>
      <c r="C7591" s="4"/>
    </row>
    <row r="7592" spans="1:3" ht="24" customHeight="1">
      <c r="A7592" s="4" t="str">
        <f ca="1">IFERROR(__xludf.DUMMYFUNCTION("""COMPUTED_VALUE"""),"बहुलाञ्जनपङ्कपट्टनीलद्युतयो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||")</f>
        <v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||</v>
      </c>
      <c r="B7592" s="4" t="s">
        <v>11</v>
      </c>
      <c r="C7592" s="4"/>
    </row>
    <row r="7593" spans="1:3" ht="24" customHeight="1">
      <c r="A7593" s="4" t="str">
        <f ca="1">IFERROR(__xludf.DUMMYFUNCTION("""COMPUTED_VALUE"""),"प्रसृतं रभसादयोभिनीला प्रतिपदं परितोऽभिवेष्टयन्ती । तनुरायतिशालिनी महाहेर्गजमन्दुरिव निश्चलं चकार ||")</f>
        <v>प्रसृतं रभसादयोभिनीला प्रतिपदं परितोऽभिवेष्टयन्ती । तनुरायतिशालिनी महाहेर्गजमन्दुरिव निश्चलं चकार ||</v>
      </c>
      <c r="B7593" s="4" t="s">
        <v>0</v>
      </c>
      <c r="C7593" s="4"/>
    </row>
    <row r="7594" spans="1:3" ht="24" customHeight="1">
      <c r="A7594" s="4" t="str">
        <f ca="1">IFERROR(__xludf.DUMMYFUNCTION("""COMPUTED_VALUE"""),"अथ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||")</f>
        <v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||</v>
      </c>
      <c r="B7594" s="4" t="s">
        <v>3</v>
      </c>
      <c r="C7594" s="4"/>
    </row>
    <row r="7595" spans="1:3" ht="24" customHeight="1">
      <c r="A7595" s="4" t="str">
        <f ca="1">IFERROR(__xludf.DUMMYFUNCTION("""COMPUTED_VALUE"""),"द्रुतहेमरुचः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||")</f>
        <v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||</v>
      </c>
      <c r="B7595" s="4" t="s">
        <v>15</v>
      </c>
      <c r="C7595" s="4"/>
    </row>
    <row r="7596" spans="1:3" ht="24" customHeight="1">
      <c r="A7596" s="4" t="str">
        <f ca="1">IFERROR(__xludf.DUMMYFUNCTION("""COMPUTED_VALUE"""),"उपमानमलाभि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||")</f>
        <v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||</v>
      </c>
      <c r="B7596" s="4" t="s">
        <v>7</v>
      </c>
      <c r="C7596" s="4"/>
    </row>
    <row r="7597" spans="1:3" ht="24" customHeight="1">
      <c r="A7597" s="4" t="str">
        <f ca="1">IFERROR(__xludf.DUMMYFUNCTION("""COMPUTED_VALUE"""),"पततां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||")</f>
        <v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||</v>
      </c>
      <c r="B7597" s="4" t="s">
        <v>8</v>
      </c>
      <c r="C7597" s="4"/>
    </row>
    <row r="7598" spans="1:3" ht="24" customHeight="1">
      <c r="A7598" s="4" t="str">
        <f ca="1">IFERROR(__xludf.DUMMYFUNCTION("""COMPUTED_VALUE"""),"दधुरम्बुधिमन्थनाद्रिमन्थभ्रमणायस्तफणीन्द्रपित्तजानां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||")</f>
        <v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||</v>
      </c>
      <c r="B7598" s="4" t="s">
        <v>1</v>
      </c>
      <c r="C7598" s="4"/>
    </row>
    <row r="7599" spans="1:3" ht="24" customHeight="1">
      <c r="A7599" s="4" t="str">
        <f ca="1">IFERROR(__xludf.DUMMYFUNCTION("""COMPUTED_VALUE"""),"अभितः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||")</f>
        <v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||</v>
      </c>
      <c r="B7599" s="4" t="s">
        <v>12</v>
      </c>
      <c r="C7599" s="4"/>
    </row>
    <row r="7600" spans="1:3" ht="24" customHeight="1">
      <c r="A7600" s="4" t="str">
        <f ca="1">IFERROR(__xludf.DUMMYFUNCTION("""COMPUTED_VALUE"""),"प्रचलत्पतगेन्द्रपत्रवातप्रसभोन्मूलितशैलदत्तमार्गैः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||")</f>
        <v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||</v>
      </c>
      <c r="B7600" s="4" t="s">
        <v>12</v>
      </c>
      <c r="C7600" s="4"/>
    </row>
    <row r="7601" spans="1:3" ht="24" customHeight="1">
      <c r="A7601" s="4" t="str">
        <f ca="1">IFERROR(__xludf.DUMMYFUNCTION("""COMPUTED_VALUE"""),"खचरैः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||")</f>
        <v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||</v>
      </c>
      <c r="B7601" s="4" t="s">
        <v>0</v>
      </c>
      <c r="C7601" s="4"/>
    </row>
    <row r="7602" spans="1:3" ht="24" customHeight="1">
      <c r="A7602" s="4" t="str">
        <f ca="1">IFERROR(__xludf.DUMMYFUNCTION("""COMPUTED_VALUE"""),"सहसा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||")</f>
        <v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||</v>
      </c>
      <c r="B7602" s="4" t="s">
        <v>1</v>
      </c>
      <c r="C7602" s="4"/>
    </row>
    <row r="7603" spans="1:3" ht="24" customHeight="1">
      <c r="A7603" s="4" t="str">
        <f ca="1">IFERROR(__xludf.DUMMYFUNCTION("""COMPUTED_VALUE"""),"चलितोद्धतधूमकेतनोऽसौ रभसादम्बररोहिरोहिताश्वः । द्रुतमारुतसारथिः शिखावान्कनकस्यन्दनसुन्दरश्चचाल ||")</f>
        <v>चलितोद्धतधूमकेतनोऽसौ रभसादम्बररोहिरोहिताश्वः । द्रुतमारुतसारथिः शिखावान्कनकस्यन्दनसुन्दरश्चचाल ||</v>
      </c>
      <c r="B7603" s="4" t="s">
        <v>11</v>
      </c>
      <c r="C7603" s="4"/>
    </row>
    <row r="7604" spans="1:3" ht="24" customHeight="1">
      <c r="A7604" s="4" t="str">
        <f ca="1">IFERROR(__xludf.DUMMYFUNCTION("""COMPUTED_VALUE"""),"ज्वलदम्बरकोटरान्तरालं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||")</f>
        <v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||</v>
      </c>
      <c r="B7604" s="4" t="s">
        <v>17</v>
      </c>
      <c r="C7604" s="4"/>
    </row>
    <row r="7605" spans="1:3" ht="24" customHeight="1">
      <c r="A7605" s="4" t="str">
        <f ca="1">IFERROR(__xludf.DUMMYFUNCTION("""COMPUTED_VALUE"""),"गुरुतापविशुष्यदम्बुशुभ्राः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||")</f>
        <v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||</v>
      </c>
      <c r="B7605" s="4" t="s">
        <v>24</v>
      </c>
      <c r="C7605" s="4"/>
    </row>
    <row r="7606" spans="1:3" ht="24" customHeight="1">
      <c r="A7606" s="4" t="str">
        <f ca="1">IFERROR(__xludf.DUMMYFUNCTION("""COMPUTED_VALUE"""),"ज्वलितानललोलपल्लवान्ताः स्फुरदष्टापदपत्रपीतभासः । क्षणमात्रभवामभावकाले सुतरामापुरिवायतिं पताकाः ||")</f>
        <v>ज्वलितानललोलपल्लवान्ताः स्फुरदष्टापदपत्रपीतभासः । क्षणमात्रभवामभावकाले सुतरामापुरिवायतिं पताकाः ||</v>
      </c>
      <c r="B7606" s="4" t="s">
        <v>19</v>
      </c>
      <c r="C7606" s="4"/>
    </row>
    <row r="7607" spans="1:3" ht="24" customHeight="1">
      <c r="A7607" s="4" t="str">
        <f ca="1">IFERROR(__xludf.DUMMYFUNCTION("""COMPUTED_VALUE"""),"निखिलामिति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||")</f>
        <v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||</v>
      </c>
      <c r="B7607" s="4" t="s">
        <v>0</v>
      </c>
      <c r="C7607" s="4"/>
    </row>
    <row r="7608" spans="1:3" ht="24" customHeight="1">
      <c r="A7608" s="4" t="str">
        <f ca="1">IFERROR(__xludf.DUMMYFUNCTION("""COMPUTED_VALUE"""),"चतुरम्बुधिगर्भधीरकुक्षेर्वपुषः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||")</f>
        <v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||</v>
      </c>
      <c r="B7608" s="4" t="s">
        <v>5</v>
      </c>
      <c r="C7608" s="4"/>
    </row>
    <row r="7609" spans="1:3" ht="24" customHeight="1">
      <c r="A7609" s="4" t="str">
        <f ca="1">IFERROR(__xludf.DUMMYFUNCTION("""COMPUTED_VALUE"""),"ककुभः कृतनादमास्तृणन्तस्तिरयन्तः पटलानि भानुभासं । उदनंसिषुरभ्रमभ्रसङ्घाः सपदि श्यामलिमानमानयन्तः ||")</f>
        <v>ककुभः कृतनादमास्तृणन्तस्तिरयन्तः पटलानि भानुभासं । उदनंसिषुरभ्रमभ्रसङ्घाः सपदि श्यामलिमानमानयन्तः ||</v>
      </c>
      <c r="B7609" s="4" t="s">
        <v>2</v>
      </c>
      <c r="C7609" s="4"/>
    </row>
    <row r="7610" spans="1:3" ht="24" customHeight="1">
      <c r="A7610" s="4" t="str">
        <f ca="1">IFERROR(__xludf.DUMMYFUNCTION("""COMPUTED_VALUE"""),"तपनीयनिकर्षराजिगौरस्फुरदुत्तालतडिच्छटाट्टहासं । अनुबद्धसमुद्धताम्बुवाहध्वनिताडम्बरमम्बरं बभूव ||")</f>
        <v>तपनीयनिकर्षराजिगौरस्फुरदुत्तालतडिच्छटाट्टहासं । अनुबद्धसमुद्धताम्बुवाहध्वनिताडम्बरमम्बरं बभूव ||</v>
      </c>
      <c r="B7610" s="4" t="s">
        <v>4</v>
      </c>
      <c r="C7610" s="4"/>
    </row>
    <row r="7611" spans="1:3" ht="24" customHeight="1">
      <c r="A7611" s="4" t="str">
        <f ca="1">IFERROR(__xludf.DUMMYFUNCTION("""COMPUTED_VALUE"""),"सवितुः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||")</f>
        <v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||</v>
      </c>
      <c r="B7611" s="4" t="s">
        <v>2</v>
      </c>
      <c r="C7611" s="4"/>
    </row>
    <row r="7612" spans="1:3" ht="24" customHeight="1">
      <c r="A7612" s="4" t="str">
        <f ca="1">IFERROR(__xludf.DUMMYFUNCTION("""COMPUTED_VALUE"""),"ज्वलतः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||")</f>
        <v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||</v>
      </c>
      <c r="B7612" s="4" t="s">
        <v>24</v>
      </c>
      <c r="C7612" s="4"/>
    </row>
    <row r="7613" spans="1:3" ht="24" customHeight="1">
      <c r="A7613" s="4" t="str">
        <f ca="1">IFERROR(__xludf.DUMMYFUNCTION("""COMPUTED_VALUE"""),"मधुरैरपि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||")</f>
        <v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||</v>
      </c>
      <c r="B7613" s="4" t="s">
        <v>17</v>
      </c>
      <c r="C7613" s="4"/>
    </row>
    <row r="7614" spans="1:3" ht="24" customHeight="1">
      <c r="A7614" s="4" t="str">
        <f ca="1">IFERROR(__xludf.DUMMYFUNCTION("""COMPUTED_VALUE"""),"परितः प्रसभेन नीयमानः शरवर्षैरवसायमाश्रयाशः । प्रबलेषु कृती चकार विद्युद्व्यपदेशेन घनेष्वनुप्रवेशं ||")</f>
        <v>परितः प्रसभेन नीयमानः शरवर्षैरवसायमाश्रयाशः । प्रबलेषु कृती चकार विद्युद्व्यपदेशेन घनेष्वनुप्रवेशं ||</v>
      </c>
      <c r="B7614" s="4" t="s">
        <v>8</v>
      </c>
      <c r="C7614" s="4"/>
    </row>
    <row r="7615" spans="1:3" ht="24" customHeight="1">
      <c r="A7615" s="4" t="str">
        <f ca="1">IFERROR(__xludf.DUMMYFUNCTION("""COMPUTED_VALUE"""),"प्रयतः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||")</f>
        <v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||</v>
      </c>
      <c r="B7615" s="4" t="s">
        <v>0</v>
      </c>
      <c r="C7615" s="4"/>
    </row>
    <row r="7616" spans="1:3" ht="24" customHeight="1">
      <c r="A7616" s="4" t="str">
        <f ca="1">IFERROR(__xludf.DUMMYFUNCTION("""COMPUTED_VALUE"""),"व्यगमन्सहसा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||")</f>
        <v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||</v>
      </c>
      <c r="B7616" s="4" t="s">
        <v>2</v>
      </c>
      <c r="C7616" s="4"/>
    </row>
    <row r="7617" spans="1:3" ht="24" customHeight="1">
      <c r="A7617" s="4" t="str">
        <f ca="1">IFERROR(__xludf.DUMMYFUNCTION("""COMPUTED_VALUE"""),"कृतदाहमुदर्चिषः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||")</f>
        <v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||</v>
      </c>
      <c r="B7617" s="4" t="s">
        <v>12</v>
      </c>
      <c r="C7617" s="4"/>
    </row>
    <row r="7618" spans="1:3" ht="24" customHeight="1">
      <c r="A7618" s="4" t="str">
        <f ca="1">IFERROR(__xludf.DUMMYFUNCTION("""COMPUTED_VALUE"""),"इति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||")</f>
        <v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||</v>
      </c>
      <c r="B7618" s="4" t="s">
        <v>8</v>
      </c>
      <c r="C7618" s="4"/>
    </row>
    <row r="7619" spans="1:3" ht="24" customHeight="1">
      <c r="A7619" s="4" t="str">
        <f ca="1">IFERROR(__xludf.DUMMYFUNCTION("""COMPUTED_VALUE"""),"शुद्धिं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||")</f>
        <v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||</v>
      </c>
      <c r="B7619" s="4" t="s">
        <v>13</v>
      </c>
      <c r="C7619" s="4"/>
    </row>
    <row r="7620" spans="1:3" ht="24" customHeight="1">
      <c r="A7620" s="4" t="str">
        <f ca="1">IFERROR(__xludf.DUMMYFUNCTION("""COMPUTED_VALUE"""),"राहुस्त्रीस्तनयोरकारि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||")</f>
        <v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||</v>
      </c>
      <c r="B7620" s="4" t="s">
        <v>9</v>
      </c>
      <c r="C7620" s="4"/>
    </row>
    <row r="7621" spans="1:3" ht="24" customHeight="1">
      <c r="A7621" s="4" t="str">
        <f ca="1">IFERROR(__xludf.DUMMYFUNCTION("""COMPUTED_VALUE"""),"श्रिया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||")</f>
        <v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||</v>
      </c>
      <c r="B7621" s="4" t="s">
        <v>4</v>
      </c>
      <c r="C7621" s="4"/>
    </row>
    <row r="7622" spans="1:3" ht="24" customHeight="1">
      <c r="A7622" s="4" t="str">
        <f ca="1">IFERROR(__xludf.DUMMYFUNCTION("""COMPUTED_VALUE"""),"उच्चैरस्यति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||")</f>
        <v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||</v>
      </c>
      <c r="B7622" s="4" t="s">
        <v>2</v>
      </c>
      <c r="C7622" s="4"/>
    </row>
    <row r="7623" spans="1:3" ht="24" customHeight="1">
      <c r="A7623" s="4" t="str">
        <f ca="1">IFERROR(__xludf.DUMMYFUNCTION("""COMPUTED_VALUE"""),"हं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||")</f>
        <v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||</v>
      </c>
      <c r="B7623" s="4" t="s">
        <v>2</v>
      </c>
      <c r="C7623" s="4"/>
    </row>
    <row r="7624" spans="1:3" ht="24" customHeight="1">
      <c r="A7624" s="4" t="str">
        <f ca="1">IFERROR(__xludf.DUMMYFUNCTION("""COMPUTED_VALUE"""),"युक्त्यास्वाद्यलसद्रसैकवसतिः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||")</f>
        <v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||</v>
      </c>
      <c r="B7624" s="4" t="s">
        <v>20</v>
      </c>
      <c r="C7624" s="4"/>
    </row>
    <row r="7625" spans="1:3" ht="24" customHeight="1">
      <c r="A7625" s="4" t="str">
        <f ca="1">IFERROR(__xludf.DUMMYFUNCTION("""COMPUTED_VALUE"""),"तं पूर्वाचार्यसूर्योक्ति-ज्योतिस्तोमोद्गमं स्तुमः । यं प्रस्तूय प्रकाशन्ते मद्गुणास्त्रसरेणवः ||")</f>
        <v>तं पूर्वाचार्यसूर्योक्ति-ज्योतिस्तोमोद्गमं स्तुमः । यं प्रस्तूय प्रकाशन्ते मद्गुणास्त्रसरेणवः ||</v>
      </c>
      <c r="B7625" s="4" t="s">
        <v>4</v>
      </c>
      <c r="C7625" s="4"/>
    </row>
    <row r="7626" spans="1:3" ht="24" customHeight="1">
      <c r="A7626" s="4" t="str">
        <f ca="1">IFERROR(__xludf.DUMMYFUNCTION("""COMPUTED_VALUE"""),"नाशङ्कनीयमेतेषां मतमेतेन दूष्यते । किं तु चक्षुर्मृगाक्षीणां कज्जलेनेव भूष्यते ||")</f>
        <v>नाशङ्कनीयमेतेषां मतमेतेन दूष्यते । किं तु चक्षुर्मृगाक्षीणां कज्जलेनेव भूष्यते ||</v>
      </c>
      <c r="B7626" s="4" t="s">
        <v>2</v>
      </c>
      <c r="C7626" s="4"/>
    </row>
    <row r="7627" spans="1:3" ht="24" customHeight="1">
      <c r="A7627" s="4" t="str">
        <f ca="1">IFERROR(__xludf.DUMMYFUNCTION("""COMPUTED_VALUE"""),"प्रतिभैव श्रुताभ्यास-सहिता कवितां प्रति । हेतुर्मृदम्बुसम्बद्धा बीजमाला लतामिव ||")</f>
        <v>प्रतिभैव श्रुताभ्यास-सहिता कवितां प्रति । हेतुर्मृदम्बुसम्बद्धा बीजमाला लतामिव ||</v>
      </c>
      <c r="B7627" s="4" t="s">
        <v>4</v>
      </c>
      <c r="C7627" s="4"/>
    </row>
    <row r="7628" spans="1:3" ht="24" customHeight="1">
      <c r="A7628" s="4" t="str">
        <f ca="1">IFERROR(__xludf.DUMMYFUNCTION("""COMPUTED_VALUE"""),"निर्दोषा लक्षणवती सरीतिर्गुणभूषणा । सालङ्काररसानेक-वृत्तिर्वाक्काव्यनामभाक् ||")</f>
        <v>निर्दोषा लक्षणवती सरीतिर्गुणभूषणा । सालङ्काररसानेक-वृत्तिर्वाक्काव्यनामभाक् ||</v>
      </c>
      <c r="B7628" s="4" t="s">
        <v>6</v>
      </c>
      <c r="C7628" s="4"/>
    </row>
    <row r="7629" spans="1:3" ht="24" customHeight="1">
      <c r="A7629" s="4" t="str">
        <f ca="1">IFERROR(__xludf.DUMMYFUNCTION("""COMPUTED_VALUE"""),"अङ्गीकरोति यः काव्यं शब्दार्थावनलङ्कृती । असौ न मन्यते कस्मादनुष्णमनलं कृती ||")</f>
        <v>अङ्गीकरोति यः काव्यं शब्दार्थावनलङ्कृती । असौ न मन्यते कस्मादनुष्णमनलं कृती ||</v>
      </c>
      <c r="B7629" s="4" t="s">
        <v>2</v>
      </c>
      <c r="C7629" s="4"/>
    </row>
    <row r="7630" spans="1:3" ht="24" customHeight="1">
      <c r="A7630" s="4" t="str">
        <f ca="1">IFERROR(__xludf.DUMMYFUNCTION("""COMPUTED_VALUE"""),"विभक्त्युत्पत्तये योग्यः शास्त्रीयः शब्द इष्यते । रूढयौगिकतन्मिश्रैः प्रभेदैः स पुनस्त्रिधा ||")</f>
        <v>विभक्त्युत्पत्तये योग्यः शास्त्रीयः शब्द इष्यते । रूढयौगिकतन्मिश्रैः प्रभेदैः स पुनस्त्रिधा ||</v>
      </c>
      <c r="B7630" s="4" t="s">
        <v>20</v>
      </c>
      <c r="C7630" s="4"/>
    </row>
    <row r="7631" spans="1:3" ht="24" customHeight="1">
      <c r="A7631" s="4" t="str">
        <f ca="1">IFERROR(__xludf.DUMMYFUNCTION("""COMPUTED_VALUE"""),"अव्यक्तयोगनिर्योग-योगाभासैस्त्रिधादिमः । ते च वृक्षादिभूवादि-मण्डपाद्या यथाक्रमम् ||")</f>
        <v>अव्यक्तयोगनिर्योग-योगाभासैस्त्रिधादिमः । ते च वृक्षादिभूवादि-मण्डपाद्या यथाक्रमम् ||</v>
      </c>
      <c r="B7631" s="4" t="s">
        <v>12</v>
      </c>
      <c r="C7631" s="4"/>
    </row>
    <row r="7632" spans="1:3" ht="24" customHeight="1">
      <c r="A7632" s="4" t="str">
        <f ca="1">IFERROR(__xludf.DUMMYFUNCTION("""COMPUTED_VALUE"""),"शुद्धतन्मूलसंभिन्न-प्रभेदैर्यौगिकस्त्रिधा । ते च भ्रान्तिस्फुरत्कान्ति-कौन्तेयादिस्वरूपिणः ||")</f>
        <v>शुद्धतन्मूलसंभिन्न-प्रभेदैर्यौगिकस्त्रिधा । ते च भ्रान्तिस्फुरत्कान्ति-कौन्तेयादिस्वरूपिणः ||</v>
      </c>
      <c r="B7632" s="4" t="s">
        <v>7</v>
      </c>
      <c r="C7632" s="4"/>
    </row>
    <row r="7633" spans="1:3" ht="24" customHeight="1">
      <c r="A7633" s="4" t="str">
        <f ca="1">IFERROR(__xludf.DUMMYFUNCTION("""COMPUTED_VALUE"""),"तन्मिश्रोऽन्योन्यसामान्य-विशेषपरिवर्तनात् । नीरधिः पङ्कजं सौधं सागरो भूरुहः शशी ||")</f>
        <v>तन्मिश्रोऽन्योन्यसामान्य-विशेषपरिवर्तनात् । नीरधिः पङ्कजं सौधं सागरो भूरुहः शशी ||</v>
      </c>
      <c r="B7633" s="4" t="s">
        <v>8</v>
      </c>
      <c r="C7633" s="4"/>
    </row>
    <row r="7634" spans="1:3" ht="24" customHeight="1">
      <c r="A7634" s="4" t="str">
        <f ca="1">IFERROR(__xludf.DUMMYFUNCTION("""COMPUTED_VALUE"""),"क्षीरनीरधिराकाश-पङ्कजं तेन सिद्धयति । विभक्त्यन्तं पदं वाक्यं तद्व्यूहोऽर्थसमाप्तितः ||")</f>
        <v>क्षीरनीरधिराकाश-पङ्कजं तेन सिद्धयति । विभक्त्यन्तं पदं वाक्यं तद्व्यूहोऽर्थसमाप्तितः ||</v>
      </c>
      <c r="B7634" s="4" t="s">
        <v>2</v>
      </c>
      <c r="C7634" s="4"/>
    </row>
    <row r="7635" spans="1:3" ht="24" customHeight="1">
      <c r="A7635" s="4" t="str">
        <f ca="1">IFERROR(__xludf.DUMMYFUNCTION("""COMPUTED_VALUE"""),"युक्तार्थानां तां च विना खण्डवाक्यं स इष्यते । वाक्यं च खण्डवाक्यं च पदमेकमपि क्वचित् ||")</f>
        <v>युक्तार्थानां तां च विना खण्डवाक्यं स इष्यते । वाक्यं च खण्डवाक्यं च पदमेकमपि क्वचित् ||</v>
      </c>
      <c r="B7635" s="4" t="s">
        <v>16</v>
      </c>
      <c r="C7635" s="4"/>
    </row>
    <row r="7636" spans="1:3" ht="24" customHeight="1">
      <c r="A7636" s="4" t="str">
        <f ca="1">IFERROR(__xludf.DUMMYFUNCTION("""COMPUTED_VALUE"""),"धूमवत्त्वादिति यथा देवेत्यामन्त्रणं यथा । वाक्यान्येकार्थविश्रान्तान्याहुर्वाक्यकदम्बकम् ||")</f>
        <v>धूमवत्त्वादिति यथा देवेत्यामन्त्रणं यथा । वाक्यान्येकार्थविश्रान्तान्याहुर्वाक्यकदम्बकम् ||</v>
      </c>
      <c r="B7636" s="4" t="s">
        <v>19</v>
      </c>
      <c r="C7636" s="4"/>
    </row>
    <row r="7637" spans="1:3" ht="24" customHeight="1">
      <c r="A7637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||")</f>
        <v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||</v>
      </c>
      <c r="B7637" s="4" t="s">
        <v>18</v>
      </c>
      <c r="C7637" s="4"/>
    </row>
    <row r="7638" spans="1:3" ht="24" customHeight="1">
      <c r="A7638" s="4" t="str">
        <f ca="1">IFERROR(__xludf.DUMMYFUNCTION("""COMPUTED_VALUE"""),"स्याच्चेतो विशता येन सक्षता रमणीयता । शब्देऽर्थे च कृतोन्मेषं दोषं उद्घोषयन्ति तम् ||")</f>
        <v>स्याच्चेतो विशता येन सक्षता रमणीयता । शब्देऽर्थे च कृतोन्मेषं दोषं उद्घोषयन्ति तम् ||</v>
      </c>
      <c r="B7638" s="4" t="s">
        <v>2</v>
      </c>
      <c r="C7638" s="4"/>
    </row>
    <row r="7639" spans="1:3" ht="24" customHeight="1">
      <c r="A7639" s="4" t="str">
        <f ca="1">IFERROR(__xludf.DUMMYFUNCTION("""COMPUTED_VALUE"""),"भवेच्छ्रुतिकटुर्वर्णः श्रवणोद्वेजने पटुः । संविन्दते व्याकरणविरुद्धं च्युतसंस्कृति ||")</f>
        <v>भवेच्छ्रुतिकटुर्वर्णः श्रवणोद्वेजने पटुः । संविन्दते व्याकरणविरुद्धं च्युतसंस्कृति ||</v>
      </c>
      <c r="B7639" s="4" t="s">
        <v>2</v>
      </c>
      <c r="C7639" s="4"/>
    </row>
    <row r="7640" spans="1:3" ht="24" customHeight="1">
      <c r="A7640" s="4" t="str">
        <f ca="1">IFERROR(__xludf.DUMMYFUNCTION("""COMPUTED_VALUE"""),"अप्रयुक्तं दैवतादिशब्दे पुंल्लिङ्गतादिकम् । असमर्थं तु हन्त्यादेः प्रयोगो गमनादिषु ||")</f>
        <v>अप्रयुक्तं दैवतादिशब्दे पुंल्लिङ्गतादिकम् । असमर्थं तु हन्त्यादेः प्रयोगो गमनादिषु ||</v>
      </c>
      <c r="B7640" s="4" t="s">
        <v>13</v>
      </c>
      <c r="C7640" s="4"/>
    </row>
    <row r="7641" spans="1:3" ht="24" customHeight="1">
      <c r="A7641" s="4" t="str">
        <f ca="1">IFERROR(__xludf.DUMMYFUNCTION("""COMPUTED_VALUE"""),"स हन्ति हन्त कान्तारे कान्तः कुटिलकुन्तलः । निहतार्थं लोहितादौ शोणितादिप्रयोगतः ||")</f>
        <v>स हन्ति हन्त कान्तारे कान्तः कुटिलकुन्तलः । निहतार्थं लोहितादौ शोणितादिप्रयोगतः ||</v>
      </c>
      <c r="B7641" s="4" t="s">
        <v>2</v>
      </c>
      <c r="C7641" s="4"/>
    </row>
    <row r="7642" spans="1:3" ht="24" customHeight="1">
      <c r="A7642" s="4" t="str">
        <f ca="1">IFERROR(__xludf.DUMMYFUNCTION("""COMPUTED_VALUE"""),"व्यनक्त्यनुचितार्थं यत्पदं आहुस्तदेव तत् । इयं अद्भुतशाख्यग्र-केलिकौतुकवानरी ||")</f>
        <v>व्यनक्त्यनुचितार्थं यत्पदं आहुस्तदेव तत् । इयं अद्भुतशाख्यग्र-केलिकौतुकवानरी ||</v>
      </c>
      <c r="B7642" s="4" t="s">
        <v>0</v>
      </c>
      <c r="C7642" s="4"/>
    </row>
    <row r="7643" spans="1:3" ht="24" customHeight="1">
      <c r="A7643" s="4" t="str">
        <f ca="1">IFERROR(__xludf.DUMMYFUNCTION("""COMPUTED_VALUE"""),"निरर्थकं तुहीत्यादि पूरणैकप्रयोजनम् । अर्थे विदधदित्यादौ दधदाद्यं अवाचकम् ||")</f>
        <v>निरर्थकं तुहीत्यादि पूरणैकप्रयोजनम् । अर्थे विदधदित्यादौ दधदाद्यं अवाचकम् ||</v>
      </c>
      <c r="B7643" s="4" t="s">
        <v>19</v>
      </c>
      <c r="C7643" s="4"/>
    </row>
    <row r="7644" spans="1:3" ht="24" customHeight="1">
      <c r="A7644" s="4" t="str">
        <f ca="1">IFERROR(__xludf.DUMMYFUNCTION("""COMPUTED_VALUE"""),"धत्ते नभस्तलं भास्वानरुणं तरुणैः करैः । एकाक्षरं विना भूभ्रू-क्ष्मादिकं खतलादिवत् ||")</f>
        <v>धत्ते नभस्तलं भास्वानरुणं तरुणैः करैः । एकाक्षरं विना भूभ्रू-क्ष्मादिकं खतलादिवत् ||</v>
      </c>
      <c r="B7644" s="4" t="s">
        <v>4</v>
      </c>
      <c r="C7644" s="4"/>
    </row>
    <row r="7645" spans="1:3" ht="24" customHeight="1">
      <c r="A7645" s="4" t="str">
        <f ca="1">IFERROR(__xludf.DUMMYFUNCTION("""COMPUTED_VALUE"""),"अश्लीलं त्रिविधं व्रीडा-जुगुप्सा मङ्गलात्मना । आह्लादसाधनं वायुः कान्तानाशे भवेत्कथम् ||")</f>
        <v>अश्लीलं त्रिविधं व्रीडा-जुगुप्सा मङ्गलात्मना । आह्लादसाधनं वायुः कान्तानाशे भवेत्कथम् ||</v>
      </c>
      <c r="B7645" s="4" t="s">
        <v>10</v>
      </c>
      <c r="C7645" s="4"/>
    </row>
    <row r="7646" spans="1:3" ht="24" customHeight="1">
      <c r="A7646" s="4" t="str">
        <f ca="1">IFERROR(__xludf.DUMMYFUNCTION("""COMPUTED_VALUE"""),"स्याद्द्वयर्थमिइह सन्दिग्धं नद्यां यान्ति पतत्त्रिणः । स्यादप्रतीतं शास्त्रैक-गम्यं वीता नुमादिवत् ||")</f>
        <v>स्याद्द्वयर्थमिइह सन्दिग्धं नद्यां यान्ति पतत्त्रिणः । स्यादप्रतीतं शास्त्रैक-गम्यं वीता नुमादिवत् ||</v>
      </c>
      <c r="B7646" s="4" t="s">
        <v>4</v>
      </c>
      <c r="C7646" s="4"/>
    </row>
    <row r="7647" spans="1:3" ht="24" customHeight="1">
      <c r="A7647" s="4" t="str">
        <f ca="1">IFERROR(__xludf.DUMMYFUNCTION("""COMPUTED_VALUE"""),"शिथिलं शयने लिल्ये मच्चितं ते शशिश्रियि । मस्तपिष्टकटीलोष्ट-गल्लादि ग्राम्यं उच्यते ||")</f>
        <v>शिथिलं शयने लिल्ये मच्चितं ते शशिश्रियि । मस्तपिष्टकटीलोष्ट-गल्लादि ग्राम्यं उच्यते ||</v>
      </c>
      <c r="B7647" s="4" t="s">
        <v>2</v>
      </c>
      <c r="C7647" s="4"/>
    </row>
    <row r="7648" spans="1:3" ht="24" customHeight="1">
      <c r="A7648" s="4" t="str">
        <f ca="1">IFERROR(__xludf.DUMMYFUNCTION("""COMPUTED_VALUE"""),"नेयार्थं लक्षणात्यन्त-प्रसरादमनोहरम् । हिमांशोर्हारधिक्कार-जागरे यामिकाः कराः ||")</f>
        <v>नेयार्थं लक्षणात्यन्त-प्रसरादमनोहरम् । हिमांशोर्हारधिक्कार-जागरे यामिकाः कराः ||</v>
      </c>
      <c r="B7648" s="4" t="s">
        <v>0</v>
      </c>
      <c r="C7648" s="4"/>
    </row>
    <row r="7649" spans="1:3" ht="24" customHeight="1">
      <c r="A7649" s="4" t="str">
        <f ca="1">IFERROR(__xludf.DUMMYFUNCTION("""COMPUTED_VALUE"""),"क्लिष्टमर्थो यदीयोऽर्थ-श्रेणिनिःश्रेणिमृच्छति । हरिप्रियापितृवधू-प्रवाहप्रतिमं वचः ||")</f>
        <v>क्लिष्टमर्थो यदीयोऽर्थ-श्रेणिनिःश्रेणिमृच्छति । हरिप्रियापितृवधू-प्रवाहप्रतिमं वचः ||</v>
      </c>
      <c r="B7649" s="4" t="s">
        <v>16</v>
      </c>
      <c r="C7649" s="4"/>
    </row>
    <row r="7650" spans="1:3" ht="24" customHeight="1">
      <c r="A7650" s="4" t="str">
        <f ca="1">IFERROR(__xludf.DUMMYFUNCTION("""COMPUTED_VALUE"""),"अविमृष्टविधेयांशः समासपिहिते विधौ । विशन्ति विशिखप्रायाः कटाक्षाः कामिनां हृदि ||")</f>
        <v>अविमृष्टविधेयांशः समासपिहिते विधौ । विशन्ति विशिखप्रायाः कटाक्षाः कामिनां हृदि ||</v>
      </c>
      <c r="B7650" s="4" t="s">
        <v>17</v>
      </c>
      <c r="C7650" s="4"/>
    </row>
    <row r="7651" spans="1:3" ht="24" customHeight="1">
      <c r="A7651" s="4" t="str">
        <f ca="1">IFERROR(__xludf.DUMMYFUNCTION("""COMPUTED_VALUE"""),"अपराधीन इत्यादि विरुद्धमतिकृन्मतम् । अन्यसङ्गतमुत्तुङ्ग-हारशोभिपयोधरौ ||")</f>
        <v>अपराधीन इत्यादि विरुद्धमतिकृन्मतम् । अन्यसङ्गतमुत्तुङ्ग-हारशोभिपयोधरौ ||</v>
      </c>
      <c r="B7651" s="4" t="s">
        <v>0</v>
      </c>
      <c r="C7651" s="4"/>
    </row>
    <row r="7652" spans="1:3" ht="24" customHeight="1">
      <c r="A7652" s="4" t="str">
        <f ca="1">IFERROR(__xludf.DUMMYFUNCTION("""COMPUTED_VALUE"""),"रसाद्यनुचिते वर्णे प्रतिकूलाक्षरं विदुः । न मामङ्गद जानासि रावणं रणदारुणम् ||")</f>
        <v>रसाद्यनुचिते वर्णे प्रतिकूलाक्षरं विदुः । न मामङ्गद जानासि रावणं रणदारुणम् ||</v>
      </c>
      <c r="B7652" s="4" t="s">
        <v>7</v>
      </c>
      <c r="C7652" s="4"/>
    </row>
    <row r="7653" spans="1:3" ht="24" customHeight="1">
      <c r="A7653" s="4" t="str">
        <f ca="1">IFERROR(__xludf.DUMMYFUNCTION("""COMPUTED_VALUE"""),"यस्मिन्नुपहतो लुप्तो विसर्ग इह तत्तथा । कुसन्धिः पटवागच्छ विसन्धिर्नृपती इमौ ||")</f>
        <v>यस्मिन्नुपहतो लुप्तो विसर्ग इह तत्तथा । कुसन्धिः पटवागच्छ विसन्धिर्नृपती इमौ ||</v>
      </c>
      <c r="B7653" s="4" t="s">
        <v>12</v>
      </c>
      <c r="C7653" s="4"/>
    </row>
    <row r="7654" spans="1:3" ht="24" customHeight="1">
      <c r="A7654" s="4" t="str">
        <f ca="1">IFERROR(__xludf.DUMMYFUNCTION("""COMPUTED_VALUE"""),"हतवृत्तमनुक्तोऽपि छन्दोदोषश्चकास्ति चेत् । विशाललोचने पश्याम्बरं तारातरङ्गितम् ||")</f>
        <v>हतवृत्तमनुक्तोऽपि छन्दोदोषश्चकास्ति चेत् । विशाललोचने पश्याम्बरं तारातरङ्गितम् ||</v>
      </c>
      <c r="B7654" s="4" t="s">
        <v>2</v>
      </c>
      <c r="C7654" s="4"/>
    </row>
    <row r="7655" spans="1:3" ht="24" customHeight="1">
      <c r="A7655" s="4" t="str">
        <f ca="1">IFERROR(__xludf.DUMMYFUNCTION("""COMPUTED_VALUE"""),"न्यूनं त्वत्खड्गसंभूत-यशःपुष्पं नभस्तटम् । अधिकं भवतः शत्रून्दशत्यसिलताफणी ||")</f>
        <v>न्यूनं त्वत्खड्गसंभूत-यशःपुष्पं नभस्तटम् । अधिकं भवतः शत्रून्दशत्यसिलताफणी ||</v>
      </c>
      <c r="B7655" s="4" t="s">
        <v>7</v>
      </c>
      <c r="C7655" s="4"/>
    </row>
    <row r="7656" spans="1:3" ht="24" customHeight="1">
      <c r="A7656" s="4" t="str">
        <f ca="1">IFERROR(__xludf.DUMMYFUNCTION("""COMPUTED_VALUE"""),"कथितं पुनरुक्ता वाक्श्यामाब्जश्यामलोचना । विकृतं दूरविकृतैरैयरुः कुञ्जराः पुरम् ||")</f>
        <v>कथितं पुनरुक्ता वाक्श्यामाब्जश्यामलोचना । विकृतं दूरविकृतैरैयरुः कुञ्जराः पुरम् ||</v>
      </c>
      <c r="B7656" s="4" t="s">
        <v>0</v>
      </c>
      <c r="C7656" s="4"/>
    </row>
    <row r="7657" spans="1:3" ht="24" customHeight="1">
      <c r="A7657" s="4" t="str">
        <f ca="1">IFERROR(__xludf.DUMMYFUNCTION("""COMPUTED_VALUE"""),"पतत्प्रकर्षं हीनाऽनुप्रासादित्वे यथोत्तरम् । गम्भीरारम्भदम्भोलि-पाणिरेष समागतः ||")</f>
        <v>पतत्प्रकर्षं हीनाऽनुप्रासादित्वे यथोत्तरम् । गम्भीरारम्भदम्भोलि-पाणिरेष समागतः ||</v>
      </c>
      <c r="B7657" s="4" t="s">
        <v>2</v>
      </c>
      <c r="C7657" s="4"/>
    </row>
    <row r="7658" spans="1:3" ht="24" customHeight="1">
      <c r="A7658" s="4" t="str">
        <f ca="1">IFERROR(__xludf.DUMMYFUNCTION("""COMPUTED_VALUE"""),"समाप्तपुनरात्तं स्यादेष पीयूषभाजनम् । नेत्रानन्दी तुषारांशुरुदेत्यम्बुधिबान्धवः ||")</f>
        <v>समाप्तपुनरात्तं स्यादेष पीयूषभाजनम् । नेत्रानन्दी तुषारांशुरुदेत्यम्बुधिबान्धवः ||</v>
      </c>
      <c r="B7658" s="4" t="s">
        <v>4</v>
      </c>
      <c r="C7658" s="4"/>
    </row>
    <row r="7659" spans="1:3" ht="24" customHeight="1">
      <c r="A7659" s="4" t="str">
        <f ca="1">IFERROR(__xludf.DUMMYFUNCTION("""COMPUTED_VALUE"""),"अर्धान्तरपदापेक्षिक्रीडानृत्येषु सस्मितम् । मोघारम्भं स्तुमः शम्भुमर्धरम्भोरुविग्रहम् ||")</f>
        <v>अर्धान्तरपदापेक्षिक्रीडानृत्येषु सस्मितम् । मोघारम्भं स्तुमः शम्भुमर्धरम्भोरुविग्रहम् ||</v>
      </c>
      <c r="B7659" s="4" t="s">
        <v>24</v>
      </c>
      <c r="C7659" s="4"/>
    </row>
    <row r="7660" spans="1:3" ht="24" customHeight="1">
      <c r="A7660" s="4" t="str">
        <f ca="1">IFERROR(__xludf.DUMMYFUNCTION("""COMPUTED_VALUE"""),"अभवन्मतयोगः स्यान्न चेदभिमतोऽन्वयः । येन बद्धोऽम्बुधिर्यस्य रामस्यानुचरा वयम् ||")</f>
        <v>अभवन्मतयोगः स्यान्न चेदभिमतोऽन्वयः । येन बद्धोऽम्बुधिर्यस्य रामस्यानुचरा वयम् ||</v>
      </c>
      <c r="B7660" s="4" t="s">
        <v>5</v>
      </c>
      <c r="C7660" s="4"/>
    </row>
    <row r="7661" spans="1:3" ht="24" customHeight="1">
      <c r="A7661" s="4" t="str">
        <f ca="1">IFERROR(__xludf.DUMMYFUNCTION("""COMPUTED_VALUE"""),"द्विषां सम्पदमाच्छिद्य यः शत्रून्समपूरयत् । अस्थानस्थसमासं न विद्वज्जनमनोरमम् ||")</f>
        <v>द्विषां सम्पदमाच्छिद्य यः शत्रून्समपूरयत् । अस्थानस्थसमासं न विद्वज्जनमनोरमम् ||</v>
      </c>
      <c r="B7661" s="4" t="s">
        <v>12</v>
      </c>
      <c r="C7661" s="4"/>
    </row>
    <row r="7662" spans="1:3" ht="24" customHeight="1">
      <c r="A7662" s="4" t="str">
        <f ca="1">IFERROR(__xludf.DUMMYFUNCTION("""COMPUTED_VALUE"""),"मिथः पृथग्वाक्यपदैः संकीर्णं यत्तदेव तत् । वक्त्रेण भ्राजते रात्रिः कान्ता चन्द्रेण राजते ||")</f>
        <v>मिथः पृथग्वाक्यपदैः संकीर्णं यत्तदेव तत् । वक्त्रेण भ्राजते रात्रिः कान्ता चन्द्रेण राजते ||</v>
      </c>
      <c r="B7662" s="4" t="s">
        <v>2</v>
      </c>
      <c r="C7662" s="4"/>
    </row>
    <row r="7663" spans="1:3" ht="24" customHeight="1">
      <c r="A7663" s="4" t="str">
        <f ca="1">IFERROR(__xludf.DUMMYFUNCTION("""COMPUTED_VALUE"""),"ब्रह्माण्डं त्वद्यशः पूर-गर्भितं भूमिभूषण । आकर्णय पयःपूर्णसुवर्णकलशायते ||")</f>
        <v>ब्रह्माण्डं त्वद्यशः पूर-गर्भितं भूमिभूषण । आकर्णय पयःपूर्णसुवर्णकलशायते ||</v>
      </c>
      <c r="B7663" s="4" t="s">
        <v>2</v>
      </c>
      <c r="C7663" s="4"/>
    </row>
    <row r="7664" spans="1:3" ht="24" customHeight="1">
      <c r="A7664" s="4" t="str">
        <f ca="1">IFERROR(__xludf.DUMMYFUNCTION("""COMPUTED_VALUE"""),"भग्नप्रक्रममारब्ध-शब्दनिर्वाह हीनता । अक्रमः कृष्ण पूज्यन्ते त्वामनाराध्य देवताः ||")</f>
        <v>भग्नप्रक्रममारब्ध-शब्दनिर्वाह हीनता । अक्रमः कृष्ण पूज्यन्ते त्वामनाराध्य देवताः ||</v>
      </c>
      <c r="B7664" s="4" t="s">
        <v>2</v>
      </c>
      <c r="C7664" s="4"/>
    </row>
    <row r="7665" spans="1:3" ht="24" customHeight="1">
      <c r="A7665" s="4" t="str">
        <f ca="1">IFERROR(__xludf.DUMMYFUNCTION("""COMPUTED_VALUE"""),"अमतार्थान्तरं मुख्येऽमुख्येनार्थे विरोधकृत् । त्यक्तहारमुरःकृत्वा शोकेनालिङ्गिताऽङ्गना ||")</f>
        <v>अमतार्थान्तरं मुख्येऽमुख्येनार्थे विरोधकृत् । त्यक्तहारमुरःकृत्वा शोकेनालिङ्गिताऽङ्गना ||</v>
      </c>
      <c r="B7665" s="4" t="s">
        <v>1</v>
      </c>
      <c r="C7665" s="4"/>
    </row>
    <row r="7666" spans="1:3" ht="24" customHeight="1">
      <c r="A7666" s="4" t="str">
        <f ca="1">IFERROR(__xludf.DUMMYFUNCTION("""COMPUTED_VALUE"""),"अपुष्टार्थो विशेष्ये चेन्न विशेषो विशेषणात् । विशन्ति हृदयं कान्ता-कटाक्षाः खञ्जनत्विषः ||")</f>
        <v>अपुष्टार्थो विशेष्ये चेन्न विशेषो विशेषणात् । विशन्ति हृदयं कान्ता-कटाक्षाः खञ्जनत्विषः ||</v>
      </c>
      <c r="B7666" s="4" t="s">
        <v>13</v>
      </c>
      <c r="C7666" s="4"/>
    </row>
    <row r="7667" spans="1:3" ht="24" customHeight="1">
      <c r="A7667" s="4" t="str">
        <f ca="1">IFERROR(__xludf.DUMMYFUNCTION("""COMPUTED_VALUE"""),"कष्टः स्पष्टावबोधार्थमक्षमो वाच्यसन्निभः । व्याहतश्चेद्विरोधः स्यान्मिथः पूर्वापरार्थयोः ||")</f>
        <v>कष्टः स्पष्टावबोधार्थमक्षमो वाच्यसन्निभः । व्याहतश्चेद्विरोधः स्यान्मिथः पूर्वापरार्थयोः ||</v>
      </c>
      <c r="B7667" s="4" t="s">
        <v>5</v>
      </c>
      <c r="C7667" s="4"/>
    </row>
    <row r="7668" spans="1:3" ht="24" customHeight="1">
      <c r="A7668" s="4" t="str">
        <f ca="1">IFERROR(__xludf.DUMMYFUNCTION("""COMPUTED_VALUE"""),"सहस्रपत्रमित्रं ते वक्त्रं केनोपमीयते । कुतस्तत्रोपमा यत्र पुनरुक्तः सुधाकरः ||")</f>
        <v>सहस्रपत्रमित्रं ते वक्त्रं केनोपमीयते । कुतस्तत्रोपमा यत्र पुनरुक्तः सुधाकरः ||</v>
      </c>
      <c r="B7668" s="4" t="s">
        <v>0</v>
      </c>
      <c r="C7668" s="4"/>
    </row>
    <row r="7669" spans="1:3" ht="24" customHeight="1">
      <c r="A7669" s="4" t="str">
        <f ca="1">IFERROR(__xludf.DUMMYFUNCTION("""COMPUTED_VALUE"""),"दुष्क्रम-ग्राम्य-सन्दिग्धास्त्रयो दोषाः क्रमादमी । त्वद्भक्तः कृष्ण! गच्छेयं नरकं स्वर्गमेव वा ||")</f>
        <v>दुष्क्रम-ग्राम्य-सन्दिग्धास्त्रयो दोषाः क्रमादमी । त्वद्भक्तः कृष्ण! गच्छेयं नरकं स्वर्गमेव वा ||</v>
      </c>
      <c r="B7669" s="4" t="s">
        <v>4</v>
      </c>
      <c r="C7669" s="4"/>
    </row>
    <row r="7670" spans="1:3" ht="24" customHeight="1">
      <c r="A7670" s="4" t="str">
        <f ca="1">IFERROR(__xludf.DUMMYFUNCTION("""COMPUTED_VALUE"""),"एकं मे चुम्बनं देहि तव दास्यामि कञ्चुकम् । ब्रूत किं सेव्यतां चन्द्रमुखीचन्द्रकिरीटयोः ||")</f>
        <v>एकं मे चुम्बनं देहि तव दास्यामि कञ्चुकम् । ब्रूत किं सेव्यतां चन्द्रमुखीचन्द्रकिरीटयोः ||</v>
      </c>
      <c r="B7670" s="4" t="s">
        <v>5</v>
      </c>
      <c r="C7670" s="4"/>
    </row>
    <row r="7671" spans="1:3" ht="24" customHeight="1">
      <c r="A7671" s="4" t="str">
        <f ca="1">IFERROR(__xludf.DUMMYFUNCTION("""COMPUTED_VALUE"""),"अनौचित्यं कीर्तिलतां तरङ्गयति यः सदा । प्रसिद्ध्या विद्यया वाऽपि विरुद्धं द्विविधं मतम् ||")</f>
        <v>अनौचित्यं कीर्तिलतां तरङ्गयति यः सदा । प्रसिद्ध्या विद्यया वाऽपि विरुद्धं द्विविधं मतम् ||</v>
      </c>
      <c r="B7671" s="4" t="s">
        <v>2</v>
      </c>
      <c r="C7671" s="4"/>
    </row>
    <row r="7672" spans="1:3" ht="24" customHeight="1">
      <c r="A7672" s="4" t="str">
        <f ca="1">IFERROR(__xludf.DUMMYFUNCTION("""COMPUTED_VALUE"""),"न्यस्तेयं पश्य कन्दर्प-प्रताप-धवलद्युतिः । केतकी शेखरे शम्भोर्धत्ते चन्द्रकलातुलाम् ||")</f>
        <v>न्यस्तेयं पश्य कन्दर्प-प्रताप-धवलद्युतिः । केतकी शेखरे शम्भोर्धत्ते चन्द्रकलातुलाम् ||</v>
      </c>
      <c r="B7672" s="4" t="s">
        <v>11</v>
      </c>
      <c r="C7672" s="4"/>
    </row>
    <row r="7673" spans="1:3" ht="24" customHeight="1">
      <c r="A7673" s="4" t="str">
        <f ca="1">IFERROR(__xludf.DUMMYFUNCTION("""COMPUTED_VALUE"""),"सामान्य-परिवृत्तिः स्यात्कुण्डलच्छविविग्रहा । विशेषपरिवृत्तिः स्याद्वनिता मम चेतसि ||")</f>
        <v>सामान्य-परिवृत्तिः स्यात्कुण्डलच्छविविग्रहा । विशेषपरिवृत्तिः स्याद्वनिता मम चेतसि ||</v>
      </c>
      <c r="B7673" s="4" t="s">
        <v>18</v>
      </c>
      <c r="C7673" s="4"/>
    </row>
    <row r="7674" spans="1:3" ht="24" customHeight="1">
      <c r="A7674" s="4" t="str">
        <f ca="1">IFERROR(__xludf.DUMMYFUNCTION("""COMPUTED_VALUE"""),"द्वौ स्तः सहचरा चारुविरुद्धान्योन्यसंगती । ध्वाङ्क्षाः सन्तश्च तनयं स्वं परं च न जानते ||")</f>
        <v>द्वौ स्तः सहचरा चारुविरुद्धान्योन्यसंगती । ध्वाङ्क्षाः सन्तश्च तनयं स्वं परं च न जानते ||</v>
      </c>
      <c r="B7674" s="4" t="s">
        <v>2</v>
      </c>
      <c r="C7674" s="4"/>
    </row>
    <row r="7675" spans="1:3" ht="24" customHeight="1">
      <c r="A7675" s="4" t="str">
        <f ca="1">IFERROR(__xludf.DUMMYFUNCTION("""COMPUTED_VALUE"""),"सरोजनेत्र पुत्रस्य मुखेन्दुमवलोकय । पालयिष्यति ते गोत्रमसौ नरपुरन्दरः ||")</f>
        <v>सरोजनेत्र पुत्रस्य मुखेन्दुमवलोकय । पालयिष्यति ते गोत्रमसौ नरपुरन्दरः ||</v>
      </c>
      <c r="B7675" s="4" t="s">
        <v>0</v>
      </c>
      <c r="C7675" s="4"/>
    </row>
    <row r="7676" spans="1:3" ht="24" customHeight="1">
      <c r="A7676" s="4" t="str">
        <f ca="1">IFERROR(__xludf.DUMMYFUNCTION("""COMPUTED_VALUE"""),"पदे तदंशे वाक्यांशे वाक्ये वाक्यकदम्बके । यथानुसारमभ्यूहेद्दोषान्शब्दार्थसम्भवान् ||")</f>
        <v>पदे तदंशे वाक्यांशे वाक्ये वाक्यकदम्बके । यथानुसारमभ्यूहेद्दोषान्शब्दार्थसम्भवान् ||</v>
      </c>
      <c r="B7676" s="4" t="s">
        <v>4</v>
      </c>
      <c r="C7676" s="4"/>
    </row>
    <row r="7677" spans="1:3" ht="24" customHeight="1">
      <c r="A7677" s="4" t="str">
        <f ca="1">IFERROR(__xludf.DUMMYFUNCTION("""COMPUTED_VALUE"""),"दोषमापतितं स्वान्ते प्रसरन्तं विश्रृङ्खलम् । निवारयति यस्त्रेधा दोषाङ्कुशशन्ति तम् ||")</f>
        <v>दोषमापतितं स्वान्ते प्रसरन्तं विश्रृङ्खलम् । निवारयति यस्त्रेधा दोषाङ्कुशशन्ति तम् ||</v>
      </c>
      <c r="B7677" s="4" t="s">
        <v>2</v>
      </c>
      <c r="C7677" s="4"/>
    </row>
    <row r="7678" spans="1:3" ht="24" customHeight="1">
      <c r="A7678" s="4" t="str">
        <f ca="1">IFERROR(__xludf.DUMMYFUNCTION("""COMPUTED_VALUE"""),"दोषे गुणत्वं तनुते दोषत्वं वा निरस्यति । भवन्तमथवा दोषं नयत्यत्याज्यतामसौ ||")</f>
        <v>दोषे गुणत्वं तनुते दोषत्वं वा निरस्यति । भवन्तमथवा दोषं नयत्यत्याज्यतामसौ ||</v>
      </c>
      <c r="B7678" s="4" t="s">
        <v>18</v>
      </c>
      <c r="C7678" s="4"/>
    </row>
    <row r="7679" spans="1:3" ht="24" customHeight="1">
      <c r="A7679" s="4" t="str">
        <f ca="1">IFERROR(__xludf.DUMMYFUNCTION("""COMPUTED_VALUE"""),"मुखं चन्द्रश्रियं धत्ते श्वेतश्मश्रुकराङ्कुरैः । अत्र हास्यरसोद्देशे ग्राम्यत्वं गुणतां गतम् ||")</f>
        <v>मुखं चन्द्रश्रियं धत्ते श्वेतश्मश्रुकराङ्कुरैः । अत्र हास्यरसोद्देशे ग्राम्यत्वं गुणतां गतम् ||</v>
      </c>
      <c r="B7679" s="4" t="s">
        <v>2</v>
      </c>
      <c r="C7679" s="4"/>
    </row>
    <row r="7680" spans="1:3" ht="24" customHeight="1">
      <c r="A7680" s="4" t="str">
        <f ca="1">IFERROR(__xludf.DUMMYFUNCTION("""COMPUTED_VALUE"""),"तव दुग्धाब्धि-संभूतेः कथं जाता कलङ्किता । कवीनां समयाद्विद्या-विरुद्धोऽदोषतां गतः ||")</f>
        <v>तव दुग्धाब्धि-संभूतेः कथं जाता कलङ्किता । कवीनां समयाद्विद्या-विरुद्धोऽदोषतां गतः ||</v>
      </c>
      <c r="B7680" s="4" t="s">
        <v>2</v>
      </c>
      <c r="C7680" s="4"/>
    </row>
    <row r="7681" spans="1:3" ht="24" customHeight="1">
      <c r="A7681" s="4" t="str">
        <f ca="1">IFERROR(__xludf.DUMMYFUNCTION("""COMPUTED_VALUE"""),"दधार गौरी हृदये देवं हिमकराङ्कितम् । अत्र श्लेषोदयान्नैव त्याज्यं हीति निरर्थकम् ||")</f>
        <v>दधार गौरी हृदये देवं हिमकराङ्कितम् । अत्र श्लेषोदयान्नैव त्याज्यं हीति निरर्थकम् ||</v>
      </c>
      <c r="B7681" s="4" t="s">
        <v>19</v>
      </c>
      <c r="C7681" s="4"/>
    </row>
    <row r="7682" spans="1:3" ht="24" customHeight="1">
      <c r="A7682" s="4" t="str">
        <f ca="1">IFERROR(__xludf.DUMMYFUNCTION("""COMPUTED_VALUE"""),"महादेवः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||")</f>
        <v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||</v>
      </c>
      <c r="B7682" s="4" t="s">
        <v>18</v>
      </c>
      <c r="C7682" s="4"/>
    </row>
    <row r="7683" spans="1:3" ht="24" customHeight="1">
      <c r="A7683" s="4" t="str">
        <f ca="1">IFERROR(__xludf.DUMMYFUNCTION("""COMPUTED_VALUE"""),"अल्पाक्षरा विचित्रार्थ-ख्यातिरक्षर-संहतिः । उषाकान्तेनानुगतः शूरः शौरिरयं पुनः ||")</f>
        <v>अल्पाक्षरा विचित्रार्थ-ख्यातिरक्षर-संहतिः । उषाकान्तेनानुगतः शूरः शौरिरयं पुनः ||</v>
      </c>
      <c r="B7683" s="4" t="s">
        <v>1</v>
      </c>
      <c r="C7683" s="4"/>
    </row>
    <row r="7684" spans="1:3" ht="24" customHeight="1">
      <c r="A7684" s="4" t="str">
        <f ca="1">IFERROR(__xludf.DUMMYFUNCTION("""COMPUTED_VALUE"""),"शोभा ख्यातोऽपि यद्दोषो गुणकीर्त्या निषिध्यते । मुधा निन्दन्ति संसारं कंसारिर्यत्र पूज्यते ||")</f>
        <v>शोभा ख्यातोऽपि यद्दोषो गुणकीर्त्या निषिध्यते । मुधा निन्दन्ति संसारं कंसारिर्यत्र पूज्यते ||</v>
      </c>
      <c r="B7684" s="4" t="s">
        <v>2</v>
      </c>
      <c r="C7684" s="4"/>
    </row>
    <row r="7685" spans="1:3" ht="24" customHeight="1">
      <c r="A7685" s="4" t="str">
        <f ca="1">IFERROR(__xludf.DUMMYFUNCTION("""COMPUTED_VALUE"""),"अभिमानो विचारश्चेदूहितार्थनिषेधकृत् । इन्दुर्यदि कथं तीव्रः सूर्यो यदि कथं निशि ||")</f>
        <v>अभिमानो विचारश्चेदूहितार्थनिषेधकृत् । इन्दुर्यदि कथं तीव्रः सूर्यो यदि कथं निशि ||</v>
      </c>
      <c r="B7685" s="4" t="s">
        <v>8</v>
      </c>
      <c r="C7685" s="4"/>
    </row>
    <row r="7686" spans="1:3" ht="24" customHeight="1">
      <c r="A7686" s="4" t="str">
        <f ca="1">IFERROR(__xludf.DUMMYFUNCTION("""COMPUTED_VALUE"""),"हेतुस्त्यक्त्वा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||")</f>
        <v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||</v>
      </c>
      <c r="B7686" s="4" t="s">
        <v>24</v>
      </c>
      <c r="C7686" s="4"/>
    </row>
    <row r="7687" spans="1:3" ht="24" customHeight="1">
      <c r="A7687" s="4" t="str">
        <f ca="1">IFERROR(__xludf.DUMMYFUNCTION("""COMPUTED_VALUE"""),"प्रतिषेधः प्रसिद्धानां कारणानामनादरः । न युद्धेन भ्रुवोः स्पन्देनैव वीरा निपातिताः ||")</f>
        <v>प्रतिषेधः प्रसिद्धानां कारणानामनादरः । न युद्धेन भ्रुवोः स्पन्देनैव वीरा निपातिताः ||</v>
      </c>
      <c r="B7687" s="4" t="s">
        <v>2</v>
      </c>
      <c r="C7687" s="4"/>
    </row>
    <row r="7688" spans="1:3" ht="24" customHeight="1">
      <c r="A7688" s="4" t="str">
        <f ca="1">IFERROR(__xludf.DUMMYFUNCTION("""COMPUTED_VALUE"""),"निरुक्तं स्यान्निर्वचनं नाम्नः सत्यं तथानृतम् । ईदृशैश्चरितै राजन् सत्यं दोषाकरो भवान् ||")</f>
        <v>निरुक्तं स्यान्निर्वचनं नाम्नः सत्यं तथानृतम् । ईदृशैश्चरितै राजन् सत्यं दोषाकरो भवान् ||</v>
      </c>
      <c r="B7688" s="4" t="s">
        <v>4</v>
      </c>
      <c r="C7688" s="4"/>
    </row>
    <row r="7689" spans="1:3" ht="24" customHeight="1">
      <c r="A7689" s="4" t="str">
        <f ca="1">IFERROR(__xludf.DUMMYFUNCTION("""COMPUTED_VALUE"""),"स्यान्मिथ्याध्यवसायश्चेदसती साध्यसाधने । चन्द्रांशुसूत्रग्रथितां नभःपुष्पस्रजं वह ||")</f>
        <v>स्यान्मिथ्याध्यवसायश्चेदसती साध्यसाधने । चन्द्रांशुसूत्रग्रथितां नभःपुष्पस्रजं वह ||</v>
      </c>
      <c r="B7689" s="4" t="s">
        <v>24</v>
      </c>
      <c r="C7689" s="4"/>
    </row>
    <row r="7690" spans="1:3" ht="24" customHeight="1">
      <c r="A7690" s="4" t="str">
        <f ca="1">IFERROR(__xludf.DUMMYFUNCTION("""COMPUTED_VALUE"""),"सिद्धिः ख्यातेषु चेन्नाम कीर्त्यते तुल्यतोक्तये । युवामेवेह विख्यातौ त्वं बलैर्जलधिर्जलैः ||")</f>
        <v>सिद्धिः ख्यातेषु चेन्नाम कीर्त्यते तुल्यतोक्तये । युवामेवेह विख्यातौ त्वं बलैर्जलधिर्जलैः ||</v>
      </c>
      <c r="B7690" s="4" t="s">
        <v>11</v>
      </c>
      <c r="C7690" s="4"/>
    </row>
    <row r="7691" spans="1:3" ht="24" customHeight="1">
      <c r="A7691" s="4" t="str">
        <f ca="1">IFERROR(__xludf.DUMMYFUNCTION("""COMPUTED_VALUE"""),"युक्तिर्विशेषसिद्धिश्चेद्विचित्रार्थान्तरान्वयात्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||")</f>
        <v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||</v>
      </c>
      <c r="B7691" s="4" t="s">
        <v>24</v>
      </c>
      <c r="C7691" s="4"/>
    </row>
    <row r="7692" spans="1:3" ht="24" customHeight="1">
      <c r="A7692" s="4" t="str">
        <f ca="1">IFERROR(__xludf.DUMMYFUNCTION("""COMPUTED_VALUE"""),"कार्यं फलोपलम्भश्चेद्व्यापाराद्वस्तुतोऽथ वा । असावुदेति शीतांशुर्मानच्छेदाय सुभ्रुवाम् ||")</f>
        <v>कार्यं फलोपलम्भश्चेद्व्यापाराद्वस्तुतोऽथ वा । असावुदेति शीतांशुर्मानच्छेदाय सुभ्रुवाम् ||</v>
      </c>
      <c r="B7692" s="4" t="s">
        <v>4</v>
      </c>
      <c r="C7692" s="4"/>
    </row>
    <row r="7693" spans="1:3" ht="24" customHeight="1">
      <c r="A7693" s="4" t="str">
        <f ca="1">IFERROR(__xludf.DUMMYFUNCTION("""COMPUTED_VALUE"""),"इत्यादि लक्षणं भूरि काव्यस्याहुर्महर्षयः । स्वर्णभ्राजिष्णुभालत्व-प्रभृतीव महीभुजः ||")</f>
        <v>इत्यादि लक्षणं भूरि काव्यस्याहुर्महर्षयः । स्वर्णभ्राजिष्णुभालत्व-प्रभृतीव महीभुजः ||</v>
      </c>
      <c r="B7693" s="4" t="s">
        <v>3</v>
      </c>
      <c r="C7693" s="4"/>
    </row>
    <row r="7694" spans="1:3" ht="24" customHeight="1">
      <c r="A7694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||")</f>
        <v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||</v>
      </c>
      <c r="B7694" s="4" t="s">
        <v>18</v>
      </c>
      <c r="C7694" s="4"/>
    </row>
    <row r="7695" spans="1:3" ht="24" customHeight="1">
      <c r="A7695" s="4" t="str">
        <f ca="1">IFERROR(__xludf.DUMMYFUNCTION("""COMPUTED_VALUE"""),"श्लेषो विघटमानार्थ-घटमानत्ववर्णनम् । स तु शाब्दः सजातीयैः शब्दैर्बन्धः सुखावहः ||")</f>
        <v>श्लेषो विघटमानार्थ-घटमानत्ववर्णनम् । स तु शाब्दः सजातीयैः शब्दैर्बन्धः सुखावहः ||</v>
      </c>
      <c r="B7695" s="4" t="s">
        <v>24</v>
      </c>
      <c r="C7695" s="4"/>
    </row>
    <row r="7696" spans="1:3" ht="24" customHeight="1">
      <c r="A7696" s="4" t="str">
        <f ca="1">IFERROR(__xludf.DUMMYFUNCTION("""COMPUTED_VALUE"""),"उल्लसत्तनुतां नीतेऽनन्ते पुलककण्टकैः । भीतया मानवत्यैव श्रियाश्लिष्टं हरिं स्तुमः ||")</f>
        <v>उल्लसत्तनुतां नीतेऽनन्ते पुलककण्टकैः । भीतया मानवत्यैव श्रियाश्लिष्टं हरिं स्तुमः ||</v>
      </c>
      <c r="B7696" s="4" t="s">
        <v>12</v>
      </c>
      <c r="C7696" s="4"/>
    </row>
    <row r="7697" spans="1:3" ht="24" customHeight="1">
      <c r="A7697" s="4" t="str">
        <f ca="1">IFERROR(__xludf.DUMMYFUNCTION("""COMPUTED_VALUE"""),"यस्मादन्तःस्थितः सर्वः स्वयमर्थोऽवभासते । सलिलस्येव सूक्तस्य स प्रसाद इति स्मृतः ||")</f>
        <v>यस्मादन्तःस्थितः सर्वः स्वयमर्थोऽवभासते । सलिलस्येव सूक्तस्य स प्रसाद इति स्मृतः ||</v>
      </c>
      <c r="B7697" s="4" t="s">
        <v>2</v>
      </c>
      <c r="C7697" s="4"/>
    </row>
    <row r="7698" spans="1:3" ht="24" customHeight="1">
      <c r="A7698" s="4" t="str">
        <f ca="1">IFERROR(__xludf.DUMMYFUNCTION("""COMPUTED_VALUE"""),"समताल्पसमासत्वं वर्णाद्यैस्तुल्यताऽथ वा । श्यामला कोमला बाला रमणं शरणं गता ||")</f>
        <v>समताल्पसमासत्वं वर्णाद्यैस्तुल्यताऽथ वा । श्यामला कोमला बाला रमणं शरणं गता ||</v>
      </c>
      <c r="B7698" s="4" t="s">
        <v>2</v>
      </c>
      <c r="C7698" s="4"/>
    </row>
    <row r="7699" spans="1:3" ht="24" customHeight="1">
      <c r="A7699" s="4" t="str">
        <f ca="1">IFERROR(__xludf.DUMMYFUNCTION("""COMPUTED_VALUE"""),"समाधिरर्थमहिमा लसद्घनरसात्मना । स्यादन्तर्विशता येन गात्रमङ्कुरितं सताम् ||")</f>
        <v>समाधिरर्थमहिमा लसद्घनरसात्मना । स्यादन्तर्विशता येन गात्रमङ्कुरितं सताम् ||</v>
      </c>
      <c r="B7699" s="4" t="s">
        <v>2</v>
      </c>
      <c r="C7699" s="4"/>
    </row>
    <row r="7700" spans="1:3" ht="24" customHeight="1">
      <c r="A7700" s="4" t="str">
        <f ca="1">IFERROR(__xludf.DUMMYFUNCTION("""COMPUTED_VALUE"""),"माधुर्यं पुनरुक्तस्य वैचित्र्यं चारुतावहम् । वयस्य पश्य पश्यास्याश्चञ्चलं लोचनाञ्चलम् ||")</f>
        <v>माधुर्यं पुनरुक्तस्य वैचित्र्यं चारुतावहम् । वयस्य पश्य पश्यास्याश्चञ्चलं लोचनाञ्चलम् ||</v>
      </c>
      <c r="B7700" s="4" t="s">
        <v>11</v>
      </c>
      <c r="C7700" s="4"/>
    </row>
    <row r="7701" spans="1:3" ht="24" customHeight="1">
      <c r="A7701" s="4" t="str">
        <f ca="1">IFERROR(__xludf.DUMMYFUNCTION("""COMPUTED_VALUE"""),"ओजः स्यात्प्रौढिरर्थस्य संक्षेपो वाऽतिभूयसः । रिपुं हत्वा यशः कृत्वा त्वदसिः कोशमाविशत् ||")</f>
        <v>ओजः स्यात्प्रौढिरर्थस्य संक्षेपो वाऽतिभूयसः । रिपुं हत्वा यशः कृत्वा त्वदसिः कोशमाविशत् ||</v>
      </c>
      <c r="B7701" s="4" t="s">
        <v>8</v>
      </c>
      <c r="C7701" s="4"/>
    </row>
    <row r="7702" spans="1:3" ht="24" customHeight="1">
      <c r="A7702" s="4" t="str">
        <f ca="1">IFERROR(__xludf.DUMMYFUNCTION("""COMPUTED_VALUE"""),"सौकुमार्यमपारुष्यं पर्यायपरिवर्तनात् । स कथाशेषतां यातः समालिङ्ग्य मरुत्सखम् ||")</f>
        <v>सौकुमार्यमपारुष्यं पर्यायपरिवर्तनात् । स कथाशेषतां यातः समालिङ्ग्य मरुत्सखम् ||</v>
      </c>
      <c r="B7702" s="4" t="s">
        <v>14</v>
      </c>
      <c r="C7702" s="4"/>
    </row>
    <row r="7703" spans="1:3" ht="24" customHeight="1">
      <c r="A7703" s="4" t="str">
        <f ca="1">IFERROR(__xludf.DUMMYFUNCTION("""COMPUTED_VALUE"""),"उदारता तु वैदग्ध्यमग्राम्यत्वात् पृथङ्मता । मानं मुञ्च प्रिये किंचिल्लोचनान्तमुदञ्चय ||")</f>
        <v>उदारता तु वैदग्ध्यमग्राम्यत्वात् पृथङ्मता । मानं मुञ्च प्रिये किंचिल्लोचनान्तमुदञ्चय ||</v>
      </c>
      <c r="B7703" s="4" t="s">
        <v>5</v>
      </c>
      <c r="C7703" s="4"/>
    </row>
    <row r="7704" spans="1:3" ht="24" customHeight="1">
      <c r="A7704" s="4" t="str">
        <f ca="1">IFERROR(__xludf.DUMMYFUNCTION("""COMPUTED_VALUE"""),"श्रृङ्गारे च प्रसादे च कान्त्यर्थव्यक्तिसंग्रहः । अमी दश गुणाः काव्ये पुंसि शौर्यादयो यथा ||")</f>
        <v>श्रृङ्गारे च प्रसादे च कान्त्यर्थव्यक्तिसंग्रहः । अमी दश गुणाः काव्ये पुंसि शौर्यादयो यथा ||</v>
      </c>
      <c r="B7704" s="4" t="s">
        <v>10</v>
      </c>
      <c r="C7704" s="4"/>
    </row>
    <row r="7705" spans="1:3" ht="24" customHeight="1">
      <c r="A7705" s="4" t="str">
        <f ca="1">IFERROR(__xludf.DUMMYFUNCTION("""COMPUTED_VALUE"""),"तिलकाद्यमिव स्त्रीणां विदग्धहृदयङ्गमम् । व्यतिरिक्तमलङ्कारं प्रकृतेर्भूषणं गिराम् ||")</f>
        <v>तिलकाद्यमिव स्त्रीणां विदग्धहृदयङ्गमम् । व्यतिरिक्तमलङ्कारं प्रकृतेर्भूषणं गिराम् ||</v>
      </c>
      <c r="B7705" s="4" t="s">
        <v>0</v>
      </c>
      <c r="C7705" s="4"/>
    </row>
    <row r="7706" spans="1:3" ht="24" customHeight="1">
      <c r="A7706" s="4" t="str">
        <f ca="1">IFERROR(__xludf.DUMMYFUNCTION("""COMPUTED_VALUE"""),"विचित्रलक्षणो न्यासो निर्वाहः प्रौढिरौचिती । शास्त्रान्तर-रहस्योक्तिः संग्रहो दिक्प्रदर्शिता ||")</f>
        <v>विचित्रलक्षणो न्यासो निर्वाहः प्रौढिरौचिती । शास्त्रान्तर-रहस्योक्तिः संग्रहो दिक्प्रदर्शिता ||</v>
      </c>
      <c r="B7706" s="4" t="s">
        <v>2</v>
      </c>
      <c r="C7706" s="4"/>
    </row>
    <row r="7707" spans="1:3" ht="24" customHeight="1">
      <c r="A7707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||")</f>
        <v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||</v>
      </c>
      <c r="B7707" s="4" t="s">
        <v>18</v>
      </c>
      <c r="C7707" s="4"/>
    </row>
    <row r="7708" spans="1:3" ht="24" customHeight="1">
      <c r="A7708" s="4" t="str">
        <f ca="1">IFERROR(__xludf.DUMMYFUNCTION("""COMPUTED_VALUE"""),"शब्दार्थयोः प्रसिद्ध्या वा कवेः प्रौढिवशेन वा । हारादिवदलङ्कारः सन्निवेशो मनोहरः ||")</f>
        <v>शब्दार्थयोः प्रसिद्ध्या वा कवेः प्रौढिवशेन वा । हारादिवदलङ्कारः सन्निवेशो मनोहरः ||</v>
      </c>
      <c r="B7708" s="4" t="s">
        <v>0</v>
      </c>
      <c r="C7708" s="4"/>
    </row>
    <row r="7709" spans="1:3" ht="24" customHeight="1">
      <c r="A7709" s="4" t="str">
        <f ca="1">IFERROR(__xludf.DUMMYFUNCTION("""COMPUTED_VALUE"""),"स्वर-व्यञ्जन-संदोह-व्यूहा-मन्दोहदोहदा । गौर्जगज्जाग्रदुत्सेका छेकानुप्रासभासुरा ||")</f>
        <v>स्वर-व्यञ्जन-संदोह-व्यूहा-मन्दोहदोहदा । गौर्जगज्जाग्रदुत्सेका छेकानुप्रासभासुरा ||</v>
      </c>
      <c r="B7709" s="4" t="s">
        <v>0</v>
      </c>
      <c r="C7709" s="4"/>
    </row>
    <row r="7710" spans="1:3" ht="24" customHeight="1">
      <c r="A7710" s="4" t="str">
        <f ca="1">IFERROR(__xludf.DUMMYFUNCTION("""COMPUTED_VALUE"""),"आवृत्तवर्णसम्पूर्णं वृत्त्यनुप्रासवद्वचः । अमन्दानन्दसन्दोह-स्वच्छन्दास्पद-मन्दिरम् ||")</f>
        <v>आवृत्तवर्णसम्पूर्णं वृत्त्यनुप्रासवद्वचः । अमन्दानन्दसन्दोह-स्वच्छन्दास्पद-मन्दिरम् ||</v>
      </c>
      <c r="B7710" s="4" t="s">
        <v>0</v>
      </c>
      <c r="C7710" s="4"/>
    </row>
    <row r="7711" spans="1:3" ht="24" customHeight="1">
      <c r="A7711" s="4" t="str">
        <f ca="1">IFERROR(__xludf.DUMMYFUNCTION("""COMPUTED_VALUE"""),"लाटानुप्रासभूर्भिन्नाभिप्राया पुनरुक्तता । यत्र स्यान्न पुनः शत्रोर्गर्जितं तज्जितं जितम् ||")</f>
        <v>लाटानुप्रासभूर्भिन्नाभिप्राया पुनरुक्तता । यत्र स्यान्न पुनः शत्रोर्गर्जितं तज्जितं जितम् ||</v>
      </c>
      <c r="B7711" s="4" t="s">
        <v>2</v>
      </c>
      <c r="C7711" s="4"/>
    </row>
    <row r="7712" spans="1:3" ht="24" customHeight="1">
      <c r="A7712" s="4" t="str">
        <f ca="1">IFERROR(__xludf.DUMMYFUNCTION("""COMPUTED_VALUE"""),"श्लोकस्यार्धे तदर्धे वा वर्णावृत्तिर्यदि ध्रुवा । तदा मता मतिमतां स्फुटानुप्रासता सताम् ||")</f>
        <v>श्लोकस्यार्धे तदर्धे वा वर्णावृत्तिर्यदि ध्रुवा । तदा मता मतिमतां स्फुटानुप्रासता सताम् ||</v>
      </c>
      <c r="B7712" s="4" t="s">
        <v>2</v>
      </c>
      <c r="C7712" s="4"/>
    </row>
    <row r="7713" spans="1:3" ht="24" customHeight="1">
      <c r="A7713" s="4" t="str">
        <f ca="1">IFERROR(__xludf.DUMMYFUNCTION("""COMPUTED_VALUE"""),"उपमेयोपमानादावर्थानुप्रास इष्यते । चन्दनं खलु गोविन्द-चरणद्वन्द्ववन्दनम् ||")</f>
        <v>उपमेयोपमानादावर्थानुप्रास इष्यते । चन्दनं खलु गोविन्द-चरणद्वन्द्ववन्दनम् ||</v>
      </c>
      <c r="B7713" s="4" t="s">
        <v>1</v>
      </c>
      <c r="C7713" s="4"/>
    </row>
    <row r="7714" spans="1:3" ht="24" customHeight="1">
      <c r="A7714" s="4" t="str">
        <f ca="1">IFERROR(__xludf.DUMMYFUNCTION("""COMPUTED_VALUE"""),"पुनरुक्तप्रतीकाशं पुनरुक्तार्थसन्निभम् । अंशुकान्तं शशी कुर्वन्नम्बरान्तमुपैत्यसौ ||")</f>
        <v>पुनरुक्तप्रतीकाशं पुनरुक्तार्थसन्निभम् । अंशुकान्तं शशी कुर्वन्नम्बरान्तमुपैत्यसौ ||</v>
      </c>
      <c r="B7714" s="4" t="s">
        <v>18</v>
      </c>
      <c r="C7714" s="4"/>
    </row>
    <row r="7715" spans="1:3" ht="24" customHeight="1">
      <c r="A7715" s="4" t="str">
        <f ca="1">IFERROR(__xludf.DUMMYFUNCTION("""COMPUTED_VALUE"""),"आवृत्तवर्णस्तबकं स्तवकन्दाङ्कुरं कवेः । यमकं प्रथमा धुर्य-माधुर्यवचसो विदुः ||")</f>
        <v>आवृत्तवर्णस्तबकं स्तवकन्दाङ्कुरं कवेः । यमकं प्रथमा धुर्य-माधुर्यवचसो विदुः ||</v>
      </c>
      <c r="B7715" s="4" t="s">
        <v>17</v>
      </c>
      <c r="C7715" s="4"/>
    </row>
    <row r="7716" spans="1:3" ht="24" customHeight="1">
      <c r="A7716" s="4" t="str">
        <f ca="1">IFERROR(__xludf.DUMMYFUNCTION("""COMPUTED_VALUE"""),"काव्यवित्प्रवरैश्चित्रं खड्गबन्धादि लक्ष्यते । तेष्वाद्यमुच्यते श्लोकद्वयी सज्जनरञ्जिका ||")</f>
        <v>काव्यवित्प्रवरैश्चित्रं खड्गबन्धादि लक्ष्यते । तेष्वाद्यमुच्यते श्लोकद्वयी सज्जनरञ्जिका ||</v>
      </c>
      <c r="B7716" s="4" t="s">
        <v>19</v>
      </c>
      <c r="C7716" s="4"/>
    </row>
    <row r="7717" spans="1:3" ht="24" customHeight="1">
      <c r="A7717" s="4" t="str">
        <f ca="1">IFERROR(__xludf.DUMMYFUNCTION("""COMPUTED_VALUE"""),"कामिनीव भवेत्खड्ग-लेखा चारुकरालिका । काश्मीरसेका रक्ताङ्गी शत्रुकण्ठान्तिकाश्रिता ||")</f>
        <v>कामिनीव भवेत्खड्ग-लेखा चारुकरालिका । काश्मीरसेका रक्ताङ्गी शत्रुकण्ठान्तिकाश्रिता ||</v>
      </c>
      <c r="B7717" s="4" t="s">
        <v>2</v>
      </c>
      <c r="C7717" s="4"/>
    </row>
    <row r="7718" spans="1:3" ht="24" customHeight="1">
      <c r="A7718" s="4" t="str">
        <f ca="1">IFERROR(__xludf.DUMMYFUNCTION("""COMPUTED_VALUE"""),"उपमा यत्र सादृश्य-लक्ष्मीरुल्लसति द्वयोः । हृदये खेलतोरुच्चैस्तन्वङ्गीस्तनयोरिव ||")</f>
        <v>उपमा यत्र सादृश्य-लक्ष्मीरुल्लसति द्वयोः । हृदये खेलतोरुच्चैस्तन्वङ्गीस्तनयोरिव ||</v>
      </c>
      <c r="B7718" s="4" t="s">
        <v>4</v>
      </c>
      <c r="C7718" s="4"/>
    </row>
    <row r="7719" spans="1:3" ht="24" customHeight="1">
      <c r="A7719" s="4" t="str">
        <f ca="1">IFERROR(__xludf.DUMMYFUNCTION("""COMPUTED_VALUE"""),"उपमानोपमेयत्वे यत्रैकस्यैव जागृतः । इन्दुरिन्दुरिवेत्यादौ भवेदेवमनन्वयः ||")</f>
        <v>उपमानोपमेयत्वे यत्रैकस्यैव जागृतः । इन्दुरिन्दुरिवेत्यादौ भवेदेवमनन्वयः ||</v>
      </c>
      <c r="B7719" s="4" t="s">
        <v>5</v>
      </c>
      <c r="C7719" s="4"/>
    </row>
    <row r="7720" spans="1:3" ht="24" customHeight="1">
      <c r="A7720" s="4" t="str">
        <f ca="1">IFERROR(__xludf.DUMMYFUNCTION("""COMPUTED_VALUE"""),"पर्यायेण द्वयोस्तच्चेदुपमेयोपमा मता । धर्मोऽर्थ इव पूर्णश्रीरर्थो धर्म इव त्वयि ||")</f>
        <v>पर्यायेण द्वयोस्तच्चेदुपमेयोपमा मता । धर्मोऽर्थ इव पूर्णश्रीरर्थो धर्म इव त्वयि ||</v>
      </c>
      <c r="B7720" s="4" t="s">
        <v>5</v>
      </c>
      <c r="C7720" s="4"/>
    </row>
    <row r="7721" spans="1:3" ht="24" customHeight="1">
      <c r="A7721" s="4" t="str">
        <f ca="1">IFERROR(__xludf.DUMMYFUNCTION("""COMPUTED_VALUE"""),"विख्यातस्योपमानस्य यत्र स्यादुपमेयता । इन्दुर्मुखमिवेत्यादौ स्यात्प्रतीपोपमा तदा ||")</f>
        <v>विख्यातस्योपमानस्य यत्र स्यादुपमेयता । इन्दुर्मुखमिवेत्यादौ स्यात्प्रतीपोपमा तदा ||</v>
      </c>
      <c r="B7721" s="4" t="s">
        <v>17</v>
      </c>
      <c r="C7721" s="4"/>
    </row>
    <row r="7722" spans="1:3" ht="24" customHeight="1">
      <c r="A7722" s="4" t="str">
        <f ca="1">IFERROR(__xludf.DUMMYFUNCTION("""COMPUTED_VALUE"""),"उपमाने तु लीलादि-पदाढ्ये ललितोपमा । त्वन्नेत्रयुगलं धत्ते लीलां नीलाम्बुजन्मनोः ||")</f>
        <v>उपमाने तु लीलादि-पदाढ्ये ललितोपमा । त्वन्नेत्रयुगलं धत्ते लीलां नीलाम्बुजन्मनोः ||</v>
      </c>
      <c r="B7722" s="4" t="s">
        <v>1</v>
      </c>
      <c r="C7722" s="4"/>
    </row>
    <row r="7723" spans="1:3" ht="24" customHeight="1">
      <c r="A7723" s="4" t="str">
        <f ca="1">IFERROR(__xludf.DUMMYFUNCTION("""COMPUTED_VALUE"""),"अनेकस्यार्थयुग्मस्य सादृश्यं स्तबकोपमा । श्रितोऽस्मि चरणौ विष्णोर्भृङ्गस्तामरसं यथा ||")</f>
        <v>अनेकस्यार्थयुग्मस्य सादृश्यं स्तबकोपमा । श्रितोऽस्मि चरणौ विष्णोर्भृङ्गस्तामरसं यथा ||</v>
      </c>
      <c r="B7723" s="4" t="s">
        <v>10</v>
      </c>
      <c r="C7723" s="4"/>
    </row>
    <row r="7724" spans="1:3" ht="24" customHeight="1">
      <c r="A7724" s="4" t="str">
        <f ca="1">IFERROR(__xludf.DUMMYFUNCTION("""COMPUTED_VALUE"""),"स्यात्संपूर्णोपमा यत्र द्वयोरपि विधेयता । पद्मानीव विनिद्राणि नेत्राण्यासन्नहर्मुखे ||")</f>
        <v>स्यात्संपूर्णोपमा यत्र द्वयोरपि विधेयता । पद्मानीव विनिद्राणि नेत्राण्यासन्नहर्मुखे ||</v>
      </c>
      <c r="B7724" s="4" t="s">
        <v>14</v>
      </c>
      <c r="C7724" s="4"/>
    </row>
    <row r="7725" spans="1:3" ht="24" customHeight="1">
      <c r="A7725" s="4" t="str">
        <f ca="1">IFERROR(__xludf.DUMMYFUNCTION("""COMPUTED_VALUE"""),"यत्रोपमानचित्रेण सर्वथाप्युपरज्यते । उपमेयमयी भित्तिस्तत्र रूपकं इष्यते ||")</f>
        <v>यत्रोपमानचित्रेण सर्वथाप्युपरज्यते । उपमेयमयी भित्तिस्तत्र रूपकं इष्यते ||</v>
      </c>
      <c r="B7725" s="4" t="s">
        <v>2</v>
      </c>
      <c r="C7725" s="4"/>
    </row>
    <row r="7726" spans="1:3" ht="24" customHeight="1">
      <c r="A7726" s="4" t="str">
        <f ca="1">IFERROR(__xludf.DUMMYFUNCTION("""COMPUTED_VALUE"""),"समानधर्मयुक्साध्या-रोपात्सोपाधिरूपकम् । उत्सिक्तक्षितिभृल्लक्ष्य-पक्षच्छेदपुरन्दरः ||")</f>
        <v>समानधर्मयुक्साध्या-रोपात्सोपाधिरूपकम् । उत्सिक्तक्षितिभृल्लक्ष्य-पक्षच्छेदपुरन्दरः ||</v>
      </c>
      <c r="B7726" s="4" t="s">
        <v>0</v>
      </c>
      <c r="C7726" s="4"/>
    </row>
    <row r="7727" spans="1:3" ht="24" customHeight="1">
      <c r="A7727" s="4" t="str">
        <f ca="1">IFERROR(__xludf.DUMMYFUNCTION("""COMPUTED_VALUE"""),"पृथक्कथितसादृश्यं दृश्यं सादृश्यरूपकम् । उल्लसत्पञ्चशाखस्ते राजते भुजभूरुहः ||")</f>
        <v>पृथक्कथितसादृश्यं दृश्यं सादृश्यरूपकम् । उल्लसत्पञ्चशाखस्ते राजते भुजभूरुहः ||</v>
      </c>
      <c r="B7727" s="4" t="s">
        <v>24</v>
      </c>
      <c r="C7727" s="4"/>
    </row>
    <row r="7728" spans="1:3" ht="24" customHeight="1">
      <c r="A7728" s="4" t="str">
        <f ca="1">IFERROR(__xludf.DUMMYFUNCTION("""COMPUTED_VALUE"""),"स्यादङ्गयष्टिरित्येवंविधमाभासरूपकम् । अङ्गयष्टिधनुर्वल्लीत्यादि रूपितरूपकम् ||")</f>
        <v>स्यादङ्गयष्टिरित्येवंविधमाभासरूपकम् । अङ्गयष्टिधनुर्वल्लीत्यादि रूपितरूपकम् ||</v>
      </c>
      <c r="B7728" s="4" t="s">
        <v>19</v>
      </c>
      <c r="C7728" s="4"/>
    </row>
    <row r="7729" spans="1:3" ht="24" customHeight="1">
      <c r="A7729" s="4" t="str">
        <f ca="1">IFERROR(__xludf.DUMMYFUNCTION("""COMPUTED_VALUE"""),"परिणामोऽनयोर्यस्मिन्नभेदः पर्यवस्यति । कान्तेन पृष्टा रहसि मौनमेवोत्तरं ददौ ||")</f>
        <v>परिणामोऽनयोर्यस्मिन्नभेदः पर्यवस्यति । कान्तेन पृष्टा रहसि मौनमेवोत्तरं ददौ ||</v>
      </c>
      <c r="B7729" s="4" t="s">
        <v>17</v>
      </c>
      <c r="C7729" s="4"/>
    </row>
    <row r="7730" spans="1:3" ht="24" customHeight="1">
      <c r="A7730" s="4" t="str">
        <f ca="1">IFERROR(__xludf.DUMMYFUNCTION("""COMPUTED_VALUE"""),"बहुभिर्बहुधोल्लेखादेकस्योल्लेखिता मता । स्त्रीभिः कामः प्रियैश्चन्द्रः कालः शत्रुभिरैक्षि सः ||")</f>
        <v>बहुभिर्बहुधोल्लेखादेकस्योल्लेखिता मता । स्त्रीभिः कामः प्रियैश्चन्द्रः कालः शत्रुभिरैक्षि सः ||</v>
      </c>
      <c r="B7730" s="4" t="s">
        <v>18</v>
      </c>
      <c r="C7730" s="4"/>
    </row>
    <row r="7731" spans="1:3" ht="24" customHeight="1">
      <c r="A7731" s="4" t="str">
        <f ca="1">IFERROR(__xludf.DUMMYFUNCTION("""COMPUTED_VALUE"""),"अतथ्यमारोपयितुं तथ्यापास्तिरपह्नुतिः । नायं सुधांशुः किं तर्हि व्योमगङ्गासरोरुहम् ||")</f>
        <v>अतथ्यमारोपयितुं तथ्यापास्तिरपह्नुतिः । नायं सुधांशुः किं तर्हि व्योमगङ्गासरोरुहम् ||</v>
      </c>
      <c r="B7731" s="4" t="s">
        <v>24</v>
      </c>
      <c r="C7731" s="4"/>
    </row>
    <row r="7732" spans="1:3" ht="24" customHeight="1">
      <c r="A7732" s="4" t="str">
        <f ca="1">IFERROR(__xludf.DUMMYFUNCTION("""COMPUTED_VALUE"""),"पर्यस्तापह्नुतिर्यत्र धर्ममात्रं निषिध्यते । नायं सुधांशुः किं तर्हि सुधांशुः प्रेयसीमुखम् ||")</f>
        <v>पर्यस्तापह्नुतिर्यत्र धर्ममात्रं निषिध्यते । नायं सुधांशुः किं तर्हि सुधांशुः प्रेयसीमुखम् ||</v>
      </c>
      <c r="B7732" s="4" t="s">
        <v>14</v>
      </c>
      <c r="C7732" s="4"/>
    </row>
    <row r="7733" spans="1:3" ht="24" customHeight="1">
      <c r="A7733" s="4" t="str">
        <f ca="1">IFERROR(__xludf.DUMMYFUNCTION("""COMPUTED_VALUE"""),"भ्रान्तापह्नुतिरन्यस्य शङ्कया तथ्यनिर्णये । शरीरं तव सोत्कम्पं ज्वरः किं न सखि स्मरः ||")</f>
        <v>भ्रान्तापह्नुतिरन्यस्य शङ्कया तथ्यनिर्णये । शरीरं तव सोत्कम्पं ज्वरः किं न सखि स्मरः ||</v>
      </c>
      <c r="B7733" s="4" t="s">
        <v>0</v>
      </c>
      <c r="C7733" s="4"/>
    </row>
    <row r="7734" spans="1:3" ht="24" customHeight="1">
      <c r="A7734" s="4" t="str">
        <f ca="1">IFERROR(__xludf.DUMMYFUNCTION("""COMPUTED_VALUE"""),"छेकापह्नुतिरन्यस्य शङ्कया तथ्यनिह्नवे । प्रजल्पन्मत्पदे लग्नः कान्तः किं न हि नूपुरः ||")</f>
        <v>छेकापह्नुतिरन्यस्य शङ्कया तथ्यनिह्नवे । प्रजल्पन्मत्पदे लग्नः कान्तः किं न हि नूपुरः ||</v>
      </c>
      <c r="B7734" s="4" t="s">
        <v>0</v>
      </c>
      <c r="C7734" s="4"/>
    </row>
    <row r="7735" spans="1:3" ht="24" customHeight="1">
      <c r="A7735" s="4" t="str">
        <f ca="1">IFERROR(__xludf.DUMMYFUNCTION("""COMPUTED_VALUE"""),"कैतवापह्नुतिर्व्यक्ते व्याजाद्यैर्निह्नवे पदैः । निर्यान्ति स्मरनाराचाः कान्तादृक्पातकैतवात् ||")</f>
        <v>कैतवापह्नुतिर्व्यक्ते व्याजाद्यैर्निह्नवे पदैः । निर्यान्ति स्मरनाराचाः कान्तादृक्पातकैतवात् ||</v>
      </c>
      <c r="B7735" s="4" t="s">
        <v>4</v>
      </c>
      <c r="C7735" s="4"/>
    </row>
    <row r="7736" spans="1:3" ht="24" customHeight="1">
      <c r="A7736" s="4" t="str">
        <f ca="1">IFERROR(__xludf.DUMMYFUNCTION("""COMPUTED_VALUE"""),"उत्प्रेक्षोन्नीयते यत्र हेत्वादिर्निह्नुतिं विना । त्वन्मुखश्रीकृते नूनं पद्मैर्वैरायते शशी ||")</f>
        <v>उत्प्रेक्षोन्नीयते यत्र हेत्वादिर्निह्नुतिं विना । त्वन्मुखश्रीकृते नूनं पद्मैर्वैरायते शशी ||</v>
      </c>
      <c r="B7736" s="4" t="s">
        <v>8</v>
      </c>
      <c r="C7736" s="4"/>
    </row>
    <row r="7737" spans="1:3" ht="24" customHeight="1">
      <c r="A7737" s="4" t="str">
        <f ca="1">IFERROR(__xludf.DUMMYFUNCTION("""COMPUTED_VALUE"""),"इवादिकपदाभावे गूढोत्प्रेक्षां प्रचक्षते । त्वत्कीर्तिर्विभ्रमश्रान्ता विवेश स्वर्गनिम्नगाम् ||")</f>
        <v>इवादिकपदाभावे गूढोत्प्रेक्षां प्रचक्षते । त्वत्कीर्तिर्विभ्रमश्रान्ता विवेश स्वर्गनिम्नगाम् ||</v>
      </c>
      <c r="B7737" s="4" t="s">
        <v>15</v>
      </c>
      <c r="C7737" s="4"/>
    </row>
    <row r="7738" spans="1:3" ht="24" customHeight="1">
      <c r="A7738" s="4" t="str">
        <f ca="1">IFERROR(__xludf.DUMMYFUNCTION("""COMPUTED_VALUE"""),"स्यात्स्मृतिभ्रान्तिसंदेहैस्तदेवालङ्कृतित्रयम् । पङ्कजं पश्यतस्तस्याः मुखं मे गाहते मनः ||")</f>
        <v>स्यात्स्मृतिभ्रान्तिसंदेहैस्तदेवालङ्कृतित्रयम् । पङ्कजं पश्यतस्तस्याः मुखं मे गाहते मनः ||</v>
      </c>
      <c r="B7738" s="4" t="s">
        <v>1</v>
      </c>
      <c r="C7738" s="4"/>
    </row>
    <row r="7739" spans="1:3" ht="24" customHeight="1">
      <c r="A7739" s="4" t="str">
        <f ca="1">IFERROR(__xludf.DUMMYFUNCTION("""COMPUTED_VALUE"""),"अयं प्रमत्तमधुपस्त्वन्मुखं वेद पङ्कजम् । पङ्कजं वा सुधांशुर्वेत्यस्माकं तु न निर्णयः ||")</f>
        <v>अयं प्रमत्तमधुपस्त्वन्मुखं वेद पङ्कजम् । पङ्कजं वा सुधांशुर्वेत्यस्माकं तु न निर्णयः ||</v>
      </c>
      <c r="B7739" s="4" t="s">
        <v>5</v>
      </c>
      <c r="C7739" s="4"/>
    </row>
    <row r="7740" spans="1:3" ht="24" customHeight="1">
      <c r="A7740" s="4" t="str">
        <f ca="1">IFERROR(__xludf.DUMMYFUNCTION("""COMPUTED_VALUE"""),"मीलितं बहुसादृश्याद्भेदवच्चेन्न लक्ष्यते । रसो नालक्षि लाक्षायाश्चरणे सहजारुणे ||")</f>
        <v>मीलितं बहुसादृश्याद्भेदवच्चेन्न लक्ष्यते । रसो नालक्षि लाक्षायाश्चरणे सहजारुणे ||</v>
      </c>
      <c r="B7740" s="4" t="s">
        <v>7</v>
      </c>
      <c r="C7740" s="4"/>
    </row>
    <row r="7741" spans="1:3" ht="24" customHeight="1">
      <c r="A7741" s="4" t="str">
        <f ca="1">IFERROR(__xludf.DUMMYFUNCTION("""COMPUTED_VALUE"""),"सामान्यं यदि सादृश्याद्भेद एव न लक्ष्यते । पद्माकरप्रविष्टानां मुखं नालक्षि सुभ्रुवाम् ||")</f>
        <v>सामान्यं यदि सादृश्याद्भेद एव न लक्ष्यते । पद्माकरप्रविष्टानां मुखं नालक्षि सुभ्रुवाम् ||</v>
      </c>
      <c r="B7741" s="4" t="s">
        <v>4</v>
      </c>
      <c r="C7741" s="4"/>
    </row>
    <row r="7742" spans="1:3" ht="24" customHeight="1">
      <c r="A7742" s="4" t="str">
        <f ca="1">IFERROR(__xludf.DUMMYFUNCTION("""COMPUTED_VALUE"""),"हेतोः कुतोऽपि वैशिष्ट्यात्स्फूर्तिरुन्मीलितं मतम् । लक्षितान्युदिते चन्द्रे पद्मानि च मुखानि च ||")</f>
        <v>हेतोः कुतोऽपि वैशिष्ट्यात्स्फूर्तिरुन्मीलितं मतम् । लक्षितान्युदिते चन्द्रे पद्मानि च मुखानि च ||</v>
      </c>
      <c r="B7742" s="4" t="s">
        <v>16</v>
      </c>
      <c r="C7742" s="4"/>
    </row>
    <row r="7743" spans="1:3" ht="24" customHeight="1">
      <c r="A7743" s="4" t="str">
        <f ca="1">IFERROR(__xludf.DUMMYFUNCTION("""COMPUTED_VALUE"""),"अनुमानं च कार्यादेः कारणाद्यवधारणम् । अस्ति किञ्चिद्यदनया मां विलोक्य स्मितं मनाक् ||")</f>
        <v>अनुमानं च कार्यादेः कारणाद्यवधारणम् । अस्ति किञ्चिद्यदनया मां विलोक्य स्मितं मनाक् ||</v>
      </c>
      <c r="B7743" s="4" t="s">
        <v>1</v>
      </c>
      <c r="C7743" s="4"/>
    </row>
    <row r="7744" spans="1:3" ht="24" customHeight="1">
      <c r="A7744" s="4" t="str">
        <f ca="1">IFERROR(__xludf.DUMMYFUNCTION("""COMPUTED_VALUE"""),"अर्थापत्तिः स्वयं सिध्येत्पदार्थान्तरवर्णनम् । स जितस्त्वन्मुखेनेन्दुः का वार्ता सरसीरुहाम् ||")</f>
        <v>अर्थापत्तिः स्वयं सिध्येत्पदार्थान्तरवर्णनम् । स जितस्त्वन्मुखेनेन्दुः का वार्ता सरसीरुहाम् ||</v>
      </c>
      <c r="B7744" s="4" t="s">
        <v>24</v>
      </c>
      <c r="C7744" s="4"/>
    </row>
    <row r="7745" spans="1:3" ht="24" customHeight="1">
      <c r="A7745" s="4" t="str">
        <f ca="1">IFERROR(__xludf.DUMMYFUNCTION("""COMPUTED_VALUE"""),"स्यात्काव्यलिङ्गं वागर्थो नूतनार्थसमर्पकः । जितोऽसि मन्दकन्दर्प मच्चित्तेऽस्ति त्रिलोचनः ||")</f>
        <v>स्यात्काव्यलिङ्गं वागर्थो नूतनार्थसमर्पकः । जितोऽसि मन्दकन्दर्प मच्चित्तेऽस्ति त्रिलोचनः ||</v>
      </c>
      <c r="B7745" s="4" t="s">
        <v>1</v>
      </c>
      <c r="C7745" s="4"/>
    </row>
    <row r="7746" spans="1:3" ht="24" customHeight="1">
      <c r="A7746" s="4" t="str">
        <f ca="1">IFERROR(__xludf.DUMMYFUNCTION("""COMPUTED_VALUE"""),"अलङ्कारः परिकरः साभिप्राये विशेषणे । सुधांशुकलितोत्तंसस्तापं हरतु वः शिवः ||")</f>
        <v>अलङ्कारः परिकरः साभिप्राये विशेषणे । सुधांशुकलितोत्तंसस्तापं हरतु वः शिवः ||</v>
      </c>
      <c r="B7746" s="4" t="s">
        <v>4</v>
      </c>
      <c r="C7746" s="4"/>
    </row>
    <row r="7747" spans="1:3" ht="24" customHeight="1">
      <c r="A7747" s="4" t="str">
        <f ca="1">IFERROR(__xludf.DUMMYFUNCTION("""COMPUTED_VALUE"""),"साभिप्राये विशेष्ये तु भवेत्परिकराङ्कुरः । चतुर्णां पुरुषार्थानां दाता देवश्चतुर्भुजः ||")</f>
        <v>साभिप्राये विशेष्ये तु भवेत्परिकराङ्कुरः । चतुर्णां पुरुषार्थानां दाता देवश्चतुर्भुजः ||</v>
      </c>
      <c r="B7747" s="4" t="s">
        <v>3</v>
      </c>
      <c r="C7747" s="4"/>
    </row>
    <row r="7748" spans="1:3" ht="24" customHeight="1">
      <c r="A7748" s="4" t="str">
        <f ca="1">IFERROR(__xludf.DUMMYFUNCTION("""COMPUTED_VALUE"""),"अक्रमातिशयोक्तिश्चेद् युगपत्कार्यकारणे । आलिङ्गन्ति समं देव ज्यां शराश्च पराश्च ते ||")</f>
        <v>अक्रमातिशयोक्तिश्चेद् युगपत्कार्यकारणे । आलिङ्गन्ति समं देव ज्यां शराश्च पराश्च ते ||</v>
      </c>
      <c r="B7748" s="4" t="s">
        <v>2</v>
      </c>
      <c r="C7748" s="4"/>
    </row>
    <row r="7749" spans="1:3" ht="24" customHeight="1">
      <c r="A7749" s="4" t="str">
        <f ca="1">IFERROR(__xludf.DUMMYFUNCTION("""COMPUTED_VALUE"""),"अत्यन्तातिशयोक्तिस्तत्-पौर्वापर्यव्यतिक्रमे । अग्रे मानो गतः पश्चादनुनीता प्रियेण सा ||")</f>
        <v>अत्यन्तातिशयोक्तिस्तत्-पौर्वापर्यव्यतिक्रमे । अग्रे मानो गतः पश्चादनुनीता प्रियेण सा ||</v>
      </c>
      <c r="B7749" s="4" t="s">
        <v>18</v>
      </c>
      <c r="C7749" s="4"/>
    </row>
    <row r="7750" spans="1:3" ht="24" customHeight="1">
      <c r="A7750" s="4" t="str">
        <f ca="1">IFERROR(__xludf.DUMMYFUNCTION("""COMPUTED_VALUE"""),"चपलातिशयोक्तिस्तु कार्ये हेतुप्रसक्तिजे । यामीति प्रियपृष्टाया वलयोऽभवदूर्मिका ||")</f>
        <v>चपलातिशयोक्तिस्तु कार्ये हेतुप्रसक्तिजे । यामीति प्रियपृष्टाया वलयोऽभवदूर्मिका ||</v>
      </c>
      <c r="B7750" s="4" t="s">
        <v>19</v>
      </c>
      <c r="C7750" s="4"/>
    </row>
    <row r="7751" spans="1:3" ht="24" customHeight="1">
      <c r="A7751" s="4" t="str">
        <f ca="1">IFERROR(__xludf.DUMMYFUNCTION("""COMPUTED_VALUE"""),"सम्बन्धातिशयोक्तिः स्यात्तदभावेऽपि तद्वचः । पश्य सौधाग्रसंसक्तं विभाति विधुमण्डलम् ||")</f>
        <v>सम्बन्धातिशयोक्तिः स्यात्तदभावेऽपि तद्वचः । पश्य सौधाग्रसंसक्तं विभाति विधुमण्डलम् ||</v>
      </c>
      <c r="B7751" s="4" t="s">
        <v>11</v>
      </c>
      <c r="C7751" s="4"/>
    </row>
    <row r="7752" spans="1:3" ht="24" customHeight="1">
      <c r="A7752" s="4" t="str">
        <f ca="1">IFERROR(__xludf.DUMMYFUNCTION("""COMPUTED_VALUE"""),"भेदकातिशयोक्तिश्चेदेकस्यैवान्यतोच्यते ।अहो अन्यैव लावण्यलीला बालाकुचस्थले ||")</f>
        <v>भेदकातिशयोक्तिश्चेदेकस्यैवान्यतोच्यते ।अहो अन्यैव लावण्यलीला बालाकुचस्थले ||</v>
      </c>
      <c r="B7752" s="4" t="s">
        <v>11</v>
      </c>
      <c r="C7752" s="4"/>
    </row>
    <row r="7753" spans="1:3" ht="24" customHeight="1">
      <c r="A7753" s="4" t="str">
        <f ca="1">IFERROR(__xludf.DUMMYFUNCTION("""COMPUTED_VALUE"""),"रूपकातिशयोक्तिश्चेद्रूप्यं रूपकमध्यगम् । पश्य नीलोत्पलद्वन्द्वान्निःसरन्ति शिताः शराः ||")</f>
        <v>रूपकातिशयोक्तिश्चेद्रूप्यं रूपकमध्यगम् । पश्य नीलोत्पलद्वन्द्वान्निःसरन्ति शिताः शराः ||</v>
      </c>
      <c r="B7753" s="4" t="s">
        <v>0</v>
      </c>
      <c r="C7753" s="4"/>
    </row>
    <row r="7754" spans="1:3" ht="24" customHeight="1">
      <c r="A7754" s="4" t="str">
        <f ca="1">IFERROR(__xludf.DUMMYFUNCTION("""COMPUTED_VALUE"""),"प्रौढोक्तिस्तदशक्तस्य तच्छक्तत्वावकल्पनम् । कलिन्दजातीररुहाः श्यामलाः सरलद्रुमाः ||")</f>
        <v>प्रौढोक्तिस्तदशक्तस्य तच्छक्तत्वावकल्पनम् । कलिन्दजातीररुहाः श्यामलाः सरलद्रुमाः ||</v>
      </c>
      <c r="B7754" s="4" t="s">
        <v>12</v>
      </c>
      <c r="C7754" s="4"/>
    </row>
    <row r="7755" spans="1:3" ht="24" customHeight="1">
      <c r="A7755" s="4" t="str">
        <f ca="1">IFERROR(__xludf.DUMMYFUNCTION("""COMPUTED_VALUE"""),"सम्भावना यदीत्थं स्यादित्यूहोऽन्यप्रसिद्धये । सिक्तं स्फटिककुम्भान्तः स्थितिश्वेतीकृतैर्जलैः ||")</f>
        <v>सम्भावना यदीत्थं स्यादित्यूहोऽन्यप्रसिद्धये । सिक्तं स्फटिककुम्भान्तः स्थितिश्वेतीकृतैर्जलैः ||</v>
      </c>
      <c r="B7755" s="4" t="s">
        <v>11</v>
      </c>
      <c r="C7755" s="4"/>
    </row>
    <row r="7756" spans="1:3" ht="24" customHeight="1">
      <c r="A7756" s="4" t="str">
        <f ca="1">IFERROR(__xludf.DUMMYFUNCTION("""COMPUTED_VALUE"""),"मौक्तिकं चेल्लतां सूते तत्पुष्पैस्ते समं यशः वाञ्छितादधिकप्राप्तिरयत्नेन प्रहर्षणम् ||")</f>
        <v>मौक्तिकं चेल्लतां सूते तत्पुष्पैस्ते समं यशः वाञ्छितादधिकप्राप्तिरयत्नेन प्रहर्षणम् ||</v>
      </c>
      <c r="B7756" s="4" t="s">
        <v>7</v>
      </c>
      <c r="C7756" s="4"/>
    </row>
    <row r="7757" spans="1:3" ht="24" customHeight="1">
      <c r="A7757" s="4" t="str">
        <f ca="1">IFERROR(__xludf.DUMMYFUNCTION("""COMPUTED_VALUE"""),"दीपमुद्द्योतयेद्यावत्तावदभ्युदितो रविः । इष्यमाणविरुद्धार्थ-सम्प्राप्तिस्तु विषादनम् ||")</f>
        <v>दीपमुद्द्योतयेद्यावत्तावदभ्युदितो रविः । इष्यमाणविरुद्धार्थ-सम्प्राप्तिस्तु विषादनम् ||</v>
      </c>
      <c r="B7757" s="4" t="s">
        <v>1</v>
      </c>
      <c r="C7757" s="4"/>
    </row>
    <row r="7758" spans="1:3" ht="24" customHeight="1">
      <c r="A7758" s="4" t="str">
        <f ca="1">IFERROR(__xludf.DUMMYFUNCTION("""COMPUTED_VALUE"""),"दीपमुद्द्योतयेद्यावत्तावन्निर्वाण एव सः । क्रियादिभिरनेकस्य तुल्यता तुल्ययोगिता ||")</f>
        <v>दीपमुद्द्योतयेद्यावत्तावन्निर्वाण एव सः । क्रियादिभिरनेकस्य तुल्यता तुल्ययोगिता ||</v>
      </c>
      <c r="B7758" s="4" t="s">
        <v>2</v>
      </c>
      <c r="C7758" s="4"/>
    </row>
    <row r="7759" spans="1:3" ht="24" customHeight="1">
      <c r="A7759" s="4" t="str">
        <f ca="1">IFERROR(__xludf.DUMMYFUNCTION("""COMPUTED_VALUE"""),"सङ्कुचन्ति सरोजानि स्वैरिणीवदनानि च । प्राचीनाचलचूडाग्रचुम्बिबिम्बे सुधाकरे ||")</f>
        <v>सङ्कुचन्ति सरोजानि स्वैरिणीवदनानि च । प्राचीनाचलचूडाग्रचुम्बिबिम्बे सुधाकरे ||</v>
      </c>
      <c r="B7759" s="4" t="s">
        <v>0</v>
      </c>
      <c r="C7759" s="4"/>
    </row>
    <row r="7760" spans="1:3" ht="24" customHeight="1">
      <c r="A7760" s="4" t="str">
        <f ca="1">IFERROR(__xludf.DUMMYFUNCTION("""COMPUTED_VALUE"""),"प्रस्तुताप्रस्तुतानां च तुल्यत्वे दीपकं मतम् । मेधां बुधः सुधामिन्दुर्बिभर्ति वसुधां भवान् ||")</f>
        <v>प्रस्तुताप्रस्तुतानां च तुल्यत्वे दीपकं मतम् । मेधां बुधः सुधामिन्दुर्बिभर्ति वसुधां भवान् ||</v>
      </c>
      <c r="B7760" s="4" t="s">
        <v>4</v>
      </c>
      <c r="C7760" s="4"/>
    </row>
    <row r="7761" spans="1:3" ht="24" customHeight="1">
      <c r="A7761" s="4" t="str">
        <f ca="1">IFERROR(__xludf.DUMMYFUNCTION("""COMPUTED_VALUE"""),"आवृत्ते दीपकपदे भवेदावृत्तिदीपकम् । दीप्त्याग्निर्भाति भातीन्दुः कान्त्या भाति रविस्त्विषा ||")</f>
        <v>आवृत्ते दीपकपदे भवेदावृत्तिदीपकम् । दीप्त्याग्निर्भाति भातीन्दुः कान्त्या भाति रविस्त्विषा ||</v>
      </c>
      <c r="B7761" s="4" t="s">
        <v>13</v>
      </c>
      <c r="C7761" s="4"/>
    </row>
    <row r="7762" spans="1:3" ht="24" customHeight="1">
      <c r="A7762" s="4" t="str">
        <f ca="1">IFERROR(__xludf.DUMMYFUNCTION("""COMPUTED_VALUE"""),"वाक्ययोरर्थसामान्ये प्रतिवस्तूपमा मता । तापेन भ्राजते सूरः शूरश्चापेन राजते ||")</f>
        <v>वाक्ययोरर्थसामान्ये प्रतिवस्तूपमा मता । तापेन भ्राजते सूरः शूरश्चापेन राजते ||</v>
      </c>
      <c r="B7762" s="4" t="s">
        <v>2</v>
      </c>
      <c r="C7762" s="4"/>
    </row>
    <row r="7763" spans="1:3" ht="24" customHeight="1">
      <c r="A7763" s="4" t="str">
        <f ca="1">IFERROR(__xludf.DUMMYFUNCTION("""COMPUTED_VALUE"""),"चेद्बिम्बप्रतिबिम्बत्वं दृष्टान्तस्तदलंकृतिः । स्यान्मल्लप्रतिमल्लत्वे सङ्ग्रामोद्दामहुङ्कृतिः ||")</f>
        <v>चेद्बिम्बप्रतिबिम्बत्वं दृष्टान्तस्तदलंकृतिः । स्यान्मल्लप्रतिमल्लत्वे सङ्ग्रामोद्दामहुङ्कृतिः ||</v>
      </c>
      <c r="B7763" s="4" t="s">
        <v>2</v>
      </c>
      <c r="C7763" s="4"/>
    </row>
    <row r="7764" spans="1:3" ht="24" customHeight="1">
      <c r="A7764" s="4" t="str">
        <f ca="1">IFERROR(__xludf.DUMMYFUNCTION("""COMPUTED_VALUE"""),"दृष्टान्तश्चेद्भवन्मूर्तिस्तन्मृष्टा दैवदुर्लिपिः । जाता चेत्प्राक्प्रभा भानोस्तर्हि याता विभावरी ||")</f>
        <v>दृष्टान्तश्चेद्भवन्मूर्तिस्तन्मृष्टा दैवदुर्लिपिः । जाता चेत्प्राक्प्रभा भानोस्तर्हि याता विभावरी ||</v>
      </c>
      <c r="B7764" s="4" t="s">
        <v>0</v>
      </c>
      <c r="C7764" s="4"/>
    </row>
    <row r="7765" spans="1:3" ht="24" customHeight="1">
      <c r="A7765" s="4" t="str">
        <f ca="1">IFERROR(__xludf.DUMMYFUNCTION("""COMPUTED_VALUE"""),"वाक्यार्थयोः सदृशयोरैक्यारोपो निदर्शना । या दातुः सौम्यता सेयं सुधांशोरकलङ्कता ||")</f>
        <v>वाक्यार्थयोः सदृशयोरैक्यारोपो निदर्शना । या दातुः सौम्यता सेयं सुधांशोरकलङ्कता ||</v>
      </c>
      <c r="B7765" s="4" t="s">
        <v>2</v>
      </c>
      <c r="C7765" s="4"/>
    </row>
    <row r="7766" spans="1:3" ht="24" customHeight="1">
      <c r="A7766" s="4" t="str">
        <f ca="1">IFERROR(__xludf.DUMMYFUNCTION("""COMPUTED_VALUE"""),"व्यतिरेको विशेषश्चेदुपमानोपमेययोः । शैला इवोन्नताः सन्तः किं तु प्रकृतिकोमलाः ||")</f>
        <v>व्यतिरेको विशेषश्चेदुपमानोपमेययोः । शैला इवोन्नताः सन्तः किं तु प्रकृतिकोमलाः ||</v>
      </c>
      <c r="B7766" s="4" t="s">
        <v>11</v>
      </c>
      <c r="C7766" s="4"/>
    </row>
    <row r="7767" spans="1:3" ht="24" customHeight="1">
      <c r="A7767" s="4" t="str">
        <f ca="1">IFERROR(__xludf.DUMMYFUNCTION("""COMPUTED_VALUE"""),"सहोक्तिः सहभावश्चेद्भासते जनरञ्जनः । दिगन्तमगमद् यस्य कीर्तिः प्रत्यर्थिभिः सह ||")</f>
        <v>सहोक्तिः सहभावश्चेद्भासते जनरञ्जनः । दिगन्तमगमद् यस्य कीर्तिः प्रत्यर्थिभिः सह ||</v>
      </c>
      <c r="B7767" s="4" t="s">
        <v>24</v>
      </c>
      <c r="C7767" s="4"/>
    </row>
    <row r="7768" spans="1:3" ht="24" customHeight="1">
      <c r="A7768" s="4" t="str">
        <f ca="1">IFERROR(__xludf.DUMMYFUNCTION("""COMPUTED_VALUE"""),"विनोक्तिश्चेद्विना किंचित्प्रस्तुतं हीनमुच्यते । विद्या हृद्याऽपि सावद्या बिना विनयसम्पदम् ||")</f>
        <v>विनोक्तिश्चेद्विना किंचित्प्रस्तुतं हीनमुच्यते । विद्या हृद्याऽपि सावद्या बिना विनयसम्पदम् ||</v>
      </c>
      <c r="B7768" s="4" t="s">
        <v>17</v>
      </c>
      <c r="C7768" s="4"/>
    </row>
    <row r="7769" spans="1:3" ht="24" customHeight="1">
      <c r="A7769" s="4" t="str">
        <f ca="1">IFERROR(__xludf.DUMMYFUNCTION("""COMPUTED_VALUE"""),"समासोक्तिः परिस्फूर्तिः प्रस्तुतेऽप्रस्तुतस्य चेत् । अयमैन्द्रीमुखं पश्य रक्तश्चुम्बति चन्द्रमाः ||")</f>
        <v>समासोक्तिः परिस्फूर्तिः प्रस्तुतेऽप्रस्तुतस्य चेत् । अयमैन्द्रीमुखं पश्य रक्तश्चुम्बति चन्द्रमाः ||</v>
      </c>
      <c r="B7769" s="4" t="s">
        <v>12</v>
      </c>
      <c r="C7769" s="4"/>
    </row>
    <row r="7770" spans="1:3" ht="24" customHeight="1">
      <c r="A7770" s="4" t="str">
        <f ca="1">IFERROR(__xludf.DUMMYFUNCTION("""COMPUTED_VALUE"""),"खण्डश्लेषः पदानां चेदेकैकं पृथगर्थता । उच्छलद्भूरिकीलालः शुशुभे वाहिनीपतिः ||")</f>
        <v>खण्डश्लेषः पदानां चेदेकैकं पृथगर्थता । उच्छलद्भूरिकीलालः शुशुभे वाहिनीपतिः ||</v>
      </c>
      <c r="B7770" s="4" t="s">
        <v>2</v>
      </c>
      <c r="C7770" s="4"/>
    </row>
    <row r="7771" spans="1:3" ht="24" customHeight="1">
      <c r="A7771" s="4" t="str">
        <f ca="1">IFERROR(__xludf.DUMMYFUNCTION("""COMPUTED_VALUE"""),"भङ्गश्लेषः पदस्तोमस्यैव चेत्पृथगर्थता । अजरामरता कस्य नायोध्येव पुरी प्रिया ||")</f>
        <v>भङ्गश्लेषः पदस्तोमस्यैव चेत्पृथगर्थता । अजरामरता कस्य नायोध्येव पुरी प्रिया ||</v>
      </c>
      <c r="B7771" s="4" t="s">
        <v>5</v>
      </c>
      <c r="C7771" s="4"/>
    </row>
    <row r="7772" spans="1:3" ht="24" customHeight="1">
      <c r="A7772" s="4" t="str">
        <f ca="1">IFERROR(__xludf.DUMMYFUNCTION("""COMPUTED_VALUE"""),"अर्थश्लेषोऽर्थमात्रस्य यद्यनेकार्थसंश्रयः । कुटिलाः श्यामला दीर्घाः कटाक्षाः कुन्तलाश्च ते ||")</f>
        <v>अर्थश्लेषोऽर्थमात्रस्य यद्यनेकार्थसंश्रयः । कुटिलाः श्यामला दीर्घाः कटाक्षाः कुन्तलाश्च ते ||</v>
      </c>
      <c r="B7772" s="4" t="s">
        <v>2</v>
      </c>
      <c r="C7772" s="4"/>
    </row>
    <row r="7773" spans="1:3" ht="24" customHeight="1">
      <c r="A7773" s="4" t="str">
        <f ca="1">IFERROR(__xludf.DUMMYFUNCTION("""COMPUTED_VALUE"""),"अप्रस्तुतप्रशंसा स्यात्सा यत्र प्रस्तुतानुगा । कार्यकारणसामान्य-विशेषादेरसौ मता ||")</f>
        <v>अप्रस्तुतप्रशंसा स्यात्सा यत्र प्रस्तुतानुगा । कार्यकारणसामान्य-विशेषादेरसौ मता ||</v>
      </c>
      <c r="B7773" s="4" t="s">
        <v>2</v>
      </c>
      <c r="C7773" s="4"/>
    </row>
    <row r="7774" spans="1:3" ht="24" customHeight="1">
      <c r="A7774" s="4" t="str">
        <f ca="1">IFERROR(__xludf.DUMMYFUNCTION("""COMPUTED_VALUE"""),"कमलैः कमलावासैः किं किं नासादि सुन्दरम् । अप्यम्बुधेः परं पारं प्रयान्ति व्यवसायिनः ||")</f>
        <v>कमलैः कमलावासैः किं किं नासादि सुन्दरम् । अप्यम्बुधेः परं पारं प्रयान्ति व्यवसायिनः ||</v>
      </c>
      <c r="B7774" s="4" t="s">
        <v>1</v>
      </c>
      <c r="C7774" s="4"/>
    </row>
    <row r="7775" spans="1:3" ht="24" customHeight="1">
      <c r="A7775" s="4" t="str">
        <f ca="1">IFERROR(__xludf.DUMMYFUNCTION("""COMPUTED_VALUE"""),"भवेदर्थान्तरन्यासोऽनुषक्तार्थान्तराभिधा । हनूमानब्धिं अतरद्दुष्करं किं महात्मनाम् ||")</f>
        <v>भवेदर्थान्तरन्यासोऽनुषक्तार्थान्तराभिधा । हनूमानब्धिं अतरद्दुष्करं किं महात्मनाम् ||</v>
      </c>
      <c r="B7775" s="4" t="s">
        <v>1</v>
      </c>
      <c r="C7775" s="4"/>
    </row>
    <row r="7776" spans="1:3" ht="24" customHeight="1">
      <c r="A7776" s="4" t="str">
        <f ca="1">IFERROR(__xludf.DUMMYFUNCTION("""COMPUTED_VALUE"""),"यस्मिन्विशेषसामान्यविशेषाः स विकस्वरः । स न जिग्ये महान्तो हि दुर्धर्षाः क्ष्माधरा इव ||")</f>
        <v>यस्मिन्विशेषसामान्यविशेषाः स विकस्वरः । स न जिग्ये महान्तो हि दुर्धर्षाः क्ष्माधरा इव ||</v>
      </c>
      <c r="B7776" s="4" t="s">
        <v>4</v>
      </c>
      <c r="C7776" s="4"/>
    </row>
    <row r="7777" spans="1:3" ht="24" customHeight="1">
      <c r="A7777" s="4" t="str">
        <f ca="1">IFERROR(__xludf.DUMMYFUNCTION("""COMPUTED_VALUE"""),"कार्याद्यैः प्रस्तुतैरुक्ते पर्यायोक्तिं प्रचक्षते । तृणान्यङ्कुरयामास विपक्षनृपसद्मसु ||")</f>
        <v>कार्याद्यैः प्रस्तुतैरुक्ते पर्यायोक्तिं प्रचक्षते । तृणान्यङ्कुरयामास विपक्षनृपसद्मसु ||</v>
      </c>
      <c r="B7777" s="4" t="s">
        <v>18</v>
      </c>
      <c r="C7777" s="4"/>
    </row>
    <row r="7778" spans="1:3" ht="24" customHeight="1">
      <c r="A7778" s="4" t="str">
        <f ca="1">IFERROR(__xludf.DUMMYFUNCTION("""COMPUTED_VALUE"""),"उक्तिर्व्याजस्तुतिर्निन्दा-स्तुतिभ्यां स्तुतिनिन्दयोः । कस्ते विवेको नयसि स्वर्गं पातकिनोऽपि यत् ||")</f>
        <v>उक्तिर्व्याजस्तुतिर्निन्दा-स्तुतिभ्यां स्तुतिनिन्दयोः । कस्ते विवेको नयसि स्वर्गं पातकिनोऽपि यत् ||</v>
      </c>
      <c r="B7778" s="4" t="s">
        <v>5</v>
      </c>
      <c r="C7778" s="4"/>
    </row>
    <row r="7779" spans="1:3" ht="24" customHeight="1">
      <c r="A7779" s="4" t="str">
        <f ca="1">IFERROR(__xludf.DUMMYFUNCTION("""COMPUTED_VALUE"""),"आक्षेपस्तु प्रयुक्तस्य प्रतिषेधो विचारणात् । चन्द्र संदर्शयात्मानमथवास्ति प्रियामुखम् ||")</f>
        <v>आक्षेपस्तु प्रयुक्तस्य प्रतिषेधो विचारणात् । चन्द्र संदर्शयात्मानमथवास्ति प्रियामुखम् ||</v>
      </c>
      <c r="B7779" s="4" t="s">
        <v>14</v>
      </c>
      <c r="C7779" s="4"/>
    </row>
    <row r="7780" spans="1:3" ht="24" customHeight="1">
      <c r="A7780" s="4" t="str">
        <f ca="1">IFERROR(__xludf.DUMMYFUNCTION("""COMPUTED_VALUE"""),"गूढाक्षेपो विधौ व्यक्ते निषेधे चास्फुटे सति । हर सीतां सुखं किं तु चिन्तयान्तकढौकनम् ||")</f>
        <v>गूढाक्षेपो विधौ व्यक्ते निषेधे चास्फुटे सति । हर सीतां सुखं किं तु चिन्तयान्तकढौकनम् ||</v>
      </c>
      <c r="B7780" s="4" t="s">
        <v>1</v>
      </c>
      <c r="C7780" s="4"/>
    </row>
    <row r="7781" spans="1:3" ht="24" customHeight="1">
      <c r="A7781" s="4" t="str">
        <f ca="1">IFERROR(__xludf.DUMMYFUNCTION("""COMPUTED_VALUE"""),"विरोधोऽनुपपत्तिश्चेद् गुणद्रव्यक्रियादिषु । अमन्दचन्दनस्यन्दः स्वच्छन्दं दन्दहीति माम् ||")</f>
        <v>विरोधोऽनुपपत्तिश्चेद् गुणद्रव्यक्रियादिषु । अमन्दचन्दनस्यन्दः स्वच्छन्दं दन्दहीति माम् ||</v>
      </c>
      <c r="B7781" s="4" t="s">
        <v>12</v>
      </c>
      <c r="C7781" s="4"/>
    </row>
    <row r="7782" spans="1:3" ht="24" customHeight="1">
      <c r="A7782" s="4" t="str">
        <f ca="1">IFERROR(__xludf.DUMMYFUNCTION("""COMPUTED_VALUE"""),"श्लेषादिभूर्विरोधश्चेद्विरोधाभासता मता । अप्यन्धकारिणाऽनेन जगदेतत्प्रकाश्यते ||")</f>
        <v>श्लेषादिभूर्विरोधश्चेद्विरोधाभासता मता । अप्यन्धकारिणाऽनेन जगदेतत्प्रकाश्यते ||</v>
      </c>
      <c r="B7782" s="4" t="s">
        <v>2</v>
      </c>
      <c r="C7782" s="4"/>
    </row>
    <row r="7783" spans="1:3" ht="24" customHeight="1">
      <c r="A7783" s="4" t="str">
        <f ca="1">IFERROR(__xludf.DUMMYFUNCTION("""COMPUTED_VALUE"""),"असंभवोऽर्थनिष्पत्तावसंभाव्यत्ववर्णनम् । को वेद गोपशिशुकः शैलमुत्पाटयिष्यति ||")</f>
        <v>असंभवोऽर्थनिष्पत्तावसंभाव्यत्ववर्णनम् । को वेद गोपशिशुकः शैलमुत्पाटयिष्यति ||</v>
      </c>
      <c r="B7783" s="4" t="s">
        <v>2</v>
      </c>
      <c r="C7783" s="4"/>
    </row>
    <row r="7784" spans="1:3" ht="24" customHeight="1">
      <c r="A7784" s="4" t="str">
        <f ca="1">IFERROR(__xludf.DUMMYFUNCTION("""COMPUTED_VALUE"""),"विभावना विनाऽपि स्यात्कारणं कार्यजन्म चेत् । पश्य, लाक्षारसासिक्तं रक्तं त्वच्चरणद्वयम् ||")</f>
        <v>विभावना विनाऽपि स्यात्कारणं कार्यजन्म चेत् । पश्य, लाक्षारसासिक्तं रक्तं त्वच्चरणद्वयम् ||</v>
      </c>
      <c r="B7784" s="4" t="s">
        <v>5</v>
      </c>
      <c r="C7784" s="4"/>
    </row>
    <row r="7785" spans="1:3" ht="24" customHeight="1">
      <c r="A7785" s="4" t="str">
        <f ca="1">IFERROR(__xludf.DUMMYFUNCTION("""COMPUTED_VALUE"""),"विशेषोक्तिरनुत्पत्तिः कार्यस्य सति कारणे । नमन्तमपि धीमन्तं न लङ्घयति कश्चन ||")</f>
        <v>विशेषोक्तिरनुत्पत्तिः कार्यस्य सति कारणे । नमन्तमपि धीमन्तं न लङ्घयति कश्चन ||</v>
      </c>
      <c r="B7785" s="4" t="s">
        <v>1</v>
      </c>
      <c r="C7785" s="4"/>
    </row>
    <row r="7786" spans="1:3" ht="24" customHeight="1">
      <c r="A7786" s="4" t="str">
        <f ca="1">IFERROR(__xludf.DUMMYFUNCTION("""COMPUTED_VALUE"""),"आख्याते भिन्नदेशत्वे कार्यहेत्वोरसंगतिः । त्वद्भक्तानां नमत्यङ्गं भङ्गमेति भवक्लमः ||")</f>
        <v>आख्याते भिन्नदेशत्वे कार्यहेत्वोरसंगतिः । त्वद्भक्तानां नमत्यङ्गं भङ्गमेति भवक्लमः ||</v>
      </c>
      <c r="B7786" s="4" t="s">
        <v>12</v>
      </c>
      <c r="C7786" s="4"/>
    </row>
    <row r="7787" spans="1:3" ht="24" customHeight="1">
      <c r="A7787" s="4" t="str">
        <f ca="1">IFERROR(__xludf.DUMMYFUNCTION("""COMPUTED_VALUE"""),"विषमं यद्यनौचित्यादनेकान्वयकल्पनम् । क्वातितीव्रविषाः सर्पाः क्वासौ चन्दनभूरुहः ||")</f>
        <v>विषमं यद्यनौचित्यादनेकान्वयकल्पनम् । क्वातितीव्रविषाः सर्पाः क्वासौ चन्दनभूरुहः ||</v>
      </c>
      <c r="B7787" s="4" t="s">
        <v>24</v>
      </c>
      <c r="C7787" s="4"/>
    </row>
    <row r="7788" spans="1:3" ht="24" customHeight="1">
      <c r="A7788" s="4" t="str">
        <f ca="1">IFERROR(__xludf.DUMMYFUNCTION("""COMPUTED_VALUE"""),"सममौचित्यतोऽनेकवस्तुसम्बन्धवर्णनम् । अनुरूपं कृतं सद्म हारेण कुचमण्डलम् ||")</f>
        <v>सममौचित्यतोऽनेकवस्तुसम्बन्धवर्णनम् । अनुरूपं कृतं सद्म हारेण कुचमण्डलम् ||</v>
      </c>
      <c r="B7788" s="4" t="s">
        <v>11</v>
      </c>
      <c r="C7788" s="4"/>
    </row>
    <row r="7789" spans="1:3" ht="24" customHeight="1">
      <c r="A7789" s="4" t="str">
        <f ca="1">IFERROR(__xludf.DUMMYFUNCTION("""COMPUTED_VALUE"""),"विचित्रं चेत्प्रयत्नः स्याद्विपरीतफलप्रदः । नमन्ति सन्तस्त्रैलोक्यादपि लब्धुं समुन्नतिम् ||")</f>
        <v>विचित्रं चेत्प्रयत्नः स्याद्विपरीतफलप्रदः । नमन्ति सन्तस्त्रैलोक्यादपि लब्धुं समुन्नतिम् ||</v>
      </c>
      <c r="B7789" s="4" t="s">
        <v>2</v>
      </c>
      <c r="C7789" s="4"/>
    </row>
    <row r="7790" spans="1:3" ht="24" customHeight="1">
      <c r="A7790" s="4" t="str">
        <f ca="1">IFERROR(__xludf.DUMMYFUNCTION("""COMPUTED_VALUE"""),"अधिकं बोध्यमाधारादाधेयाधिकवर्णनम् । यया व्याप्तं जगत्तस्यां वाचि मान्ति न ते गुणाः ||")</f>
        <v>अधिकं बोध्यमाधारादाधेयाधिकवर्णनम् । यया व्याप्तं जगत्तस्यां वाचि मान्ति न ते गुणाः ||</v>
      </c>
      <c r="B7790" s="4" t="s">
        <v>7</v>
      </c>
      <c r="C7790" s="4"/>
    </row>
    <row r="7791" spans="1:3" ht="24" customHeight="1">
      <c r="A7791" s="4" t="str">
        <f ca="1">IFERROR(__xludf.DUMMYFUNCTION("""COMPUTED_VALUE"""),"अन्योन्यं नाम यत्र स्यादुपकारः परस्परम् । त्रियामा शशिना भाति शशी भाति त्रियामया ||")</f>
        <v>अन्योन्यं नाम यत्र स्यादुपकारः परस्परम् । त्रियामा शशिना भाति शशी भाति त्रियामया ||</v>
      </c>
      <c r="B7791" s="4" t="s">
        <v>5</v>
      </c>
      <c r="C7791" s="4"/>
    </row>
    <row r="7792" spans="1:3" ht="24" customHeight="1">
      <c r="A7792" s="4" t="str">
        <f ca="1">IFERROR(__xludf.DUMMYFUNCTION("""COMPUTED_VALUE"""),"विशेषः ख्यातमाधारं विनाप्याधेयवर्णनम् । गतेऽपि सूर्ये दीपस्थास्तमश्छिन्दन्ति तत्कराः ||")</f>
        <v>विशेषः ख्यातमाधारं विनाप्याधेयवर्णनम् । गतेऽपि सूर्ये दीपस्थास्तमश्छिन्दन्ति तत्कराः ||</v>
      </c>
      <c r="B7792" s="4" t="s">
        <v>0</v>
      </c>
      <c r="C7792" s="4"/>
    </row>
    <row r="7793" spans="1:3" ht="24" customHeight="1">
      <c r="A7793" s="4" t="str">
        <f ca="1">IFERROR(__xludf.DUMMYFUNCTION("""COMPUTED_VALUE"""),"स्याद्व्याघातो यथाकारि वस्त्वन्यक्रियमुच्यते । यैर्जगत्प्रीयते हन्ति तैरेव कुसुमायुधः ||")</f>
        <v>स्याद्व्याघातो यथाकारि वस्त्वन्यक्रियमुच्यते । यैर्जगत्प्रीयते हन्ति तैरेव कुसुमायुधः ||</v>
      </c>
      <c r="B7793" s="4" t="s">
        <v>20</v>
      </c>
      <c r="C7793" s="4"/>
    </row>
    <row r="7794" spans="1:3" ht="24" customHeight="1">
      <c r="A7794" s="4" t="str">
        <f ca="1">IFERROR(__xludf.DUMMYFUNCTION("""COMPUTED_VALUE"""),"गुम्फः कारणमाला स्याद्यथा प्राक्प्रान्तकारणैः । नयेन श्रीः श्रिया त्यागस्त्यागेन विपुलं यशः ||")</f>
        <v>गुम्फः कारणमाला स्याद्यथा प्राक्प्रान्तकारणैः । नयेन श्रीः श्रिया त्यागस्त्यागेन विपुलं यशः ||</v>
      </c>
      <c r="B7794" s="4" t="s">
        <v>8</v>
      </c>
      <c r="C7794" s="4"/>
    </row>
    <row r="7795" spans="1:3" ht="24" customHeight="1">
      <c r="A7795" s="4" t="str">
        <f ca="1">IFERROR(__xludf.DUMMYFUNCTION("""COMPUTED_VALUE"""),"गृहीतमुक्तरीत्यर्थ-श्रेणिरेकावली मता । नेत्रे कर्णान्तविश्रान्ते कर्णौ दोर्मूलदोलिनौ ||")</f>
        <v>गृहीतमुक्तरीत्यर्थ-श्रेणिरेकावली मता । नेत्रे कर्णान्तविश्रान्ते कर्णौ दोर्मूलदोलिनौ ||</v>
      </c>
      <c r="B7795" s="4" t="s">
        <v>1</v>
      </c>
      <c r="C7795" s="4"/>
    </row>
    <row r="7796" spans="1:3" ht="24" customHeight="1">
      <c r="A7796" s="4" t="str">
        <f ca="1">IFERROR(__xludf.DUMMYFUNCTION("""COMPUTED_VALUE"""),"दीपकैकावलीयोगान्मालादीपकमुच्यते । स्मरेण हृदये तस्यास्तेन त्वयि कृता स्थितिः ||")</f>
        <v>दीपकैकावलीयोगान्मालादीपकमुच्यते । स्मरेण हृदये तस्यास्तेन त्वयि कृता स्थितिः ||</v>
      </c>
      <c r="B7796" s="4" t="s">
        <v>2</v>
      </c>
      <c r="C7796" s="4"/>
    </row>
    <row r="7797" spans="1:3" ht="24" customHeight="1">
      <c r="A7797" s="4" t="str">
        <f ca="1">IFERROR(__xludf.DUMMYFUNCTION("""COMPUTED_VALUE"""),"सारो नाम पदोत्कर्षः सारताया यथोत्तरम् । सारं सारस्वतं तत्र काव्यं तत्र शिवस्तवः ||")</f>
        <v>सारो नाम पदोत्कर्षः सारताया यथोत्तरम् । सारं सारस्वतं तत्र काव्यं तत्र शिवस्तवः ||</v>
      </c>
      <c r="B7797" s="4" t="s">
        <v>4</v>
      </c>
      <c r="C7797" s="4"/>
    </row>
    <row r="7798" spans="1:3" ht="24" customHeight="1">
      <c r="A7798" s="4" t="str">
        <f ca="1">IFERROR(__xludf.DUMMYFUNCTION("""COMPUTED_VALUE"""),"उदारसारश्चेद्भाति भिन्नोऽभिन्नतया गुणः । मधुरं मधु पीयूषं तस्मात्तस्मात्कवेर्वचः ||")</f>
        <v>उदारसारश्चेद्भाति भिन्नोऽभिन्नतया गुणः । मधुरं मधु पीयूषं तस्मात्तस्मात्कवेर्वचः ||</v>
      </c>
      <c r="B7798" s="4" t="s">
        <v>16</v>
      </c>
      <c r="C7798" s="4"/>
    </row>
    <row r="7799" spans="1:3" ht="24" customHeight="1">
      <c r="A7799" s="4" t="str">
        <f ca="1">IFERROR(__xludf.DUMMYFUNCTION("""COMPUTED_VALUE"""),"यथासंख्यं द्विधार्थाश्चेत्क्रमादेकैकमन्विताः । शत्रुं मित्रं द्विषत्पक्षं जय रञ्जय भञ्जय ||")</f>
        <v>यथासंख्यं द्विधार्थाश्चेत्क्रमादेकैकमन्विताः । शत्रुं मित्रं द्विषत्पक्षं जय रञ्जय भञ्जय ||</v>
      </c>
      <c r="B7799" s="4" t="s">
        <v>5</v>
      </c>
      <c r="C7799" s="4"/>
    </row>
    <row r="7800" spans="1:3" ht="24" customHeight="1">
      <c r="A7800" s="4" t="str">
        <f ca="1">IFERROR(__xludf.DUMMYFUNCTION("""COMPUTED_VALUE"""),"पर्यायश्चेदनेकत्र स्यादेकस्य समन्वयः । पद्मं मुक्त्वा गता चन्द्रं कामिनीवदनोपमा ||")</f>
        <v>पर्यायश्चेदनेकत्र स्यादेकस्य समन्वयः । पद्मं मुक्त्वा गता चन्द्रं कामिनीवदनोपमा ||</v>
      </c>
      <c r="B7800" s="4" t="s">
        <v>12</v>
      </c>
      <c r="C7800" s="4"/>
    </row>
    <row r="7801" spans="1:3" ht="24" customHeight="1">
      <c r="A7801" s="4" t="str">
        <f ca="1">IFERROR(__xludf.DUMMYFUNCTION("""COMPUTED_VALUE"""),"परिवृत्तिर्विनिमयो न्यूनाभ्यधिकयोर्मिथः । जग्राहैकं शरं मुक्त्वा कटाक्षान्शत्रुयोषिताम् ||")</f>
        <v>परिवृत्तिर्विनिमयो न्यूनाभ्यधिकयोर्मिथः । जग्राहैकं शरं मुक्त्वा कटाक्षान्शत्रुयोषिताम् ||</v>
      </c>
      <c r="B7801" s="4" t="s">
        <v>2</v>
      </c>
      <c r="C7801" s="4"/>
    </row>
    <row r="7802" spans="1:3" ht="24" customHeight="1">
      <c r="A7802" s="4" t="str">
        <f ca="1">IFERROR(__xludf.DUMMYFUNCTION("""COMPUTED_VALUE"""),"परिसंख्या निषिध्यैकमन्यस्मिन्वस्तुयन्त्रणम् । स्नेहक्षयः प्रदीपेषु स्वान्तेषु न नतभ्रुवाम् ||")</f>
        <v>परिसंख्या निषिध्यैकमन्यस्मिन्वस्तुयन्त्रणम् । स्नेहक्षयः प्रदीपेषु स्वान्तेषु न नतभ्रुवाम् ||</v>
      </c>
      <c r="B7802" s="4" t="s">
        <v>4</v>
      </c>
      <c r="C7802" s="4"/>
    </row>
    <row r="7803" spans="1:3" ht="24" customHeight="1">
      <c r="A7803" s="4" t="str">
        <f ca="1">IFERROR(__xludf.DUMMYFUNCTION("""COMPUTED_VALUE"""),"विकल्पस्तुल्यबलयोर्विरोधश्चातुरीयुतः । कान्ताचित्तेऽधरे वाऽपि कुरु त्वं वीतरागताम् ||")</f>
        <v>विकल्पस्तुल्यबलयोर्विरोधश्चातुरीयुतः । कान्ताचित्तेऽधरे वाऽपि कुरु त्वं वीतरागताम् ||</v>
      </c>
      <c r="B7803" s="4" t="s">
        <v>2</v>
      </c>
      <c r="C7803" s="4"/>
    </row>
    <row r="7804" spans="1:3" ht="24" customHeight="1">
      <c r="A7804" s="4" t="str">
        <f ca="1">IFERROR(__xludf.DUMMYFUNCTION("""COMPUTED_VALUE"""),"भूयसामेकसम्बन्धभाजां गुम्फः समुच्चयः । नश्यन्ति पश्चात्पश्यन्ति भ्रश्यन्ति च तव द्विषः ||")</f>
        <v>भूयसामेकसम्बन्धभाजां गुम्फः समुच्चयः । नश्यन्ति पश्चात्पश्यन्ति भ्रश्यन्ति च तव द्विषः ||</v>
      </c>
      <c r="B7804" s="4" t="s">
        <v>13</v>
      </c>
      <c r="C7804" s="4"/>
    </row>
    <row r="7805" spans="1:3" ht="24" customHeight="1">
      <c r="A7805" s="4" t="str">
        <f ca="1">IFERROR(__xludf.DUMMYFUNCTION("""COMPUTED_VALUE"""),"समाधिः कार्यसौकर्यं कारणान्तरसन्निधेः । उत्कण्ठितां च कलयन्जगामास्तं च भानुमान् ||")</f>
        <v>समाधिः कार्यसौकर्यं कारणान्तरसन्निधेः । उत्कण्ठितां च कलयन्जगामास्तं च भानुमान् ||</v>
      </c>
      <c r="B7805" s="4" t="s">
        <v>12</v>
      </c>
      <c r="C7805" s="4"/>
    </row>
    <row r="7806" spans="1:3" ht="24" customHeight="1">
      <c r="A7806" s="4" t="str">
        <f ca="1">IFERROR(__xludf.DUMMYFUNCTION("""COMPUTED_VALUE"""),"प्रत्यनीकं बलवतः शत्रोः पक्षे पराक्रमः । जैत्रनेत्रानुगौ कर्णावुत्पलाभ्यामधःकृतौ ||")</f>
        <v>प्रत्यनीकं बलवतः शत्रोः पक्षे पराक्रमः । जैत्रनेत्रानुगौ कर्णावुत्पलाभ्यामधःकृतौ ||</v>
      </c>
      <c r="B7806" s="4" t="s">
        <v>2</v>
      </c>
      <c r="C7806" s="4"/>
    </row>
    <row r="7807" spans="1:3" ht="24" customHeight="1">
      <c r="A7807" s="4" t="str">
        <f ca="1">IFERROR(__xludf.DUMMYFUNCTION("""COMPUTED_VALUE"""),"प्रतीपमुपमानस्य हीनत्वमुपमेयतः । दृष्टं चेद्वदनं तस्याः किं पद्मेन किमिन्दुना ||")</f>
        <v>प्रतीपमुपमानस्य हीनत्वमुपमेयतः । दृष्टं चेद्वदनं तस्याः किं पद्मेन किमिन्दुना ||</v>
      </c>
      <c r="B7807" s="4" t="s">
        <v>1</v>
      </c>
      <c r="C7807" s="4"/>
    </row>
    <row r="7808" spans="1:3" ht="24" customHeight="1">
      <c r="A7808" s="4" t="str">
        <f ca="1">IFERROR(__xludf.DUMMYFUNCTION("""COMPUTED_VALUE"""),"उल्लासोऽन्यमहिम्ना चेद्दोषो ह्यन्यत्र वर्ण्यते । तदभाग्यं धनस्यैव यन्नाश्रयति सज्जनम् ||")</f>
        <v>उल्लासोऽन्यमहिम्ना चेद्दोषो ह्यन्यत्र वर्ण्यते । तदभाग्यं धनस्यैव यन्नाश्रयति सज्जनम् ||</v>
      </c>
      <c r="B7808" s="4" t="s">
        <v>1</v>
      </c>
      <c r="C7808" s="4"/>
    </row>
    <row r="7809" spans="1:3" ht="24" customHeight="1">
      <c r="A7809" s="4" t="str">
        <f ca="1">IFERROR(__xludf.DUMMYFUNCTION("""COMPUTED_VALUE"""),"तद्गुणः स्वगुणत्यागादन्यतः स्वगुणोदयः । पद्मरागारुणं नासामौक्तिकं तेऽधराश्रितम् ||")</f>
        <v>तद्गुणः स्वगुणत्यागादन्यतः स्वगुणोदयः । पद्मरागारुणं नासामौक्तिकं तेऽधराश्रितम् ||</v>
      </c>
      <c r="B7809" s="4" t="s">
        <v>2</v>
      </c>
      <c r="C7809" s="4"/>
    </row>
    <row r="7810" spans="1:3" ht="24" customHeight="1">
      <c r="A7810" s="4" t="str">
        <f ca="1">IFERROR(__xludf.DUMMYFUNCTION("""COMPUTED_VALUE"""),"पुनः स्वगुणसम्प्राप्तिर्विज्ञेया पूर्वरूपता । हरकण्ठांशुलिप्तोऽपि शेषस्त्वद्यशसा सितः ||")</f>
        <v>पुनः स्वगुणसम्प्राप्तिर्विज्ञेया पूर्वरूपता । हरकण्ठांशुलिप्तोऽपि शेषस्त्वद्यशसा सितः ||</v>
      </c>
      <c r="B7810" s="4" t="s">
        <v>2</v>
      </c>
      <c r="C7810" s="4"/>
    </row>
    <row r="7811" spans="1:3" ht="24" customHeight="1">
      <c r="A7811" s="4" t="str">
        <f ca="1">IFERROR(__xludf.DUMMYFUNCTION("""COMPUTED_VALUE"""),"यद्वस्तुनोऽन्यथारूपं तथा स्यात्पूर्वरूपता । दीपे निर्वापिते ह्यासीत्काञ्चीरत्नैरहर्महः ||")</f>
        <v>यद्वस्तुनोऽन्यथारूपं तथा स्यात्पूर्वरूपता । दीपे निर्वापिते ह्यासीत्काञ्चीरत्नैरहर्महः ||</v>
      </c>
      <c r="B7811" s="4" t="s">
        <v>24</v>
      </c>
      <c r="C7811" s="4"/>
    </row>
    <row r="7812" spans="1:3" ht="24" customHeight="1">
      <c r="A7812" s="4" t="str">
        <f ca="1">IFERROR(__xludf.DUMMYFUNCTION("""COMPUTED_VALUE"""),"सङ्गतान्यगुणानङ्गीकारमाहुरतद्गुणम् । विशन्नपि रवेर्मध्यं शीत एव सदा शशी ||")</f>
        <v>सङ्गतान्यगुणानङ्गीकारमाहुरतद्गुणम् । विशन्नपि रवेर्मध्यं शीत एव सदा शशी ||</v>
      </c>
      <c r="B7812" s="4" t="s">
        <v>8</v>
      </c>
      <c r="C7812" s="4"/>
    </row>
    <row r="7813" spans="1:3" ht="24" customHeight="1">
      <c r="A7813" s="4" t="str">
        <f ca="1">IFERROR(__xludf.DUMMYFUNCTION("""COMPUTED_VALUE"""),"प्राक् सिद्धस्वगुणोत्कर्षोऽनुगुणः परसन्निधेः । कर्णोत्पलानि दधते कटाक्षैरपि नीलताम् ||")</f>
        <v>प्राक् सिद्धस्वगुणोत्कर्षोऽनुगुणः परसन्निधेः । कर्णोत्पलानि दधते कटाक्षैरपि नीलताम् ||</v>
      </c>
      <c r="B7813" s="4" t="s">
        <v>2</v>
      </c>
      <c r="C7813" s="4"/>
    </row>
    <row r="7814" spans="1:3" ht="24" customHeight="1">
      <c r="A7814" s="4" t="str">
        <f ca="1">IFERROR(__xludf.DUMMYFUNCTION("""COMPUTED_VALUE"""),"अवज्ञा वर्ण्यते वस्तु गुणदोषाक्षमं यदि । म्लायन्ति यदि पद्मानि का हानिरमृतद्युतेः ||")</f>
        <v>अवज्ञा वर्ण्यते वस्तु गुणदोषाक्षमं यदि । म्लायन्ति यदि पद्मानि का हानिरमृतद्युतेः ||</v>
      </c>
      <c r="B7814" s="4" t="s">
        <v>2</v>
      </c>
      <c r="C7814" s="4"/>
    </row>
    <row r="7815" spans="1:3" ht="24" customHeight="1">
      <c r="A7815" s="4" t="str">
        <f ca="1">IFERROR(__xludf.DUMMYFUNCTION("""COMPUTED_VALUE"""),"प्रश्नोत्तरं क्रमेणोक्तौ स्यूतमुत्तरमुत्तरम् । यत्रासौ वेतसी पान्थ तत्रासौ सुतरा सरित् ||")</f>
        <v>प्रश्नोत्तरं क्रमेणोक्तौ स्यूतमुत्तरमुत्तरम् । यत्रासौ वेतसी पान्थ तत्रासौ सुतरा सरित् ||</v>
      </c>
      <c r="B7815" s="4" t="s">
        <v>0</v>
      </c>
      <c r="C7815" s="4"/>
    </row>
    <row r="7816" spans="1:3" ht="24" customHeight="1">
      <c r="A7816" s="4" t="str">
        <f ca="1">IFERROR(__xludf.DUMMYFUNCTION("""COMPUTED_VALUE"""),"पिहितं परवृत्तान्त-ज्ञातुरन्यस्य चेष्टितम् । प्रिये गृहागते प्रातः कान्ता तल्पमकल्पयत् ||")</f>
        <v>पिहितं परवृत्तान्त-ज्ञातुरन्यस्य चेष्टितम् । प्रिये गृहागते प्रातः कान्ता तल्पमकल्पयत् ||</v>
      </c>
      <c r="B7816" s="4" t="s">
        <v>5</v>
      </c>
      <c r="C7816" s="4"/>
    </row>
    <row r="7817" spans="1:3" ht="24" customHeight="1">
      <c r="A7817" s="4" t="str">
        <f ca="1">IFERROR(__xludf.DUMMYFUNCTION("""COMPUTED_VALUE"""),"व्याजोक्तिः शङ्कमानस्य छद्मना वस्तुगोपनम् । सखि पश्य गृहाराम-परागैरस्मि धूसरा ||")</f>
        <v>व्याजोक्तिः शङ्कमानस्य छद्मना वस्तुगोपनम् । सखि पश्य गृहाराम-परागैरस्मि धूसरा ||</v>
      </c>
      <c r="B7817" s="4" t="s">
        <v>0</v>
      </c>
      <c r="C7817" s="4"/>
    </row>
    <row r="7818" spans="1:3" ht="24" customHeight="1">
      <c r="A7818" s="4" t="str">
        <f ca="1">IFERROR(__xludf.DUMMYFUNCTION("""COMPUTED_VALUE"""),"वक्रोक्तिः श्लेषकाकुभ्यां वाच्यार्थान्तरकल्पनम् । मुञ्च मानन्दिनं प्राप्तं मन्द नन्दी हरान्तिके ||")</f>
        <v>वक्रोक्तिः श्लेषकाकुभ्यां वाच्यार्थान्तरकल्पनम् । मुञ्च मानन्दिनं प्राप्तं मन्द नन्दी हरान्तिके ||</v>
      </c>
      <c r="B7818" s="4" t="s">
        <v>19</v>
      </c>
      <c r="C7818" s="4"/>
    </row>
    <row r="7819" spans="1:3" ht="24" customHeight="1">
      <c r="A7819" s="4" t="str">
        <f ca="1">IFERROR(__xludf.DUMMYFUNCTION("""COMPUTED_VALUE"""),"स्वाभावोक्तिः स्वभावस्य जात्यादिषु च वर्णनम् । कुरङ्गैरुत्तरङ्गाक्षि स्तब्धकर्णैरुदीक्ष्यते ||")</f>
        <v>स्वाभावोक्तिः स्वभावस्य जात्यादिषु च वर्णनम् । कुरङ्गैरुत्तरङ्गाक्षि स्तब्धकर्णैरुदीक्ष्यते ||</v>
      </c>
      <c r="B7819" s="4" t="s">
        <v>2</v>
      </c>
      <c r="C7819" s="4"/>
    </row>
    <row r="7820" spans="1:3" ht="24" customHeight="1">
      <c r="A7820" s="4" t="str">
        <f ca="1">IFERROR(__xludf.DUMMYFUNCTION("""COMPUTED_VALUE"""),"भाविकं भूतभाव्यर्थ-साक्षाद्दर्शनवर्णनम् । अलं विलोकयाद्यापि युद्ध्यन्तेऽत्र सुराऽसुराः ||")</f>
        <v>भाविकं भूतभाव्यर्थ-साक्षाद्दर्शनवर्णनम् । अलं विलोकयाद्यापि युद्ध्यन्तेऽत्र सुराऽसुराः ||</v>
      </c>
      <c r="B7820" s="4" t="s">
        <v>0</v>
      </c>
      <c r="C7820" s="4"/>
    </row>
    <row r="7821" spans="1:3" ht="24" customHeight="1">
      <c r="A7821" s="4" t="str">
        <f ca="1">IFERROR(__xludf.DUMMYFUNCTION("""COMPUTED_VALUE"""),"देशात्मविप्रकृष्टस्य दर्शनं भाविकच्छविः । त्वं वसन्हृदये तस्याः साक्षात्पञ्चेषुरीक्ष्यसे ||")</f>
        <v>देशात्मविप्रकृष्टस्य दर्शनं भाविकच्छविः । त्वं वसन्हृदये तस्याः साक्षात्पञ्चेषुरीक्ष्यसे ||</v>
      </c>
      <c r="B7821" s="4" t="s">
        <v>18</v>
      </c>
      <c r="C7821" s="4"/>
    </row>
    <row r="7822" spans="1:3" ht="24" customHeight="1">
      <c r="A7822" s="4" t="str">
        <f ca="1">IFERROR(__xludf.DUMMYFUNCTION("""COMPUTED_VALUE"""),"उदात्तमृद्धेश्चरितं श्लाघ्यं चान्योपलक्षणम् । सानौ यस्याभवद् युद्धं तद्धूर्जटिकिरीटिनोः ||")</f>
        <v>उदात्तमृद्धेश्चरितं श्लाघ्यं चान्योपलक्षणम् । सानौ यस्याभवद् युद्धं तद्धूर्जटिकिरीटिनोः ||</v>
      </c>
      <c r="B7822" s="4" t="s">
        <v>1</v>
      </c>
      <c r="C7822" s="4"/>
    </row>
    <row r="7823" spans="1:3" ht="24" customHeight="1">
      <c r="A7823" s="4" t="str">
        <f ca="1">IFERROR(__xludf.DUMMYFUNCTION("""COMPUTED_VALUE"""),"अत्युक्तिरद्भुतातथ्य-शौर्यौदार्यादिवर्णनम् । त्वयि दातरि राजेन्द्र याचकाः कल्पशाखिनः ||")</f>
        <v>अत्युक्तिरद्भुतातथ्य-शौर्यौदार्यादिवर्णनम् । त्वयि दातरि राजेन्द्र याचकाः कल्पशाखिनः ||</v>
      </c>
      <c r="B7823" s="4" t="s">
        <v>1</v>
      </c>
      <c r="C7823" s="4"/>
    </row>
    <row r="7824" spans="1:3" ht="24" customHeight="1">
      <c r="A7824" s="4" t="str">
        <f ca="1">IFERROR(__xludf.DUMMYFUNCTION("""COMPUTED_VALUE"""),"रसभावतदाभास-भावशान्तिनिबन्धनाः । रसवत्प्रेयऊर्जस्वि-समाहितमयाभिधाः ||")</f>
        <v>रसभावतदाभास-भावशान्तिनिबन्धनाः । रसवत्प्रेयऊर्जस्वि-समाहितमयाभिधाः ||</v>
      </c>
      <c r="B7824" s="4" t="s">
        <v>20</v>
      </c>
      <c r="C7824" s="4"/>
    </row>
    <row r="7825" spans="1:3" ht="24" customHeight="1">
      <c r="A7825" s="4" t="str">
        <f ca="1">IFERROR(__xludf.DUMMYFUNCTION("""COMPUTED_VALUE"""),"भावानामुदयः सन्धिः शबलत्वमिति त्रयः । अलङ्कारानिमान्सप्त केचिदाहुर्मनीषिणः ||")</f>
        <v>भावानामुदयः सन्धिः शबलत्वमिति त्रयः । अलङ्कारानिमान्सप्त केचिदाहुर्मनीषिणः ||</v>
      </c>
      <c r="B7825" s="4" t="s">
        <v>7</v>
      </c>
      <c r="C7825" s="4"/>
    </row>
    <row r="7826" spans="1:3" ht="24" customHeight="1">
      <c r="A7826" s="4" t="str">
        <f ca="1">IFERROR(__xludf.DUMMYFUNCTION("""COMPUTED_VALUE"""),"शुद्धिरेकप्रधानत्वं तथा संसृष्टिसंकरौ । एतेषामेव विन्यासान्नालङ्कारान्तराण्यमी ||")</f>
        <v>शुद्धिरेकप्रधानत्वं तथा संसृष्टिसंकरौ । एतेषामेव विन्यासान्नालङ्कारान्तराण्यमी ||</v>
      </c>
      <c r="B7826" s="4" t="s">
        <v>12</v>
      </c>
      <c r="C7826" s="4"/>
    </row>
    <row r="7827" spans="1:3" ht="24" customHeight="1">
      <c r="A7827" s="4" t="str">
        <f ca="1">IFERROR(__xludf.DUMMYFUNCTION("""COMPUTED_VALUE"""),"सर्वेषां च प्रतिद्वन्द्व-प्रतिच्छन्दभिदाभृताम् । उपाधिः क्वचिदुद्भिन्नः स्यादन्यत्रापि सम्भवात् ||")</f>
        <v>सर्वेषां च प्रतिद्वन्द्व-प्रतिच्छन्दभिदाभृताम् । उपाधिः क्वचिदुद्भिन्नः स्यादन्यत्रापि सम्भवात् ||</v>
      </c>
      <c r="B7827" s="4" t="s">
        <v>4</v>
      </c>
      <c r="C7827" s="4"/>
    </row>
    <row r="7828" spans="1:3" ht="24" customHeight="1">
      <c r="A7828" s="4" t="str">
        <f ca="1">IFERROR(__xludf.DUMMYFUNCTION("""COMPUTED_VALUE"""),"माला परम्परा चैषां भूयसामनुकूलके । मनुष्ये भवतः क्वापि ह्यलङ्काराङ्गतां गते ||")</f>
        <v>माला परम्परा चैषां भूयसामनुकूलके । मनुष्ये भवतः क्वापि ह्यलङ्काराङ्गतां गते ||</v>
      </c>
      <c r="B7828" s="4" t="s">
        <v>2</v>
      </c>
      <c r="C7828" s="4"/>
    </row>
    <row r="7829" spans="1:3" ht="24" customHeight="1">
      <c r="A7829" s="4" t="str">
        <f ca="1">IFERROR(__xludf.DUMMYFUNCTION("""COMPUTED_VALUE"""),"शब्दे पदार्थे वाक्यार्थे वाक्यार्थस्तबके तथा । एते भवन्ति विन्यासाः स्वभावातिशयात्मकाः ||")</f>
        <v>शब्दे पदार्थे वाक्यार्थे वाक्यार्थस्तबके तथा । एते भवन्ति विन्यासाः स्वभावातिशयात्मकाः ||</v>
      </c>
      <c r="B7829" s="4" t="s">
        <v>19</v>
      </c>
      <c r="C7829" s="4"/>
    </row>
    <row r="7830" spans="1:3" ht="24" customHeight="1">
      <c r="A7830" s="4" t="str">
        <f ca="1">IFERROR(__xludf.DUMMYFUNCTION("""COMPUTED_VALUE"""),"कस्याप्यतिशयस्योक्तेरित्यन्वर्थविचारणात् । प्रायेणामी ह्यलङ्कारा भिन्ना नातिशयोक्तितः ||")</f>
        <v>कस्याप्यतिशयस्योक्तेरित्यन्वर्थविचारणात् । प्रायेणामी ह्यलङ्कारा भिन्ना नातिशयोक्तितः ||</v>
      </c>
      <c r="B7830" s="4" t="s">
        <v>2</v>
      </c>
      <c r="C7830" s="4"/>
    </row>
    <row r="7831" spans="1:3" ht="24" customHeight="1">
      <c r="A7831" s="4" t="str">
        <f ca="1">IFERROR(__xludf.DUMMYFUNCTION("""COMPUTED_VALUE"""),"अलङ्कारप्रधानेषु दधानेष्वपि साम्यताम् । वैलक्षण्यं प्रतिव्यक्ति प्रतिभाति मुखेष्विव ||")</f>
        <v>अलङ्कारप्रधानेषु दधानेष्वपि साम्यताम् । वैलक्षण्यं प्रतिव्यक्ति प्रतिभाति मुखेष्विव ||</v>
      </c>
      <c r="B7831" s="4" t="s">
        <v>4</v>
      </c>
      <c r="C7831" s="4"/>
    </row>
    <row r="7832" spans="1:3" ht="24" customHeight="1">
      <c r="A7832" s="4" t="str">
        <f ca="1">IFERROR(__xludf.DUMMYFUNCTION("""COMPUTED_VALUE"""),"अलङ्कारेषु तथ्येषु यद्यनास्था मनीषिणाम् । तदर्वाचीनभेदेषु नाम्नां नाम्नाय इष्यताम् ||")</f>
        <v>अलङ्कारेषु तथ्येषु यद्यनास्था मनीषिणाम् । तदर्वाचीनभेदेषु नाम्नां नाम्नाय इष्यताम् ||</v>
      </c>
      <c r="B7832" s="4" t="s">
        <v>2</v>
      </c>
      <c r="C7832" s="4"/>
    </row>
    <row r="7833" spans="1:3" ht="24" customHeight="1">
      <c r="A7833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||")</f>
        <v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||</v>
      </c>
      <c r="B7833" s="4" t="s">
        <v>18</v>
      </c>
      <c r="C7833" s="4"/>
    </row>
    <row r="7834" spans="1:3" ht="24" customHeight="1">
      <c r="A7834" s="4" t="str">
        <f ca="1">IFERROR(__xludf.DUMMYFUNCTION("""COMPUTED_VALUE"""),"आलम्बनोद्दीपनात्मा विभावः कारणं द्विधा । कार्योऽनुभावो भावश्च सहायो व्यभिचार्यपि ||")</f>
        <v>आलम्बनोद्दीपनात्मा विभावः कारणं द्विधा । कार्योऽनुभावो भावश्च सहायो व्यभिचार्यपि ||</v>
      </c>
      <c r="B7834" s="4" t="s">
        <v>9</v>
      </c>
      <c r="C7834" s="4"/>
    </row>
    <row r="7835" spans="1:3" ht="24" customHeight="1">
      <c r="A7835" s="4" t="str">
        <f ca="1">IFERROR(__xludf.DUMMYFUNCTION("""COMPUTED_VALUE"""),"गलद्वेद्यान्तरोद् भेदं हृदयेष्वजडात्मनाम् । मिलन्मलयजालेप इवाह्लादं विकासयन् ||")</f>
        <v>गलद्वेद्यान्तरोद् भेदं हृदयेष्वजडात्मनाम् । मिलन्मलयजालेप इवाह्लादं विकासयन् ||</v>
      </c>
      <c r="B7835" s="4" t="s">
        <v>5</v>
      </c>
      <c r="C7835" s="4"/>
    </row>
    <row r="7836" spans="1:3" ht="24" customHeight="1">
      <c r="A7836" s="4" t="str">
        <f ca="1">IFERROR(__xludf.DUMMYFUNCTION("""COMPUTED_VALUE"""),"काव्ये नाट्ये च कार्ये च विभावाद्यैर्विभावितः । आस्वाद्यमानैकतनुः स्थायी भावो रसः स्मृतः ||")</f>
        <v>काव्ये नाट्ये च कार्ये च विभावाद्यैर्विभावितः । आस्वाद्यमानैकतनुः स्थायी भावो रसः स्मृतः ||</v>
      </c>
      <c r="B7836" s="4" t="s">
        <v>2</v>
      </c>
      <c r="C7836" s="4"/>
    </row>
    <row r="7837" spans="1:3" ht="24" customHeight="1">
      <c r="A7837" s="4" t="str">
        <f ca="1">IFERROR(__xludf.DUMMYFUNCTION("""COMPUTED_VALUE"""),"रत्याख्यस्थायिभावात्मा वल्लभादिविभावितः । आलस्येर्ष्याजुगुप्साभ्यो विना संचारिभिर्युतः ||")</f>
        <v>रत्याख्यस्थायिभावात्मा वल्लभादिविभावितः । आलस्येर्ष्याजुगुप्साभ्यो विना संचारिभिर्युतः ||</v>
      </c>
      <c r="B7837" s="4" t="s">
        <v>2</v>
      </c>
      <c r="C7837" s="4"/>
    </row>
    <row r="7838" spans="1:3" ht="24" customHeight="1">
      <c r="A7838" s="4" t="str">
        <f ca="1">IFERROR(__xludf.DUMMYFUNCTION("""COMPUTED_VALUE"""),"अनुभावैः कटाक्षाद्यैरुन्मादाद्यैर्यथाक्रमम् । सम्भोगो विप्रलम्भश्च श्रृङ्गारो द्विविधो मतः ||")</f>
        <v>अनुभावैः कटाक्षाद्यैरुन्मादाद्यैर्यथाक्रमम् । सम्भोगो विप्रलम्भश्च श्रृङ्गारो द्विविधो मतः ||</v>
      </c>
      <c r="B7838" s="4" t="s">
        <v>2</v>
      </c>
      <c r="C7838" s="4"/>
    </row>
    <row r="7839" spans="1:3" ht="24" customHeight="1">
      <c r="A7839" s="4" t="str">
        <f ca="1">IFERROR(__xludf.DUMMYFUNCTION("""COMPUTED_VALUE"""),"हासस्थायी रसो हास्यो विभावद्यैर्यथाक्रमम् । वैरूप्यफुल्लगण्डत्वावहित्थाद्यैः समन्वितः ||")</f>
        <v>हासस्थायी रसो हास्यो विभावद्यैर्यथाक्रमम् । वैरूप्यफुल्लगण्डत्वावहित्थाद्यैः समन्वितः ||</v>
      </c>
      <c r="B7839" s="4" t="s">
        <v>2</v>
      </c>
      <c r="C7839" s="4"/>
    </row>
    <row r="7840" spans="1:3" ht="24" customHeight="1">
      <c r="A7840" s="4" t="str">
        <f ca="1">IFERROR(__xludf.DUMMYFUNCTION("""COMPUTED_VALUE"""),"अभीष्टविप्रयोगाश्रुपातग्लान्यादिभिः क्रमात् । विभावाद्यैर्युतः शोकस्थायी स्यात् करुणो रसः ||")</f>
        <v>अभीष्टविप्रयोगाश्रुपातग्लान्यादिभिः क्रमात् । विभावाद्यैर्युतः शोकस्थायी स्यात् करुणो रसः ||</v>
      </c>
      <c r="B7840" s="4" t="s">
        <v>18</v>
      </c>
      <c r="C7840" s="4"/>
    </row>
    <row r="7841" spans="1:3" ht="24" customHeight="1">
      <c r="A7841" s="4" t="str">
        <f ca="1">IFERROR(__xludf.DUMMYFUNCTION("""COMPUTED_VALUE"""),"क्रोधस्थायी रसो रौद्रो विभावाद्यैः समन्वितः । मात्सर्यहस्तनिष्पेष-संमोहाद्यैर्यथाक्रमम् ||")</f>
        <v>क्रोधस्थायी रसो रौद्रो विभावाद्यैः समन्वितः । मात्सर्यहस्तनिष्पेष-संमोहाद्यैर्यथाक्रमम् ||</v>
      </c>
      <c r="B7841" s="4" t="s">
        <v>12</v>
      </c>
      <c r="C7841" s="4"/>
    </row>
    <row r="7842" spans="1:3" ht="24" customHeight="1">
      <c r="A7842" s="4" t="str">
        <f ca="1">IFERROR(__xludf.DUMMYFUNCTION("""COMPUTED_VALUE"""),"उत्साहाख्यस्थायिभावः प्रभावादिविभावभूः । वीरोऽनुभावैः स्थैर्याद्यैर्भावैर्गर्वादिभिर्युतः ||")</f>
        <v>उत्साहाख्यस्थायिभावः प्रभावादिविभावभूः । वीरोऽनुभावैः स्थैर्याद्यैर्भावैर्गर्वादिभिर्युतः ||</v>
      </c>
      <c r="B7842" s="4" t="s">
        <v>2</v>
      </c>
      <c r="C7842" s="4"/>
    </row>
    <row r="7843" spans="1:3" ht="24" customHeight="1">
      <c r="A7843" s="4" t="str">
        <f ca="1">IFERROR(__xludf.DUMMYFUNCTION("""COMPUTED_VALUE"""),"व्याघ्रादिभिर्विभावैस्तु वेपिताद्यनुभावभृत् । भावैर्मोहादिभिर्युक्तो भयस्थायी भयानकः ||")</f>
        <v>व्याघ्रादिभिर्विभावैस्तु वेपिताद्यनुभावभृत् । भावैर्मोहादिभिर्युक्तो भयस्थायी भयानकः ||</v>
      </c>
      <c r="B7843" s="4" t="s">
        <v>19</v>
      </c>
      <c r="C7843" s="4"/>
    </row>
    <row r="7844" spans="1:3" ht="24" customHeight="1">
      <c r="A7844" s="4" t="str">
        <f ca="1">IFERROR(__xludf.DUMMYFUNCTION("""COMPUTED_VALUE"""),"स्थायी जुगुप्सा बीभत्सो विभावाद्यैर्यथाक्रमम् । अनिष्टेक्षणनिष्ठीवमोहाद्याः संमताः क्रमाद् ||")</f>
        <v>स्थायी जुगुप्सा बीभत्सो विभावाद्यैर्यथाक्रमम् । अनिष्टेक्षणनिष्ठीवमोहाद्याः संमताः क्रमाद् ||</v>
      </c>
      <c r="B7844" s="4" t="s">
        <v>12</v>
      </c>
      <c r="C7844" s="4"/>
    </row>
    <row r="7845" spans="1:3" ht="24" customHeight="1">
      <c r="A7845" s="4" t="str">
        <f ca="1">IFERROR(__xludf.DUMMYFUNCTION("""COMPUTED_VALUE"""),"अद्भुतो विस्मयस्थायी मायादिकविभावभूः । रोमाञ्चाद्यनुभावोऽयं स्तम्भादिव्यभिचारिकः ||")</f>
        <v>अद्भुतो विस्मयस्थायी मायादिकविभावभूः । रोमाञ्चाद्यनुभावोऽयं स्तम्भादिव्यभिचारिकः ||</v>
      </c>
      <c r="B7845" s="4" t="s">
        <v>19</v>
      </c>
      <c r="C7845" s="4"/>
    </row>
    <row r="7846" spans="1:3" ht="24" customHeight="1">
      <c r="A7846" s="4" t="str">
        <f ca="1">IFERROR(__xludf.DUMMYFUNCTION("""COMPUTED_VALUE"""),"निर्वेदस्थायिकः शान्तः सत्सङ्गादिविभावभूः । क्षमादिकानुभावोऽयं स्तम्भादिव्यभिचारिकः ||")</f>
        <v>निर्वेदस्थायिकः शान्तः सत्सङ्गादिविभावभूः । क्षमादिकानुभावोऽयं स्तम्भादिव्यभिचारिकः ||</v>
      </c>
      <c r="B7846" s="4" t="s">
        <v>19</v>
      </c>
      <c r="C7846" s="4"/>
    </row>
    <row r="7847" spans="1:3" ht="24" customHeight="1">
      <c r="A7847" s="4" t="str">
        <f ca="1">IFERROR(__xludf.DUMMYFUNCTION("""COMPUTED_VALUE"""),"रतिर्देवादिविषया सन्ति च व्यभिचारिणः । वेद्यमाना निगद्यन्ते भावाः साहित्यवेदिभिः ||")</f>
        <v>रतिर्देवादिविषया सन्ति च व्यभिचारिणः । वेद्यमाना निगद्यन्ते भावाः साहित्यवेदिभिः ||</v>
      </c>
      <c r="B7847" s="4" t="s">
        <v>6</v>
      </c>
      <c r="C7847" s="4"/>
    </row>
    <row r="7848" spans="1:3" ht="24" customHeight="1">
      <c r="A7848" s="4" t="str">
        <f ca="1">IFERROR(__xludf.DUMMYFUNCTION("""COMPUTED_VALUE"""),"निर्वेदग्लानिशङ्काख्यास्तथासूयामदश्रमाः । आलस्यं चैव दैन्यं च चिन्ता मोहः स्मृतिर्धृतिः ||")</f>
        <v>निर्वेदग्लानिशङ्काख्यास्तथासूयामदश्रमाः । आलस्यं चैव दैन्यं च चिन्ता मोहः स्मृतिर्धृतिः ||</v>
      </c>
      <c r="B7848" s="4" t="s">
        <v>2</v>
      </c>
      <c r="C7848" s="4"/>
    </row>
    <row r="7849" spans="1:3" ht="24" customHeight="1">
      <c r="A7849" s="4" t="str">
        <f ca="1">IFERROR(__xludf.DUMMYFUNCTION("""COMPUTED_VALUE"""),"व्रीडा चपलता हर्ष आवेगो जडता तथा । गर्वो विषाद औत्सुक्यं निद्रापस्मार एव च ||")</f>
        <v>व्रीडा चपलता हर्ष आवेगो जडता तथा । गर्वो विषाद औत्सुक्यं निद्रापस्मार एव च ||</v>
      </c>
      <c r="B7849" s="4" t="s">
        <v>16</v>
      </c>
      <c r="C7849" s="4"/>
    </row>
    <row r="7850" spans="1:3" ht="24" customHeight="1">
      <c r="A7850" s="4" t="str">
        <f ca="1">IFERROR(__xludf.DUMMYFUNCTION("""COMPUTED_VALUE"""),"सुप्तं प्रबोधोऽमर्षश्चाप्यवहित्थमेथोग्रता । मतिर्व्याधिस्तथोन्मादस्तथा मरणमेव च ||")</f>
        <v>सुप्तं प्रबोधोऽमर्षश्चाप्यवहित्थमेथोग्रता । मतिर्व्याधिस्तथोन्मादस्तथा मरणमेव च ||</v>
      </c>
      <c r="B7850" s="4" t="s">
        <v>16</v>
      </c>
      <c r="C7850" s="4"/>
    </row>
    <row r="7851" spans="1:3" ht="24" customHeight="1">
      <c r="A7851" s="4" t="str">
        <f ca="1">IFERROR(__xludf.DUMMYFUNCTION("""COMPUTED_VALUE"""),"त्रासश्चैव वितर्कश्च विज्ञेया व्यभिचारिणः । त्रयस्त्रिंशदिमे भावाः समाख्यातास्तु नामतः ||")</f>
        <v>त्रासश्चैव वितर्कश्च विज्ञेया व्यभिचारिणः । त्रयस्त्रिंशदिमे भावाः समाख्यातास्तु नामतः ||</v>
      </c>
      <c r="B7851" s="4" t="s">
        <v>2</v>
      </c>
      <c r="C7851" s="4"/>
    </row>
    <row r="7852" spans="1:3" ht="24" customHeight="1">
      <c r="A7852" s="4" t="str">
        <f ca="1">IFERROR(__xludf.DUMMYFUNCTION("""COMPUTED_VALUE"""),"सर्वसाधारणप्रेम-प्रश्रयादिस्वरूपया । अनौचित्या रसाभासा भावाभासाश्च कीर्तिताः ||")</f>
        <v>सर्वसाधारणप्रेम-प्रश्रयादिस्वरूपया । अनौचित्या रसाभासा भावाभासाश्च कीर्तिताः ||</v>
      </c>
      <c r="B7852" s="4" t="s">
        <v>2</v>
      </c>
      <c r="C7852" s="4"/>
    </row>
    <row r="7853" spans="1:3" ht="24" customHeight="1">
      <c r="A7853" s="4" t="str">
        <f ca="1">IFERROR(__xludf.DUMMYFUNCTION("""COMPUTED_VALUE"""),"भावस्य शान्तिरुदयः सन्धिः शबलता तथा । काव्यस्य काञ्चनस्येव कुङ्कुमं कान्तिसंपदे ||")</f>
        <v>भावस्य शान्तिरुदयः सन्धिः शबलता तथा । काव्यस्य काञ्चनस्येव कुङ्कुमं कान्तिसंपदे ||</v>
      </c>
      <c r="B7853" s="4" t="s">
        <v>17</v>
      </c>
      <c r="C7853" s="4"/>
    </row>
    <row r="7854" spans="1:3" ht="24" customHeight="1">
      <c r="A7854" s="4" t="str">
        <f ca="1">IFERROR(__xludf.DUMMYFUNCTION("""COMPUTED_VALUE"""),"आतुर्यमासप्तमं च यथेष्टैरष्टमादिभिः । समासः स्यात्पदैर्न स्यात्समासः सर्वथापि च ||")</f>
        <v>आतुर्यमासप्तमं च यथेष्टैरष्टमादिभिः । समासः स्यात्पदैर्न स्यात्समासः सर्वथापि च ||</v>
      </c>
      <c r="B7854" s="4" t="s">
        <v>16</v>
      </c>
      <c r="C7854" s="4"/>
    </row>
    <row r="7855" spans="1:3" ht="24" customHeight="1">
      <c r="A7855" s="4" t="str">
        <f ca="1">IFERROR(__xludf.DUMMYFUNCTION("""COMPUTED_VALUE"""),"पाञ्चालिकी च लाटीया गौडीया च यथारसम् । वैदर्भी च यथासङ्ख्यं चतस्रो रीतयः स्मृताः ||")</f>
        <v>पाञ्चालिकी च लाटीया गौडीया च यथारसम् । वैदर्भी च यथासङ्ख्यं चतस्रो रीतयः स्मृताः ||</v>
      </c>
      <c r="B7855" s="4" t="s">
        <v>2</v>
      </c>
      <c r="C7855" s="4"/>
    </row>
    <row r="7856" spans="1:3" ht="24" customHeight="1">
      <c r="A7856" s="4" t="str">
        <f ca="1">IFERROR(__xludf.DUMMYFUNCTION("""COMPUTED_VALUE"""),"मधुरायां समाक्रान्ता वर्गस्थाः पञ्चमैर्निजैः । लकारश्च लसंयुक्तो ह्रस्वव्यवहितौ रणौ ||")</f>
        <v>मधुरायां समाक्रान्ता वर्गस्थाः पञ्चमैर्निजैः । लकारश्च लसंयुक्तो ह्रस्वव्यवहितौ रणौ ||</v>
      </c>
      <c r="B7856" s="4" t="s">
        <v>7</v>
      </c>
      <c r="C7856" s="4"/>
    </row>
    <row r="7857" spans="1:3" ht="24" customHeight="1">
      <c r="A7857" s="4" t="str">
        <f ca="1">IFERROR(__xludf.DUMMYFUNCTION("""COMPUTED_VALUE"""),"रेफाक्रान्ता वर्ग्ययणाष्टवर्गात्पञ्चमादृते । कपाक्रान्तस्तवर्गः स्यात्प्रौढायां च कमूर्धता ||")</f>
        <v>रेफाक्रान्ता वर्ग्ययणाष्टवर्गात्पञ्चमादृते । कपाक्रान्तस्तवर्गः स्यात्प्रौढायां च कमूर्धता ||</v>
      </c>
      <c r="B7857" s="4" t="s">
        <v>2</v>
      </c>
      <c r="C7857" s="4"/>
    </row>
    <row r="7858" spans="1:3" ht="24" customHeight="1">
      <c r="A7858" s="4" t="str">
        <f ca="1">IFERROR(__xludf.DUMMYFUNCTION("""COMPUTED_VALUE"""),"सर्वैरूर्ध्वैः सकारस्य सर्वै रेफस्य सर्वथा । रहोर्द्वेधा तु संयोगः परुषायां शषौ स्वतः ||")</f>
        <v>सर्वैरूर्ध्वैः सकारस्य सर्वै रेफस्य सर्वथा । रहोर्द्वेधा तु संयोगः परुषायां शषौ स्वतः ||</v>
      </c>
      <c r="B7858" s="4" t="s">
        <v>2</v>
      </c>
      <c r="C7858" s="4"/>
    </row>
    <row r="7859" spans="1:3" ht="24" customHeight="1">
      <c r="A7859" s="4" t="str">
        <f ca="1">IFERROR(__xludf.DUMMYFUNCTION("""COMPUTED_VALUE"""),"लकारोऽन्यैरसंयुक्तौ लघवो घभधा रसौ । ललितायां तथा शेषा भद्रायामिति वृत्तयः ||")</f>
        <v>लकारोऽन्यैरसंयुक्तौ लघवो घभधा रसौ । ललितायां तथा शेषा भद्रायामिति वृत्तयः ||</v>
      </c>
      <c r="B7859" s="4" t="s">
        <v>5</v>
      </c>
      <c r="C7859" s="4"/>
    </row>
    <row r="7860" spans="1:3" ht="24" customHeight="1">
      <c r="A7860" s="4" t="str">
        <f ca="1">IFERROR(__xludf.DUMMYFUNCTION("""COMPUTED_VALUE"""),"अङ्गभङ्गोल्लसल्लीला तरुणी स्मरतोरणम् । तर्ककर्कशपूर्णोक्ति-प्राप्तोत्कटधियां वृथा ||")</f>
        <v>अङ्गभङ्गोल्लसल्लीला तरुणी स्मरतोरणम् । तर्ककर्कशपूर्णोक्ति-प्राप्तोत्कटधियां वृथा ||</v>
      </c>
      <c r="B7860" s="4" t="s">
        <v>10</v>
      </c>
      <c r="C7860" s="4"/>
    </row>
    <row r="7861" spans="1:3" ht="24" customHeight="1">
      <c r="A7861" s="4" t="str">
        <f ca="1">IFERROR(__xludf.DUMMYFUNCTION("""COMPUTED_VALUE"""),"वीप्सोत्सर्पन्मुखाग्रार्द्रं बर्ही जह्रे कृशस्तृषम् । ललना रभसं धत्ते घनाटोपे महीयसि ||")</f>
        <v>वीप्सोत्सर्पन्मुखाग्रार्द्रं बर्ही जह्रे कृशस्तृषम् । ललना रभसं धत्ते घनाटोपे महीयसि ||</v>
      </c>
      <c r="B7861" s="4" t="s">
        <v>18</v>
      </c>
      <c r="C7861" s="4"/>
    </row>
    <row r="7862" spans="1:3" ht="24" customHeight="1">
      <c r="A7862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||")</f>
        <v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||</v>
      </c>
      <c r="B7862" s="4" t="s">
        <v>2</v>
      </c>
      <c r="C7862" s="4"/>
    </row>
    <row r="7863" spans="1:3" ht="24" customHeight="1">
      <c r="A7863" s="4" t="str">
        <f ca="1">IFERROR(__xludf.DUMMYFUNCTION("""COMPUTED_VALUE"""),"वृत्तिभेदैस्त्रिभिर्युक्ता स्रोतोभिरिव जाह्नवी । भारती भाति गम्भीरा कुटिला सरला क्वचित् ||")</f>
        <v>वृत्तिभेदैस्त्रिभिर्युक्ता स्रोतोभिरिव जाह्नवी । भारती भाति गम्भीरा कुटिला सरला क्वचित् ||</v>
      </c>
      <c r="B7863" s="4" t="s">
        <v>16</v>
      </c>
      <c r="C7863" s="4"/>
    </row>
    <row r="7864" spans="1:3" ht="24" customHeight="1">
      <c r="A7864" s="4" t="str">
        <f ca="1">IFERROR(__xludf.DUMMYFUNCTION("""COMPUTED_VALUE"""),"सांमुख्यं विदधानायाः स्फुटमर्थान्तरे गिरः । कटाक्ष इव लोलाक्ष्या व्यापारो व्यञ्जनात्मकः ||")</f>
        <v>सांमुख्यं विदधानायाः स्फुटमर्थान्तरे गिरः । कटाक्ष इव लोलाक्ष्या व्यापारो व्यञ्जनात्मकः ||</v>
      </c>
      <c r="B7864" s="4" t="s">
        <v>19</v>
      </c>
      <c r="C7864" s="4"/>
    </row>
    <row r="7865" spans="1:3" ht="24" customHeight="1">
      <c r="A7865" s="4" t="str">
        <f ca="1">IFERROR(__xludf.DUMMYFUNCTION("""COMPUTED_VALUE"""),"अविवक्षितवाच्यस्य द्वौ भेदौ वाच्यमेव चेत् । अर्थान्तरे संक्रमितमत्यन्तं वा तिरस्कृतम् ||")</f>
        <v>अविवक्षितवाच्यस्य द्वौ भेदौ वाच्यमेव चेत् । अर्थान्तरे संक्रमितमत्यन्तं वा तिरस्कृतम् ||</v>
      </c>
      <c r="B7865" s="4" t="s">
        <v>2</v>
      </c>
      <c r="C7865" s="4"/>
    </row>
    <row r="7866" spans="1:3" ht="24" customHeight="1">
      <c r="A7866" s="4" t="str">
        <f ca="1">IFERROR(__xludf.DUMMYFUNCTION("""COMPUTED_VALUE"""),"द्वौ विवक्षितवाच्यस्य लक्ष्यालक्ष्यक्रमात्मकौ । चत्वारिंशद्युतैकेन भेदाः षट् चानयोः क्रमात् ||")</f>
        <v>द्वौ विवक्षितवाच्यस्य लक्ष्यालक्ष्यक्रमात्मकौ । चत्वारिंशद्युतैकेन भेदाः षट् चानयोः क्रमात् ||</v>
      </c>
      <c r="B7866" s="4" t="s">
        <v>12</v>
      </c>
      <c r="C7866" s="4"/>
    </row>
    <row r="7867" spans="1:3" ht="24" customHeight="1">
      <c r="A7867" s="4" t="str">
        <f ca="1">IFERROR(__xludf.DUMMYFUNCTION("""COMPUTED_VALUE"""),"त्रिधा शब्दार्थतद् युग्मशक्तिजन्मा स्फुटक्रमात् । रसभावतदाभास-प्रमुखस्त्वस्फुटक्रमात् ||")</f>
        <v>त्रिधा शब्दार्थतद् युग्मशक्तिजन्मा स्फुटक्रमात् । रसभावतदाभास-प्रमुखस्त्वस्फुटक्रमात् ||</v>
      </c>
      <c r="B7867" s="4" t="s">
        <v>12</v>
      </c>
      <c r="C7867" s="4"/>
    </row>
    <row r="7868" spans="1:3" ht="24" customHeight="1">
      <c r="A7868" s="4" t="str">
        <f ca="1">IFERROR(__xludf.DUMMYFUNCTION("""COMPUTED_VALUE"""),"वस्त्वलङ्कारयोर्व्यक्तेर्भेदौ द्वौ शब्दशक्तिजौ । अर्थशक्तिसमुत्थस्य भेदा द्वादश तद्यथा ||")</f>
        <v>वस्त्वलङ्कारयोर्व्यक्तेर्भेदौ द्वौ शब्दशक्तिजौ । अर्थशक्तिसमुत्थस्य भेदा द्वादश तद्यथा ||</v>
      </c>
      <c r="B7868" s="4" t="s">
        <v>10</v>
      </c>
      <c r="C7868" s="4"/>
    </row>
    <row r="7869" spans="1:3" ht="24" customHeight="1">
      <c r="A7869" s="4" t="str">
        <f ca="1">IFERROR(__xludf.DUMMYFUNCTION("""COMPUTED_VALUE"""),"चत्वारो वस्त्वलङ्कारं अलङ्कारस्तु वस्तु यत् । अलङ्कारमलङ्कारो वस्तु वस्तु व्यनक्ति तत् ||")</f>
        <v>चत्वारो वस्त्वलङ्कारं अलङ्कारस्तु वस्तु यत् । अलङ्कारमलङ्कारो वस्तु वस्तु व्यनक्ति तत् ||</v>
      </c>
      <c r="B7869" s="4" t="s">
        <v>2</v>
      </c>
      <c r="C7869" s="4"/>
    </row>
    <row r="7870" spans="1:3" ht="24" customHeight="1">
      <c r="A7870" s="4" t="str">
        <f ca="1">IFERROR(__xludf.DUMMYFUNCTION("""COMPUTED_VALUE"""),"वक्तुः कविनिबद्धस्य कवेर्वा प्रौढिनिर्मितः । स्वसिद्धो वा व्यञ्जकोऽर्थश्चत्वारस्त्रिगुणास्ततः ||")</f>
        <v>वक्तुः कविनिबद्धस्य कवेर्वा प्रौढिनिर्मितः । स्वसिद्धो वा व्यञ्जकोऽर्थश्चत्वारस्त्रिगुणास्ततः ||</v>
      </c>
      <c r="B7870" s="4" t="s">
        <v>2</v>
      </c>
      <c r="C7870" s="4"/>
    </row>
    <row r="7871" spans="1:3" ht="24" customHeight="1">
      <c r="A7871" s="4" t="str">
        <f ca="1">IFERROR(__xludf.DUMMYFUNCTION("""COMPUTED_VALUE"""),"शब्दार्थोभयभूरेकः स च वाक्यैकसंश्रयः । पदैकदेशे रचना-वर्णवाक्यपदेष्वपि ||")</f>
        <v>शब्दार्थोभयभूरेकः स च वाक्यैकसंश्रयः । पदैकदेशे रचना-वर्णवाक्यपदेष्वपि ||</v>
      </c>
      <c r="B7871" s="4" t="s">
        <v>19</v>
      </c>
      <c r="C7871" s="4"/>
    </row>
    <row r="7872" spans="1:3" ht="24" customHeight="1">
      <c r="A7872" s="4" t="str">
        <f ca="1">IFERROR(__xludf.DUMMYFUNCTION("""COMPUTED_VALUE"""),"प्रबन्धे चेति षोढासौ रसाद्याख्योऽस्फुटक्रमः । एषु सप्तदशस्वेकं परित्यज्यास्फुटक्रमम् ||")</f>
        <v>प्रबन्धे चेति षोढासौ रसाद्याख्योऽस्फुटक्रमः । एषु सप्तदशस्वेकं परित्यज्यास्फुटक्रमम् ||</v>
      </c>
      <c r="B7872" s="4" t="s">
        <v>12</v>
      </c>
      <c r="C7872" s="4"/>
    </row>
    <row r="7873" spans="1:3" ht="24" customHeight="1">
      <c r="A7873" s="4" t="str">
        <f ca="1">IFERROR(__xludf.DUMMYFUNCTION("""COMPUTED_VALUE"""),"ये षोडशाद्या द्विगुणास्ते स्युर्वाक्यपदाश्रयात् । प्रबन्धेऽपि द्वादश स्युरर्थशक्तिभुवो भिदः ||")</f>
        <v>ये षोडशाद्या द्विगुणास्ते स्युर्वाक्यपदाश्रयात् । प्रबन्धेऽपि द्वादश स्युरर्थशक्तिभुवो भिदः ||</v>
      </c>
      <c r="B7873" s="4" t="s">
        <v>17</v>
      </c>
      <c r="C7873" s="4"/>
    </row>
    <row r="7874" spans="1:3" ht="24" customHeight="1">
      <c r="A7874" s="4" t="str">
        <f ca="1">IFERROR(__xludf.DUMMYFUNCTION("""COMPUTED_VALUE"""),"द्वात्रिंशद् द्वादशैकः षट्सर्वसंकलितध्वनेः । भेदाः स्युरेकपञ्चाशत्संभिन्नास्तु सहस्रशः ||")</f>
        <v>द्वात्रिंशद् द्वादशैकः षट्सर्वसंकलितध्वनेः । भेदाः स्युरेकपञ्चाशत्संभिन्नास्तु सहस्रशः ||</v>
      </c>
      <c r="B7874" s="4" t="s">
        <v>8</v>
      </c>
      <c r="C7874" s="4"/>
    </row>
    <row r="7875" spans="1:3" ht="24" customHeight="1">
      <c r="A7875" s="4" t="str">
        <f ca="1">IFERROR(__xludf.DUMMYFUNCTION("""COMPUTED_VALUE"""),"वक्तृस्यूतं बोधयितुं व्यङ्ग्यं वक्तुरभीप्सितम् । स्वाङ्कुरितमतद्रूपं स्वयमुल्लसितं गिरः ||")</f>
        <v>वक्तृस्यूतं बोधयितुं व्यङ्ग्यं वक्तुरभीप्सितम् । स्वाङ्कुरितमतद्रूपं स्वयमुल्लसितं गिरः ||</v>
      </c>
      <c r="B7875" s="4" t="s">
        <v>0</v>
      </c>
      <c r="C7875" s="4"/>
    </row>
    <row r="7876" spans="1:3" ht="24" customHeight="1">
      <c r="A7876" s="4" t="str">
        <f ca="1">IFERROR(__xludf.DUMMYFUNCTION("""COMPUTED_VALUE"""),"कश्चित्साधारणः कश्चिदामन्त्र्य प्रतिबोधितः । कश्चित्तटस्थः कश्चिच्च बोधितप्रतिबोधितः ||")</f>
        <v>कश्चित्साधारणः कश्चिदामन्त्र्य प्रतिबोधितः । कश्चित्तटस्थः कश्चिच्च बोधितप्रतिबोधितः ||</v>
      </c>
      <c r="B7876" s="4" t="s">
        <v>2</v>
      </c>
      <c r="C7876" s="4"/>
    </row>
    <row r="7877" spans="1:3" ht="24" customHeight="1">
      <c r="A7877" s="4" t="str">
        <f ca="1">IFERROR(__xludf.DUMMYFUNCTION("""COMPUTED_VALUE"""),"इत्येवं बोद्धृवैचित्र्याद्वक्तृस्यूतं चतुर्विधम् । उपेक्षानिह्नवाभ्यां च द्विधा स्वाङ्कुरितं मतम् ||")</f>
        <v>इत्येवं बोद्धृवैचित्र्याद्वक्तृस्यूतं चतुर्विधम् । उपेक्षानिह्नवाभ्यां च द्विधा स्वाङ्कुरितं मतम् ||</v>
      </c>
      <c r="B7877" s="4" t="s">
        <v>2</v>
      </c>
      <c r="C7877" s="4"/>
    </row>
    <row r="7878" spans="1:3" ht="24" customHeight="1">
      <c r="A7878" s="4" t="str">
        <f ca="1">IFERROR(__xludf.DUMMYFUNCTION("""COMPUTED_VALUE"""),"भूतादिकालभेदेन निह्नवः स्यादनेकधा । अनेनापि प्रभेदेन व्यक्तिवल्ली विजृम्भते ||")</f>
        <v>भूतादिकालभेदेन निह्नवः स्यादनेकधा । अनेनापि प्रभेदेन व्यक्तिवल्ली विजृम्भते ||</v>
      </c>
      <c r="B7878" s="4" t="s">
        <v>2</v>
      </c>
      <c r="C7878" s="4"/>
    </row>
    <row r="7879" spans="1:3" ht="24" customHeight="1">
      <c r="A7879" s="4" t="str">
        <f ca="1">IFERROR(__xludf.DUMMYFUNCTION("""COMPUTED_VALUE"""),"नानाप्रभेदा नियता क्वचित्प्रकरणादिना । अर्थेऽर्थमन्यं यं वक्ति तद्वाच्यव्यङ्ग्यमिष्यते ||")</f>
        <v>नानाप्रभेदा नियता क्वचित्प्रकरणादिना । अर्थेऽर्थमन्यं यं वक्ति तद्वाच्यव्यङ्ग्यमिष्यते ||</v>
      </c>
      <c r="B7879" s="4" t="s">
        <v>2</v>
      </c>
      <c r="C7879" s="4"/>
    </row>
    <row r="7880" spans="1:3" ht="24" customHeight="1">
      <c r="A7880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||")</f>
        <v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||</v>
      </c>
      <c r="B7880" s="4" t="s">
        <v>2</v>
      </c>
      <c r="C7880" s="4"/>
    </row>
    <row r="7881" spans="1:3" ht="24" customHeight="1">
      <c r="A7881" s="4" t="str">
        <f ca="1">IFERROR(__xludf.DUMMYFUNCTION("""COMPUTED_VALUE"""),"यद् व्यज्यमानं मनसः स्तैमित्याय स नो ध्वनिः । अन्यथा तु गुणीभूत-व्यङ्ग्यमापतितं त्रिधा ||")</f>
        <v>यद् व्यज्यमानं मनसः स्तैमित्याय स नो ध्वनिः । अन्यथा तु गुणीभूत-व्यङ्ग्यमापतितं त्रिधा ||</v>
      </c>
      <c r="B7881" s="4" t="s">
        <v>20</v>
      </c>
      <c r="C7881" s="4"/>
    </row>
    <row r="7882" spans="1:3" ht="24" customHeight="1">
      <c r="A7882" s="4" t="str">
        <f ca="1">IFERROR(__xludf.DUMMYFUNCTION("""COMPUTED_VALUE"""),"व्यक्त एव क्वचिद् व्यङ्ग्यः क्वचिदर्थस्वभावतः । क्वचिच्चारुतरस्याग्रे स विमुञ्चति चारुताम् ||")</f>
        <v>व्यक्त एव क्वचिद् व्यङ्ग्यः क्वचिदर्थस्वभावतः । क्वचिच्चारुतरस्याग्रे स विमुञ्चति चारुताम् ||</v>
      </c>
      <c r="B7882" s="4" t="s">
        <v>2</v>
      </c>
      <c r="C7882" s="4"/>
    </row>
    <row r="7883" spans="1:3" ht="24" customHeight="1">
      <c r="A7883" s="4" t="str">
        <f ca="1">IFERROR(__xludf.DUMMYFUNCTION("""COMPUTED_VALUE"""),"अगूढं कलयेदर्थान्तरसंक्रमितादिकम् । विस्मृतः किमपां नाथ स त्वया कुम्भसम्भवः ||")</f>
        <v>अगूढं कलयेदर्थान्तरसंक्रमितादिकम् । विस्मृतः किमपां नाथ स त्वया कुम्भसम्भवः ||</v>
      </c>
      <c r="B7883" s="4" t="s">
        <v>4</v>
      </c>
      <c r="C7883" s="4"/>
    </row>
    <row r="7884" spans="1:3" ht="24" customHeight="1">
      <c r="A7884" s="4" t="str">
        <f ca="1">IFERROR(__xludf.DUMMYFUNCTION("""COMPUTED_VALUE"""),"अपरस्य रसादेश्चेदङ्गमन्यद्रसादिकम् । हा हा! मत्कुचकाश्मीर-लिप्तं भिन्नमुरः शरैः ||")</f>
        <v>अपरस्य रसादेश्चेदङ्गमन्यद्रसादिकम् । हा हा! मत्कुचकाश्मीर-लिप्तं भिन्नमुरः शरैः ||</v>
      </c>
      <c r="B7884" s="4" t="s">
        <v>0</v>
      </c>
      <c r="C7884" s="4"/>
    </row>
    <row r="7885" spans="1:3" ht="24" customHeight="1">
      <c r="A7885" s="4" t="str">
        <f ca="1">IFERROR(__xludf.DUMMYFUNCTION("""COMPUTED_VALUE"""),"तथा वाच्यस्य सिद्ध्यङ्गं नौरर्थो वारिधेर्यथा । संश्रित्य तरणिं धीरास्तरन्ति व्याधिवारिधीन् ||")</f>
        <v>तथा वाच्यस्य सिद्ध्यङ्गं नौरर्थो वारिधेर्यथा । संश्रित्य तरणिं धीरास्तरन्ति व्याधिवारिधीन् ||</v>
      </c>
      <c r="B7885" s="4" t="s">
        <v>20</v>
      </c>
      <c r="C7885" s="4"/>
    </row>
    <row r="7886" spans="1:3" ht="24" customHeight="1">
      <c r="A7886" s="4" t="str">
        <f ca="1">IFERROR(__xludf.DUMMYFUNCTION("""COMPUTED_VALUE"""),"ह्यस्फुटं स्तनयोरत्र कोकसादृश्यवन्मतम् । कुङ्कुमाक्तं स्तनद्वन्द्वं मानसं मम गाहते ||")</f>
        <v>ह्यस्फुटं स्तनयोरत्र कोकसादृश्यवन्मतम् । कुङ्कुमाक्तं स्तनद्वन्द्वं मानसं मम गाहते ||</v>
      </c>
      <c r="B7886" s="4" t="s">
        <v>2</v>
      </c>
      <c r="C7886" s="4"/>
    </row>
    <row r="7887" spans="1:3" ht="24" customHeight="1">
      <c r="A7887" s="4" t="str">
        <f ca="1">IFERROR(__xludf.DUMMYFUNCTION("""COMPUTED_VALUE"""),"सन्दिग्धं यदि संदेहो दैर्घ्याद्युत्पलयोरिव । संप्राप्ते नयने तस्याः श्रवणोत्तंसभूमिकाम् ||")</f>
        <v>सन्दिग्धं यदि संदेहो दैर्घ्याद्युत्पलयोरिव । संप्राप्ते नयने तस्याः श्रवणोत्तंसभूमिकाम् ||</v>
      </c>
      <c r="B7887" s="4" t="s">
        <v>19</v>
      </c>
      <c r="C7887" s="4"/>
    </row>
    <row r="7888" spans="1:3" ht="24" customHeight="1">
      <c r="A7888" s="4" t="str">
        <f ca="1">IFERROR(__xludf.DUMMYFUNCTION("""COMPUTED_VALUE"""),"तुल्यप्राधान्यमिन्दुत्वमिव वाच्येन साम्यभृत् । कान्ते त्वदाननरुचा म्लानिमेति सरोरुहम् ||")</f>
        <v>तुल्यप्राधान्यमिन्दुत्वमिव वाच्येन साम्यभृत् । कान्ते त्वदाननरुचा म्लानिमेति सरोरुहम् ||</v>
      </c>
      <c r="B7888" s="4" t="s">
        <v>24</v>
      </c>
      <c r="C7888" s="4"/>
    </row>
    <row r="7889" spans="1:3" ht="24" customHeight="1">
      <c r="A7889" s="4" t="str">
        <f ca="1">IFERROR(__xludf.DUMMYFUNCTION("""COMPUTED_VALUE"""),"असुन्दरं यदि व्यङ्ग्यं स्याद्वाच्यादमनोहरम् । सरस्यामीलदम्भोजे चक्रः कान्तां विलोकते ||")</f>
        <v>असुन्दरं यदि व्यङ्ग्यं स्याद्वाच्यादमनोहरम् । सरस्यामीलदम्भोजे चक्रः कान्तां विलोकते ||</v>
      </c>
      <c r="B7889" s="4" t="s">
        <v>2</v>
      </c>
      <c r="C7889" s="4"/>
    </row>
    <row r="7890" spans="1:3" ht="24" customHeight="1">
      <c r="A7890" s="4" t="str">
        <f ca="1">IFERROR(__xludf.DUMMYFUNCTION("""COMPUTED_VALUE"""),"काकुस्थं प्रणतोऽम्भोधिरद्य माद्यतु रावणः । इत्यष्टधा गुणीभूत-व्यङ्ग्यमङ्गीकृतं बुधैः ||")</f>
        <v>काकुस्थं प्रणतोऽम्भोधिरद्य माद्यतु रावणः । इत्यष्टधा गुणीभूत-व्यङ्ग्यमङ्गीकृतं बुधैः ||</v>
      </c>
      <c r="B7890" s="4" t="s">
        <v>20</v>
      </c>
      <c r="C7890" s="4"/>
    </row>
    <row r="7891" spans="1:3" ht="24" customHeight="1">
      <c r="A7891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||")</f>
        <v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||</v>
      </c>
      <c r="B7891" s="4" t="s">
        <v>2</v>
      </c>
      <c r="C7891" s="4"/>
    </row>
    <row r="7892" spans="1:3" ht="24" customHeight="1">
      <c r="A7892" s="4" t="str">
        <f ca="1">IFERROR(__xludf.DUMMYFUNCTION("""COMPUTED_VALUE"""),"मुख्यार्थस्याविवक्षायां पूर्वाऽर्वाची च रूढितः । प्रयोजनाच्च सम्बद्धं वदन्ती लक्षणा मता ||")</f>
        <v>मुख्यार्थस्याविवक्षायां पूर्वाऽर्वाची च रूढितः । प्रयोजनाच्च सम्बद्धं वदन्ती लक्षणा मता ||</v>
      </c>
      <c r="B7892" s="4" t="s">
        <v>2</v>
      </c>
      <c r="C7892" s="4"/>
    </row>
    <row r="7893" spans="1:3" ht="24" customHeight="1">
      <c r="A7893" s="4" t="str">
        <f ca="1">IFERROR(__xludf.DUMMYFUNCTION("""COMPUTED_VALUE"""),"लक्षणीयस्वशब्दस्य मीलनामीलनाद् द्विधा । लक्षणा सा त्रिधा सिद्धसाध्यसाध्याङ्गभेदतः ||")</f>
        <v>लक्षणीयस्वशब्दस्य मीलनामीलनाद् द्विधा । लक्षणा सा त्रिधा सिद्धसाध्यसाध्याङ्गभेदतः ||</v>
      </c>
      <c r="B7893" s="4" t="s">
        <v>2</v>
      </c>
      <c r="C7893" s="4"/>
    </row>
    <row r="7894" spans="1:3" ht="24" customHeight="1">
      <c r="A7894" s="4" t="str">
        <f ca="1">IFERROR(__xludf.DUMMYFUNCTION("""COMPUTED_VALUE"""),"स्फुटास्फुटप्रभेदेन प्रयोजनमपि द्विधा । विदुः स्फुटं तटस्थत्वादर्थगत्वाद् द्विधा बुधाः ||")</f>
        <v>स्फुटास्फुटप्रभेदेन प्रयोजनमपि द्विधा । विदुः स्फुटं तटस्थत्वादर्थगत्वाद् द्विधा बुधाः ||</v>
      </c>
      <c r="B7894" s="4" t="s">
        <v>20</v>
      </c>
      <c r="C7894" s="4"/>
    </row>
    <row r="7895" spans="1:3" ht="24" customHeight="1">
      <c r="A7895" s="4" t="str">
        <f ca="1">IFERROR(__xludf.DUMMYFUNCTION("""COMPUTED_VALUE"""),"अस्फुटं चार्थनिष्ठत्वात्तटस्थत्वादपि द्विधा । लक्ष्यलक्षकनिष्ठत्वादर्थसंस्थमपि द्विधा ||")</f>
        <v>अस्फुटं चार्थनिष्ठत्वात्तटस्थत्वादपि द्विधा । लक्ष्यलक्षकनिष्ठत्वादर्थसंस्थमपि द्विधा ||</v>
      </c>
      <c r="B7895" s="4" t="s">
        <v>20</v>
      </c>
      <c r="C7895" s="4"/>
    </row>
    <row r="7896" spans="1:3" ht="24" customHeight="1">
      <c r="A7896" s="4" t="str">
        <f ca="1">IFERROR(__xludf.DUMMYFUNCTION("""COMPUTED_VALUE"""),"लक्षकस्थं स्फुटं यत्र सा विचक्षणलक्षणा । अस्फुटत्वं तटस्थत्वं लक्ष्यस्थत्वममुष्य च ||")</f>
        <v>लक्षकस्थं स्फुटं यत्र सा विचक्षणलक्षणा । अस्फुटत्वं तटस्थत्वं लक्ष्यस्थत्वममुष्य च ||</v>
      </c>
      <c r="B7896" s="4" t="s">
        <v>16</v>
      </c>
      <c r="C7896" s="4"/>
    </row>
    <row r="7897" spans="1:3" ht="24" customHeight="1">
      <c r="A7897" s="4" t="str">
        <f ca="1">IFERROR(__xludf.DUMMYFUNCTION("""COMPUTED_VALUE"""),"अन्यास्तिस्र इति व्यक्ता शक्तितः सा चतुर्विधा । इन्दुरेवैष तद्वक्त्रमुत्कर्षो लक्ष्यते मुखे ||")</f>
        <v>अन्यास्तिस्र इति व्यक्ता शक्तितः सा चतुर्विधा । इन्दुरेवैष तद्वक्त्रमुत्कर्षो लक्ष्यते मुखे ||</v>
      </c>
      <c r="B7897" s="4" t="s">
        <v>14</v>
      </c>
      <c r="C7897" s="4"/>
    </row>
    <row r="7898" spans="1:3" ht="24" customHeight="1">
      <c r="A7898" s="4" t="str">
        <f ca="1">IFERROR(__xludf.DUMMYFUNCTION("""COMPUTED_VALUE"""),"प्रदीपं वर्धयेत्तत्र तटस्थं मङ्गलोदयः । पटोऽयं दग्ध इत्यादौ स्फुटं नास्ति प्रयोजनम् ||")</f>
        <v>प्रदीपं वर्धयेत्तत्र तटस्थं मङ्गलोदयः । पटोऽयं दग्ध इत्यादौ स्फुटं नास्ति प्रयोजनम् ||</v>
      </c>
      <c r="B7898" s="4" t="s">
        <v>1</v>
      </c>
      <c r="C7898" s="4"/>
    </row>
    <row r="7899" spans="1:3" ht="24" customHeight="1">
      <c r="A7899" s="4" t="str">
        <f ca="1">IFERROR(__xludf.DUMMYFUNCTION("""COMPUTED_VALUE"""),"अमृतं सूक्तमित्यादौ लक्ष्यस्थमतिहृद्यता । आभिमुख्यात्संनिधानात्तथाकारप्रतीतितः ||")</f>
        <v>अमृतं सूक्तमित्यादौ लक्ष्यस्थमतिहृद्यता । आभिमुख्यात्संनिधानात्तथाकारप्रतीतितः ||</v>
      </c>
      <c r="B7899" s="4" t="s">
        <v>2</v>
      </c>
      <c r="C7899" s="4"/>
    </row>
    <row r="7900" spans="1:3" ht="24" customHeight="1">
      <c r="A7900" s="4" t="str">
        <f ca="1">IFERROR(__xludf.DUMMYFUNCTION("""COMPUTED_VALUE"""),"कार्यकारणभावात् सा वाच्यवाचकभावतः । इत्येवमादेः सम्बन्धात् किंचान्यस्माच्चतुष्टयात् ||")</f>
        <v>कार्यकारणभावात् सा वाच्यवाचकभावतः । इत्येवमादेः सम्बन्धात् किंचान्यस्माच्चतुष्टयात् ||</v>
      </c>
      <c r="B7900" s="4" t="s">
        <v>5</v>
      </c>
      <c r="C7900" s="4"/>
    </row>
    <row r="7901" spans="1:3" ht="24" customHeight="1">
      <c r="A7901" s="4" t="str">
        <f ca="1">IFERROR(__xludf.DUMMYFUNCTION("""COMPUTED_VALUE"""),"सादृश्यात् समवायात् सा वैपरीत्यात् क्रियान्वयात् । सारोपाध्यवसानाख्ये गौणशुद्धे पृथक् पृथक् ||")</f>
        <v>सादृश्यात् समवायात् सा वैपरीत्यात् क्रियान्वयात् । सारोपाध्यवसानाख्ये गौणशुद्धे पृथक् पृथक् ||</v>
      </c>
      <c r="B7901" s="4" t="s">
        <v>10</v>
      </c>
      <c r="C7901" s="4"/>
    </row>
    <row r="7902" spans="1:3" ht="24" customHeight="1">
      <c r="A7902" s="4" t="str">
        <f ca="1">IFERROR(__xludf.DUMMYFUNCTION("""COMPUTED_VALUE"""),"गौणं सारोपमुद्दिष्टमिन्दुर्मुखमितीदृशम् । गौणं साध्यवसानं स्यादिन्दुरेवेदमीदृशम् ||")</f>
        <v>गौणं सारोपमुद्दिष्टमिन्दुर्मुखमितीदृशम् । गौणं साध्यवसानं स्यादिन्दुरेवेदमीदृशम् ||</v>
      </c>
      <c r="B7902" s="4" t="s">
        <v>8</v>
      </c>
      <c r="C7902" s="4"/>
    </row>
    <row r="7903" spans="1:3" ht="24" customHeight="1">
      <c r="A7903" s="4" t="str">
        <f ca="1">IFERROR(__xludf.DUMMYFUNCTION("""COMPUTED_VALUE"""),"शुद्धं सारोपमुद्दिष्टमायुर्घृतमितीदृशम् । शुद्धं साध्यवसानं स्यादायुरेवेदमीदृशम् ||")</f>
        <v>शुद्धं सारोपमुद्दिष्टमायुर्घृतमितीदृशम् । शुद्धं साध्यवसानं स्यादायुरेवेदमीदृशम् ||</v>
      </c>
      <c r="B7903" s="4" t="s">
        <v>8</v>
      </c>
      <c r="C7903" s="4"/>
    </row>
    <row r="7904" spans="1:3" ht="24" customHeight="1">
      <c r="A7904" s="4" t="str">
        <f ca="1">IFERROR(__xludf.DUMMYFUNCTION("""COMPUTED_VALUE"""),"उपादानार्पणद्वारे द्वे चान्ये इति षड् विधा । कुन्ता विशन्ति गङ्गायां घोषो निवसतीति च ||")</f>
        <v>उपादानार्पणद्वारे द्वे चान्ये इति षड् विधा । कुन्ता विशन्ति गङ्गायां घोषो निवसतीति च ||</v>
      </c>
      <c r="B7904" s="4" t="s">
        <v>16</v>
      </c>
      <c r="C7904" s="4"/>
    </row>
    <row r="7905" spans="1:3" ht="24" customHeight="1">
      <c r="A7905" s="4" t="str">
        <f ca="1">IFERROR(__xludf.DUMMYFUNCTION("""COMPUTED_VALUE"""),"लक्ष्यलक्षकवैशिष्ट्याद् द्विविधा लक्षणा पुनः । सरसं काव्यममृतं विद्या स्थिरतरं धनम् ||")</f>
        <v>लक्ष्यलक्षकवैशिष्ट्याद् द्विविधा लक्षणा पुनः । सरसं काव्यममृतं विद्या स्थिरतरं धनम् ||</v>
      </c>
      <c r="B7905" s="4" t="s">
        <v>1</v>
      </c>
      <c r="C7905" s="4"/>
    </row>
    <row r="7906" spans="1:3" ht="24" customHeight="1">
      <c r="A7906" s="4" t="str">
        <f ca="1">IFERROR(__xludf.DUMMYFUNCTION("""COMPUTED_VALUE"""),"तथा सहेतुरतथा भेदभिन्ना च कुत्रचित् । सौन्दर्येणैष कन्दर्पः सा च मूर्तिमती रतिः ||")</f>
        <v>तथा सहेतुरतथा भेदभिन्ना च कुत्रचित् । सौन्दर्येणैष कन्दर्पः सा च मूर्तिमती रतिः ||</v>
      </c>
      <c r="B7906" s="4" t="s">
        <v>2</v>
      </c>
      <c r="C7906" s="4"/>
    </row>
    <row r="7907" spans="1:3" ht="24" customHeight="1">
      <c r="A7907" s="4" t="str">
        <f ca="1">IFERROR(__xludf.DUMMYFUNCTION("""COMPUTED_VALUE"""),"शब्दे पदार्थे वाक्यार्थे संख्यायां कारके तथा । लिङ्गे चेयमलङ्काराङ्कुरबीजतया स्थिता ||")</f>
        <v>शब्दे पदार्थे वाक्यार्थे संख्यायां कारके तथा । लिङ्गे चेयमलङ्काराङ्कुरबीजतया स्थिता ||</v>
      </c>
      <c r="B7907" s="4" t="s">
        <v>2</v>
      </c>
      <c r="C7907" s="4"/>
    </row>
    <row r="7908" spans="1:3" ht="24" customHeight="1">
      <c r="A7908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||")</f>
        <v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||</v>
      </c>
      <c r="B7908" s="4" t="s">
        <v>2</v>
      </c>
      <c r="C7908" s="4"/>
    </row>
    <row r="7909" spans="1:3" ht="24" customHeight="1">
      <c r="A7909" s="4" t="str">
        <f ca="1">IFERROR(__xludf.DUMMYFUNCTION("""COMPUTED_VALUE"""),"धर्मं कञ्चित्पुरस्कृत्य प्रायः शब्दः प्रवर्तते । ययार्थं स्पष्टमाचष्टे शब्दस्तामभिधां विदुः ||")</f>
        <v>धर्मं कञ्चित्पुरस्कृत्य प्रायः शब्दः प्रवर्तते । ययार्थं स्पष्टमाचष्टे शब्दस्तामभिधां विदुः ||</v>
      </c>
      <c r="B7909" s="4" t="s">
        <v>17</v>
      </c>
      <c r="C7909" s="4"/>
    </row>
    <row r="7910" spans="1:3" ht="24" customHeight="1">
      <c r="A7910" s="4" t="str">
        <f ca="1">IFERROR(__xludf.DUMMYFUNCTION("""COMPUTED_VALUE"""),"जात्या गुणेन क्रियया वस्तुयोगेन संज्ञया । निर्देशेन तथा प्राहुः षड् विधामभिधां बुधाः ||")</f>
        <v>जात्या गुणेन क्रियया वस्तुयोगेन संज्ञया । निर्देशेन तथा प्राहुः षड् विधामभिधां बुधाः ||</v>
      </c>
      <c r="B7910" s="4" t="s">
        <v>20</v>
      </c>
      <c r="C7910" s="4"/>
    </row>
    <row r="7911" spans="1:3" ht="24" customHeight="1">
      <c r="A7911" s="4" t="str">
        <f ca="1">IFERROR(__xludf.DUMMYFUNCTION("""COMPUTED_VALUE"""),"गौर्नीलः पाचको दण्डी डित्थः कंस इति क्रमात् । कं संहिनस्ति कंसारिर्नरं च कं समाश्रितम् ||")</f>
        <v>गौर्नीलः पाचको दण्डी डित्थः कंस इति क्रमात् । कं संहिनस्ति कंसारिर्नरं च कं समाश्रितम् ||</v>
      </c>
      <c r="B7911" s="4" t="s">
        <v>2</v>
      </c>
      <c r="C7911" s="4"/>
    </row>
    <row r="7912" spans="1:3" ht="24" customHeight="1">
      <c r="A7912" s="4" t="str">
        <f ca="1">IFERROR(__xludf.DUMMYFUNCTION("""COMPUTED_VALUE"""),"न योगादेरायतनं न सङ्केतनिकेतनम् । वृत्त्या निर्देशशब्दोऽयं मुख्यया स्वाभिधेयया ||")</f>
        <v>न योगादेरायतनं न सङ्केतनिकेतनम् । वृत्त्या निर्देशशब्दोऽयं मुख्यया स्वाभिधेयया ||</v>
      </c>
      <c r="B7912" s="4" t="s">
        <v>5</v>
      </c>
      <c r="C7912" s="4"/>
    </row>
    <row r="7913" spans="1:3" ht="24" customHeight="1">
      <c r="A7913" s="4" t="str">
        <f ca="1">IFERROR(__xludf.DUMMYFUNCTION("""COMPUTED_VALUE"""),"पीयूषवर्षप्रभवं चन्द्रालोकमनोहरम् । सुधानिधानमासाद्य श्रयध्वं विबुधा मुदम् ||")</f>
        <v>पीयूषवर्षप्रभवं चन्द्रालोकमनोहरम् । सुधानिधानमासाद्य श्रयध्वं विबुधा मुदम् ||</v>
      </c>
      <c r="B7913" s="4" t="s">
        <v>17</v>
      </c>
      <c r="C7913" s="4"/>
    </row>
    <row r="7914" spans="1:3" ht="24" customHeight="1">
      <c r="A7914" s="4" t="str">
        <f ca="1">IFERROR(__xludf.DUMMYFUNCTION("""COMPUTED_VALUE"""),"जयन्ति याज्ञिकश्रीमन्-महादेवाङ्गजन्मनः । सूक्तिपीयूषवर्षस्य जयदेवकवेर्गिरः ||")</f>
        <v>जयन्ति याज्ञिकश्रीमन्-महादेवाङ्गजन्मनः । सूक्तिपीयूषवर्षस्य जयदेवकवेर्गिरः ||</v>
      </c>
      <c r="B7914" s="4" t="s">
        <v>0</v>
      </c>
      <c r="C7914" s="4"/>
    </row>
    <row r="7915" spans="1:3" ht="24" customHeight="1">
      <c r="A7915" s="4" t="str">
        <f ca="1">IFERROR(__xludf.DUMMYFUNCTION("""COMPUTED_VALUE"""),"महादेवः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||")</f>
        <v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||</v>
      </c>
      <c r="B7915" s="4" t="s">
        <v>2</v>
      </c>
      <c r="C7915" s="4"/>
    </row>
    <row r="7916" spans="1:3" ht="24" customHeight="1">
      <c r="A7916" s="4" t="str">
        <f ca="1">IFERROR(__xludf.DUMMYFUNCTION("""COMPUTED_VALUE"""),"गौरीश्रवः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॥")</f>
        <v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v>
      </c>
      <c r="B7916" s="4" t="s">
        <v>5</v>
      </c>
      <c r="C7916" s="4"/>
    </row>
    <row r="7917" spans="1:3" ht="24" customHeight="1">
      <c r="A7917" s="4" t="str">
        <f ca="1">IFERROR(__xludf.DUMMYFUNCTION("""COMPUTED_VALUE"""),"क्रियाकलापप्रतिपत्तिहेतुं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मुहूर्तचिन्त.२॥")</f>
        <v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v>
      </c>
      <c r="B7917" s="4" t="s">
        <v>2</v>
      </c>
      <c r="C7917" s="4"/>
    </row>
    <row r="7918" spans="1:3" ht="24" customHeight="1">
      <c r="A7918" s="4" t="str">
        <f ca="1">IFERROR(__xludf.DUMMYFUNCTION("""COMPUTED_VALUE"""),"तिथीशा वह्निकौ गौरी गणेशोऽहिर्गुहो रविः । शिवो दुर्गांतको विश्वे हरिः कामः शिवः शशी ॥ मुहूर्तचिन्त.३ ॥")</f>
        <v>तिथीशा वह्निकौ गौरी गणेशोऽहिर्गुहो रविः । शिवो दुर्गांतको विश्वे हरिः कामः शिवः शशी ॥ मुहूर्तचिन्त.३ ॥</v>
      </c>
      <c r="B7918" s="4" t="s">
        <v>8</v>
      </c>
      <c r="C7918" s="4"/>
    </row>
    <row r="7919" spans="1:3" ht="24" customHeight="1">
      <c r="A7919" s="4" t="str">
        <f ca="1">IFERROR(__xludf.DUMMYFUNCTION("""COMPUTED_VALUE"""),"नंदा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॥")</f>
        <v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v>
      </c>
      <c r="B7919" s="4" t="s">
        <v>5</v>
      </c>
      <c r="C7919" s="4"/>
    </row>
    <row r="7920" spans="1:3" ht="24" customHeight="1">
      <c r="A7920" s="4" t="str">
        <f ca="1">IFERROR(__xludf.DUMMYFUNCTION("""COMPUTED_VALUE"""),"नंदा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॥")</f>
        <v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v>
      </c>
      <c r="B7920" s="4" t="s">
        <v>5</v>
      </c>
      <c r="C7920" s="4"/>
    </row>
    <row r="7921" spans="1:3" ht="24" customHeight="1">
      <c r="A7921" s="4" t="str">
        <f ca="1">IFERROR(__xludf.DUMMYFUNCTION("""COMPUTED_VALUE"""),"षष्ठ्यादितिथयो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॥")</f>
        <v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v>
      </c>
      <c r="B7921" s="4" t="s">
        <v>1</v>
      </c>
      <c r="C7921" s="4"/>
    </row>
    <row r="7922" spans="1:3" ht="24" customHeight="1">
      <c r="A7922" s="4" t="str">
        <f ca="1">IFERROR(__xludf.DUMMYFUNCTION("""COMPUTED_VALUE"""),"षष्ठ्यष्ठमीभूतविधुक्षयेषु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॥")</f>
        <v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v>
      </c>
      <c r="B7922" s="4" t="s">
        <v>18</v>
      </c>
      <c r="C7922" s="4"/>
    </row>
    <row r="7923" spans="1:3" ht="24" customHeight="1">
      <c r="A7923" s="4" t="str">
        <f ca="1">IFERROR(__xludf.DUMMYFUNCTION("""COMPUTED_VALUE"""),"सूर्येशपञचाग्निरसाष्टनन्दा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॥")</f>
        <v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v>
      </c>
      <c r="B7923" s="4" t="s">
        <v>16</v>
      </c>
      <c r="C7923" s="4"/>
    </row>
    <row r="7924" spans="1:3" ht="24" customHeight="1">
      <c r="A7924" s="4" t="str">
        <f ca="1">IFERROR(__xludf.DUMMYFUNCTION("""COMPUTED_VALUE"""),"सूर्यादिवारे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॥")</f>
        <v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v>
      </c>
      <c r="B7924" s="4" t="s">
        <v>5</v>
      </c>
      <c r="C7924" s="4"/>
    </row>
    <row r="7925" spans="1:3" ht="24" customHeight="1">
      <c r="A7925" s="4" t="str">
        <f ca="1">IFERROR(__xludf.DUMMYFUNCTION("""COMPUTED_VALUE"""),"भाद्रे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॥")</f>
        <v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v>
      </c>
      <c r="B7925" s="4" t="s">
        <v>5</v>
      </c>
      <c r="C7925" s="4"/>
    </row>
    <row r="7926" spans="1:3" ht="24" customHeight="1">
      <c r="A7926" s="4" t="str">
        <f ca="1">IFERROR(__xludf.DUMMYFUNCTION("""COMPUTED_VALUE"""),"शक्राः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॥")</f>
        <v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v>
      </c>
      <c r="B7926" s="4" t="s">
        <v>12</v>
      </c>
      <c r="C7926" s="4"/>
    </row>
    <row r="7927" spans="1:3" ht="24" customHeight="1">
      <c r="A7927" s="4" t="str">
        <f ca="1">IFERROR(__xludf.DUMMYFUNCTION("""COMPUTED_VALUE"""),"अनुराधा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॥")</f>
        <v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v>
      </c>
      <c r="B7927" s="4" t="s">
        <v>7</v>
      </c>
      <c r="C7927" s="4"/>
    </row>
    <row r="7928" spans="1:3" ht="24" customHeight="1">
      <c r="A7928" s="4" t="str">
        <f ca="1">IFERROR(__xludf.DUMMYFUNCTION("""COMPUTED_VALUE"""),"स्वातीचित्रे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॥")</f>
        <v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v>
      </c>
      <c r="B7928" s="4" t="s">
        <v>7</v>
      </c>
      <c r="C7928" s="4"/>
    </row>
    <row r="7929" spans="1:3" ht="24" customHeight="1">
      <c r="A7929" s="4" t="str">
        <f ca="1">IFERROR(__xludf.DUMMYFUNCTION("""COMPUTED_VALUE"""),"कदास्रभे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॥")</f>
        <v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v>
      </c>
      <c r="B7929" s="4" t="s">
        <v>6</v>
      </c>
      <c r="C7929" s="4"/>
    </row>
    <row r="7930" spans="1:3" ht="24" customHeight="1">
      <c r="A7930" s="4" t="str">
        <f ca="1">IFERROR(__xludf.DUMMYFUNCTION("""COMPUTED_VALUE"""),"चित्राद्वीशौ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मुहूर्तचिन्त.१५॥")</f>
        <v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v>
      </c>
      <c r="B7930" s="4" t="s">
        <v>17</v>
      </c>
      <c r="C7930" s="4"/>
    </row>
    <row r="7931" spans="1:3" ht="24" customHeight="1">
      <c r="A7931" s="4" t="str">
        <f ca="1">IFERROR(__xludf.DUMMYFUNCTION("""COMPUTED_VALUE"""),"घटो झषो गौर्मिथुनं मेषकन्यालितौलिनः । धनुः कर्को मृगः सिंहश्चैत्रादौ शून्यरशयः ॥ मुहूर्तचिन्त.१६ ॥")</f>
        <v>घटो झषो गौर्मिथुनं मेषकन्यालितौलिनः । धनुः कर्को मृगः सिंहश्चैत्रादौ शून्यरशयः ॥ मुहूर्तचिन्त.१६ ॥</v>
      </c>
      <c r="B7931" s="4" t="s">
        <v>5</v>
      </c>
      <c r="C7931" s="4"/>
    </row>
    <row r="7932" spans="1:3" ht="24" customHeight="1">
      <c r="A7932" s="4" t="str">
        <f ca="1">IFERROR(__xludf.DUMMYFUNCTION("""COMPUTED_VALUE"""),"पक्षादितस्त्वोजतिथौ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॥")</f>
        <v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v>
      </c>
      <c r="B7932" s="4" t="s">
        <v>1</v>
      </c>
      <c r="C7932" s="4"/>
    </row>
    <row r="7933" spans="1:3" ht="24" customHeight="1">
      <c r="A7933" s="4" t="str">
        <f ca="1">IFERROR(__xludf.DUMMYFUNCTION("""COMPUTED_VALUE"""),"तिथयो मासशून्याश्च शून्यलग्नानि यान्यपि । मध्यदेशे विवर्ज्यानि न दूष्याणीतरेषु तु ॥ मुहूर्तचिन्त.१८ ॥")</f>
        <v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v>
      </c>
      <c r="B7933" s="4" t="s">
        <v>2</v>
      </c>
      <c r="C7933" s="4"/>
    </row>
    <row r="7934" spans="1:3" ht="24" customHeight="1">
      <c r="A7934" s="4" t="str">
        <f ca="1">IFERROR(__xludf.DUMMYFUNCTION("""COMPUTED_VALUE"""),"पङ्ग्वन्धकाणलग्नानि मासशून्याश्च राशयः । गौडमालवयोस्त्याज्या अन्यदेशे न गर्हिता ॥ मुहूर्तचिन्त.१९ ॥")</f>
        <v>पङ्ग्वन्धकाणलग्नानि मासशून्याश्च राशयः । गौडमालवयोस्त्याज्या अन्यदेशे न गर्हिता ॥ मुहूर्तचिन्त.१९ ॥</v>
      </c>
      <c r="B7934" s="4" t="s">
        <v>2</v>
      </c>
      <c r="C7934" s="4"/>
    </row>
    <row r="7935" spans="1:3" ht="24" customHeight="1">
      <c r="A7935" s="4" t="str">
        <f ca="1">IFERROR(__xludf.DUMMYFUNCTION("""COMPUTED_VALUE"""),"वर्जयेत्सर्वकार्येषु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॥")</f>
        <v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v>
      </c>
      <c r="B7935" s="4" t="s">
        <v>10</v>
      </c>
      <c r="C7935" s="4"/>
    </row>
    <row r="7936" spans="1:3" ht="24" customHeight="1">
      <c r="A7936" s="4" t="str">
        <f ca="1">IFERROR(__xludf.DUMMYFUNCTION("""COMPUTED_VALUE"""),"वुधानुराधामष्टम्यां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॥")</f>
        <v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v>
      </c>
      <c r="B7936" s="4" t="s">
        <v>7</v>
      </c>
      <c r="C7936" s="4"/>
    </row>
    <row r="7937" spans="1:3" ht="24" customHeight="1">
      <c r="A7937" s="4" t="str">
        <f ca="1">IFERROR(__xludf.DUMMYFUNCTION("""COMPUTED_VALUE"""),"गृहप्रवेशे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॥")</f>
        <v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v>
      </c>
      <c r="B7937" s="4" t="s">
        <v>5</v>
      </c>
      <c r="C7937" s="4"/>
    </row>
    <row r="7938" spans="1:3" ht="24" customHeight="1">
      <c r="A7938" s="4" t="str">
        <f ca="1">IFERROR(__xludf.DUMMYFUNCTION("""COMPUTED_VALUE"""),"आनन्दाख्यः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॥")</f>
        <v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v>
      </c>
      <c r="B7938" s="4" t="s">
        <v>26</v>
      </c>
      <c r="C7938" s="4"/>
    </row>
    <row r="7939" spans="1:3" ht="24" customHeight="1">
      <c r="A7939" s="4" t="str">
        <f ca="1">IFERROR(__xludf.DUMMYFUNCTION("""COMPUTED_VALUE"""),"उत्पातसृत्यू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॥")</f>
        <v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v>
      </c>
      <c r="B7939" s="4" t="s">
        <v>1</v>
      </c>
      <c r="C7939" s="4"/>
    </row>
    <row r="7940" spans="1:3" ht="24" customHeight="1">
      <c r="A7940" s="4" t="str">
        <f ca="1">IFERROR(__xludf.DUMMYFUNCTION("""COMPUTED_VALUE"""),"दास्रादर्के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॥")</f>
        <v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v>
      </c>
      <c r="B7940" s="4" t="s">
        <v>7</v>
      </c>
      <c r="C7940" s="4"/>
    </row>
    <row r="7941" spans="1:3" ht="24" customHeight="1">
      <c r="A7941" s="4" t="str">
        <f ca="1">IFERROR(__xludf.DUMMYFUNCTION("""COMPUTED_VALUE"""),"ध्वांक्षे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मुहूर्तचिन्त.२६॥")</f>
        <v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v>
      </c>
      <c r="B7941" s="4" t="s">
        <v>4</v>
      </c>
      <c r="C7941" s="4"/>
    </row>
    <row r="7942" spans="1:3" ht="24" customHeight="1">
      <c r="A7942" s="4" t="str">
        <f ca="1">IFERROR(__xludf.DUMMYFUNCTION("""COMPUTED_VALUE"""),"सूर्यभाद्वेदगोतर्कदिग्विश्वनखसम्मिते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मुहूर्तचिन्त.२७॥")</f>
        <v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v>
      </c>
      <c r="B7942" s="4" t="s">
        <v>19</v>
      </c>
      <c r="C7942" s="4"/>
    </row>
    <row r="7943" spans="1:3" ht="24" customHeight="1">
      <c r="A7943" s="4" t="str">
        <f ca="1">IFERROR(__xludf.DUMMYFUNCTION("""COMPUTED_VALUE"""),"सूर्येऽर्कमूलोत्तरयुष्यदास्रं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॥")</f>
        <v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v>
      </c>
      <c r="B7943" s="4" t="s">
        <v>0</v>
      </c>
      <c r="C7943" s="4"/>
    </row>
    <row r="7944" spans="1:3" ht="24" customHeight="1">
      <c r="A7944" s="4" t="str">
        <f ca="1">IFERROR(__xludf.DUMMYFUNCTION("""COMPUTED_VALUE"""),"जीवेऽन्त्यमैत्राश्व्यदितीज्यधिष्ण्यं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॥")</f>
        <v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v>
      </c>
      <c r="B7944" s="4" t="s">
        <v>4</v>
      </c>
      <c r="C7944" s="4"/>
    </row>
    <row r="7945" spans="1:3" ht="24" customHeight="1">
      <c r="A7945" s="4" t="str">
        <f ca="1">IFERROR(__xludf.DUMMYFUNCTION("""COMPUTED_VALUE"""),"द्वीशात्तोयाद्वासवात्पौष्णभाच्च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॥")</f>
        <v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v>
      </c>
      <c r="B7945" s="4" t="s">
        <v>5</v>
      </c>
      <c r="C7945" s="4"/>
    </row>
    <row r="7946" spans="1:3" ht="24" customHeight="1">
      <c r="A7946" s="4" t="str">
        <f ca="1">IFERROR(__xludf.DUMMYFUNCTION("""COMPUTED_VALUE"""),"कुयोगास्तिथिवारोत्थास्तिथिभोत्था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॥")</f>
        <v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v>
      </c>
      <c r="B7946" s="4" t="s">
        <v>10</v>
      </c>
      <c r="C7946" s="4"/>
    </row>
    <row r="7947" spans="1:3" ht="24" customHeight="1">
      <c r="A7947" s="4" t="str">
        <f ca="1">IFERROR(__xludf.DUMMYFUNCTION("""COMPUTED_VALUE"""),"सर्वस्मिन्विधुपापयुक्तनुलवावर्धे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॥")</f>
        <v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v>
      </c>
      <c r="B7947" s="4" t="s">
        <v>6</v>
      </c>
      <c r="C7947" s="4"/>
    </row>
    <row r="7948" spans="1:3" ht="24" customHeight="1">
      <c r="A7948" s="4" t="str">
        <f ca="1">IFERROR(__xludf.DUMMYFUNCTION("""COMPUTED_VALUE"""),"नेष्टं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||")</f>
        <v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||</v>
      </c>
      <c r="B7948" s="4" t="s">
        <v>29</v>
      </c>
      <c r="C7948" s="4"/>
    </row>
    <row r="7949" spans="1:3" ht="24" customHeight="1">
      <c r="A7949" s="4" t="str">
        <f ca="1">IFERROR(__xludf.DUMMYFUNCTION("""COMPUTED_VALUE"""),"जन्मर्क्षमासतिथयो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॥")</f>
        <v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v>
      </c>
      <c r="B7949" s="4" t="s">
        <v>5</v>
      </c>
      <c r="C7949" s="4"/>
    </row>
    <row r="7950" spans="1:3" ht="24" customHeight="1">
      <c r="A7950" s="4" t="str">
        <f ca="1">IFERROR(__xludf.DUMMYFUNCTION("""COMPUTED_VALUE"""),"परिधार्धं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॥")</f>
        <v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v>
      </c>
      <c r="B7950" s="4" t="s">
        <v>13</v>
      </c>
      <c r="C7950" s="4"/>
    </row>
    <row r="7951" spans="1:3" ht="24" customHeight="1">
      <c r="A7951" s="4" t="str">
        <f ca="1">IFERROR(__xludf.DUMMYFUNCTION("""COMPUTED_VALUE"""),"वेदाङ्गाष्टनवार्केन्द्रपक्षरन्ध्रतिथौ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॥")</f>
        <v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v>
      </c>
      <c r="B7951" s="4" t="s">
        <v>6</v>
      </c>
      <c r="C7951" s="4"/>
    </row>
    <row r="7952" spans="1:3" ht="24" customHeight="1">
      <c r="A7952" s="4" t="str">
        <f ca="1">IFERROR(__xludf.DUMMYFUNCTION("""COMPUTED_VALUE"""),"कुलिकः कालवेला च यमघण्टश्च कण्टकः । वाराद्विघ्ने क्रमान्मन्दे बुधे जीवे कुजे क्षणः ॥ मुहूर्तचिन्त.३७ ॥")</f>
        <v>कुलिकः कालवेला च यमघण्टश्च कण्टकः । वाराद्विघ्ने क्रमान्मन्दे बुधे जीवे कुजे क्षणः ॥ मुहूर्तचिन्त.३७ ॥</v>
      </c>
      <c r="B7952" s="4" t="s">
        <v>7</v>
      </c>
      <c r="C7952" s="4"/>
    </row>
    <row r="7953" spans="1:3" ht="24" customHeight="1">
      <c r="A7953" s="4" t="str">
        <f ca="1">IFERROR(__xludf.DUMMYFUNCTION("""COMPUTED_VALUE"""),"सूर्ये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३८॥")</f>
        <v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v>
      </c>
      <c r="B7953" s="4" t="s">
        <v>24</v>
      </c>
      <c r="C7953" s="4"/>
    </row>
    <row r="7954" spans="1:3" ht="24" customHeight="1">
      <c r="A7954" s="4" t="str">
        <f ca="1">IFERROR(__xludf.DUMMYFUNCTION("""COMPUTED_VALUE"""),"दिग्भास्करा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३९॥")</f>
        <v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v>
      </c>
      <c r="B7954" s="4" t="s">
        <v>8</v>
      </c>
      <c r="C7954" s="4"/>
    </row>
    <row r="7955" spans="1:3" ht="24" customHeight="1">
      <c r="A7955" s="4" t="str">
        <f ca="1">IFERROR(__xludf.DUMMYFUNCTION("""COMPUTED_VALUE"""),"विपाशैरावतीतीरे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४०॥")</f>
        <v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v>
      </c>
      <c r="B7955" s="4" t="s">
        <v>19</v>
      </c>
      <c r="C7955" s="4"/>
    </row>
    <row r="7956" spans="1:3" ht="24" customHeight="1">
      <c r="A7956" s="4" t="str">
        <f ca="1">IFERROR(__xludf.DUMMYFUNCTION("""COMPUTED_VALUE"""),"मृत्युक्रकचदग्धादीनिन्दौ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४१॥")</f>
        <v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v>
      </c>
      <c r="B7956" s="4" t="s">
        <v>2</v>
      </c>
      <c r="C7956" s="4"/>
    </row>
    <row r="7957" spans="1:3" ht="24" customHeight="1">
      <c r="A7957" s="4" t="str">
        <f ca="1">IFERROR(__xludf.DUMMYFUNCTION("""COMPUTED_VALUE"""),"अयोगे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४२॥")</f>
        <v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v>
      </c>
      <c r="B7957" s="4" t="s">
        <v>2</v>
      </c>
      <c r="C7957" s="4"/>
    </row>
    <row r="7958" spans="1:3" ht="24" customHeight="1">
      <c r="A7958" s="4" t="str">
        <f ca="1">IFERROR(__xludf.DUMMYFUNCTION("""COMPUTED_VALUE"""),"शुक्ले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॥")</f>
        <v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v>
      </c>
      <c r="B7958" s="4" t="s">
        <v>5</v>
      </c>
      <c r="C7958" s="4"/>
    </row>
    <row r="7959" spans="1:3" ht="24" customHeight="1">
      <c r="A7959" s="4" t="str">
        <f ca="1">IFERROR(__xludf.DUMMYFUNCTION("""COMPUTED_VALUE"""),"पञ्चद्व्यद्रिकृताष्टरामरसभूयामादिघट्यः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४४॥")</f>
        <v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v>
      </c>
      <c r="B7959" s="4" t="s">
        <v>3</v>
      </c>
      <c r="C7959" s="4"/>
    </row>
    <row r="7960" spans="1:3" ht="24" customHeight="1">
      <c r="A7960" s="4" t="str">
        <f ca="1">IFERROR(__xludf.DUMMYFUNCTION("""COMPUTED_VALUE"""),"कुम्भकर्कद्वये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॥")</f>
        <v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v>
      </c>
      <c r="B7960" s="4" t="s">
        <v>11</v>
      </c>
      <c r="C7960" s="4"/>
    </row>
    <row r="7961" spans="1:3" ht="24" customHeight="1">
      <c r="A7961" s="4" t="str">
        <f ca="1">IFERROR(__xludf.DUMMYFUNCTION("""COMPUTED_VALUE"""),"गोदानाग्रयणप्रपाप्रथमकोपाकर्मवेदव्रतं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मुहूर्तचिन्त.४६॥")</f>
        <v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v>
      </c>
      <c r="B7961" s="4" t="s">
        <v>1</v>
      </c>
      <c r="C7961" s="4"/>
    </row>
    <row r="7962" spans="1:3" ht="24" customHeight="1">
      <c r="A7962" s="4" t="str">
        <f ca="1">IFERROR(__xludf.DUMMYFUNCTION("""COMPUTED_VALUE"""),"दीक्षामौञ्जिविवाहमुण्डनमपूर्वं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मुहूर्तचिन्त.४७॥")</f>
        <v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v>
      </c>
      <c r="B7962" s="4" t="s">
        <v>10</v>
      </c>
      <c r="C7962" s="4"/>
    </row>
    <row r="7963" spans="1:3" ht="24" customHeight="1">
      <c r="A7963" s="4" t="str">
        <f ca="1">IFERROR(__xludf.DUMMYFUNCTION("""COMPUTED_VALUE"""),"अस्ते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४८॥")</f>
        <v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v>
      </c>
      <c r="B7963" s="4" t="s">
        <v>13</v>
      </c>
      <c r="C7963" s="4"/>
    </row>
    <row r="7964" spans="1:3" ht="24" customHeight="1">
      <c r="A7964" s="4" t="str">
        <f ca="1">IFERROR(__xludf.DUMMYFUNCTION("""COMPUTED_VALUE"""),"सिंहे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मुहूर्तचिन्त.४९॥")</f>
        <v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v>
      </c>
      <c r="B7964" s="4" t="s">
        <v>13</v>
      </c>
      <c r="C7964" s="4"/>
    </row>
    <row r="7965" spans="1:3" ht="24" customHeight="1">
      <c r="A7965" s="4" t="str">
        <f ca="1">IFERROR(__xludf.DUMMYFUNCTION("""COMPUTED_VALUE"""),"मघादिपञ्चपादेषु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॥")</f>
        <v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v>
      </c>
      <c r="B7965" s="4" t="s">
        <v>19</v>
      </c>
      <c r="C7965" s="4"/>
    </row>
    <row r="7966" spans="1:3" ht="24" customHeight="1">
      <c r="A7966" s="4" t="str">
        <f ca="1">IFERROR(__xludf.DUMMYFUNCTION("""COMPUTED_VALUE"""),"मेषेऽर्के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॥")</f>
        <v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v>
      </c>
      <c r="B7966" s="4" t="s">
        <v>0</v>
      </c>
      <c r="C7966" s="4"/>
    </row>
    <row r="7967" spans="1:3" ht="24" customHeight="1">
      <c r="A7967" s="4" t="str">
        <f ca="1">IFERROR(__xludf.DUMMYFUNCTION("""COMPUTED_VALUE"""),"रेवापूर्वे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॥")</f>
        <v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v>
      </c>
      <c r="B7967" s="4" t="s">
        <v>13</v>
      </c>
      <c r="C7967" s="4"/>
    </row>
    <row r="7968" spans="1:3" ht="24" customHeight="1">
      <c r="A7968" s="4" t="str">
        <f ca="1">IFERROR(__xludf.DUMMYFUNCTION("""COMPUTED_VALUE"""),"पादोनरेखापरपूर्वयोजनैः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मुहूर्तचिन्त.५४॥")</f>
        <v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v>
      </c>
      <c r="B7968" s="4" t="s">
        <v>1</v>
      </c>
      <c r="C7968" s="4"/>
    </row>
    <row r="7969" spans="1:3" ht="24" customHeight="1">
      <c r="A7969" s="4" t="str">
        <f ca="1">IFERROR(__xludf.DUMMYFUNCTION("""COMPUTED_VALUE"""),"वारादेर्घटिका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मुहूर्तचिन्त.५५॥")</f>
        <v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v>
      </c>
      <c r="B7969" s="4" t="s">
        <v>12</v>
      </c>
      <c r="C7969" s="4"/>
    </row>
    <row r="7970" spans="1:3" ht="24" customHeight="1">
      <c r="A7970" s="4" t="str">
        <f ca="1">IFERROR(__xludf.DUMMYFUNCTION("""COMPUTED_VALUE"""),"वारे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॥")</f>
        <v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v>
      </c>
      <c r="B7970" s="4" t="s">
        <v>29</v>
      </c>
      <c r="C7970" s="4"/>
    </row>
    <row r="7971" spans="1:3" ht="24" customHeight="1">
      <c r="A7971" s="4" t="str">
        <f ca="1">IFERROR(__xludf.DUMMYFUNCTION("""COMPUTED_VALUE"""),"मन्वाद्यास्त्रितिथी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मुहूर्तचिन्त.५७॥")</f>
        <v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v>
      </c>
      <c r="B7971" s="4" t="s">
        <v>2</v>
      </c>
      <c r="C7971" s="4"/>
    </row>
    <row r="7972" spans="1:3" ht="24" customHeight="1">
      <c r="A7972" s="4" t="str">
        <f ca="1">IFERROR(__xludf.DUMMYFUNCTION("""COMPUTED_VALUE"""),"नासत्यान्तकवह्निधातृशशभृद्रुदादितीज्योरगा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॥")</f>
        <v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v>
      </c>
      <c r="B7972" s="4" t="s">
        <v>20</v>
      </c>
      <c r="C7972" s="4"/>
    </row>
    <row r="7973" spans="1:3" ht="24" customHeight="1">
      <c r="A7973" s="4" t="str">
        <f ca="1">IFERROR(__xludf.DUMMYFUNCTION("""COMPUTED_VALUE"""),"उत्तरात्रयरोहिण्यो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२॥")</f>
        <v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v>
      </c>
      <c r="B7973" s="4" t="s">
        <v>5</v>
      </c>
      <c r="C7973" s="4"/>
    </row>
    <row r="7974" spans="1:3" ht="24" customHeight="1">
      <c r="A7974" s="4" t="str">
        <f ca="1">IFERROR(__xludf.DUMMYFUNCTION("""COMPUTED_VALUE"""),"स्वात्यादित्ये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॥")</f>
        <v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v>
      </c>
      <c r="B7974" s="4" t="s">
        <v>19</v>
      </c>
      <c r="C7974" s="4"/>
    </row>
    <row r="7975" spans="1:3" ht="24" customHeight="1">
      <c r="A7975" s="4" t="str">
        <f ca="1">IFERROR(__xludf.DUMMYFUNCTION("""COMPUTED_VALUE"""),"पूर्वात्रयं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॥")</f>
        <v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v>
      </c>
      <c r="B7975" s="4" t="s">
        <v>2</v>
      </c>
      <c r="C7975" s="4"/>
    </row>
    <row r="7976" spans="1:3" ht="24" customHeight="1">
      <c r="A7976" s="4" t="str">
        <f ca="1">IFERROR(__xludf.DUMMYFUNCTION("""COMPUTED_VALUE"""),"विशाखाग्नेयभे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॥")</f>
        <v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v>
      </c>
      <c r="B7976" s="4" t="s">
        <v>5</v>
      </c>
      <c r="C7976" s="4"/>
    </row>
    <row r="7977" spans="1:3" ht="24" customHeight="1">
      <c r="A7977" s="4" t="str">
        <f ca="1">IFERROR(__xludf.DUMMYFUNCTION("""COMPUTED_VALUE"""),"हस्ताश्विपुष्याभिजितः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॥")</f>
        <v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v>
      </c>
      <c r="B7977" s="4" t="s">
        <v>19</v>
      </c>
      <c r="C7977" s="4"/>
    </row>
    <row r="7978" spans="1:3" ht="24" customHeight="1">
      <c r="A7978" s="4" t="str">
        <f ca="1">IFERROR(__xludf.DUMMYFUNCTION("""COMPUTED_VALUE"""),"मृगान्त्यचित्रामित्रक्षं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॥")</f>
        <v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v>
      </c>
      <c r="B7978" s="4" t="s">
        <v>7</v>
      </c>
      <c r="C7978" s="4"/>
    </row>
    <row r="7979" spans="1:3" ht="24" customHeight="1">
      <c r="A7979" s="4" t="str">
        <f ca="1">IFERROR(__xludf.DUMMYFUNCTION("""COMPUTED_VALUE"""),"मूलेन्द्रार्द्राहिभं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८॥")</f>
        <v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v>
      </c>
      <c r="B7979" s="4" t="s">
        <v>19</v>
      </c>
      <c r="C7979" s="4"/>
    </row>
    <row r="7980" spans="1:3" ht="24" customHeight="1">
      <c r="A7980" s="4" t="str">
        <f ca="1">IFERROR(__xludf.DUMMYFUNCTION("""COMPUTED_VALUE"""),"मूलाहिमिश्रोग्रमधोमुखं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९॥")</f>
        <v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v>
      </c>
      <c r="B7980" s="4" t="s">
        <v>18</v>
      </c>
      <c r="C7980" s="4"/>
    </row>
    <row r="7981" spans="1:3" ht="24" customHeight="1">
      <c r="A7981" s="4" t="str">
        <f ca="1">IFERROR(__xludf.DUMMYFUNCTION("""COMPUTED_VALUE"""),"पौष्णध्रुवाश्विकरपञ्चकवासवेज्यादित्येप्रवालरदशङ्खसुवर्णवस्त्रम्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१०॥")</f>
        <v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v>
      </c>
      <c r="B7981" s="4" t="s">
        <v>5</v>
      </c>
      <c r="C7981" s="4"/>
    </row>
    <row r="7982" spans="1:3" ht="24" customHeight="1">
      <c r="A7982" s="4" t="str">
        <f ca="1">IFERROR(__xludf.DUMMYFUNCTION("""COMPUTED_VALUE"""),"वस्त्राणां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११॥")</f>
        <v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v>
      </c>
      <c r="B7982" s="4" t="s">
        <v>2</v>
      </c>
      <c r="C7982" s="4"/>
    </row>
    <row r="7983" spans="1:3" ht="24" customHeight="1">
      <c r="A7983" s="4" t="str">
        <f ca="1">IFERROR(__xludf.DUMMYFUNCTION("""COMPUTED_VALUE"""),"विप्राज्ञया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१२॥")</f>
        <v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v>
      </c>
      <c r="B7983" s="4" t="s">
        <v>20</v>
      </c>
      <c r="C7983" s="4"/>
    </row>
    <row r="7984" spans="1:3" ht="24" customHeight="1">
      <c r="A7984" s="4" t="str">
        <f ca="1">IFERROR(__xludf.DUMMYFUNCTION("""COMPUTED_VALUE"""),"राधामूलमृदुघ्रु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१३॥")</f>
        <v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v>
      </c>
      <c r="B7984" s="4" t="s">
        <v>5</v>
      </c>
      <c r="C7984" s="4"/>
    </row>
    <row r="7985" spans="1:3" ht="24" customHeight="1">
      <c r="A7985" s="4" t="str">
        <f ca="1">IFERROR(__xludf.DUMMYFUNCTION("""COMPUTED_VALUE"""),"लग्ने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")</f>
        <v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v>
      </c>
      <c r="B7985" s="4" t="s">
        <v>18</v>
      </c>
      <c r="C7985" s="4"/>
    </row>
    <row r="7986" spans="1:3" ht="24" customHeight="1">
      <c r="A7986" s="4" t="str">
        <f ca="1">IFERROR(__xludf.DUMMYFUNCTION("""COMPUTED_VALUE"""),"भैषज्यं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॥")</f>
        <v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v>
      </c>
      <c r="B7986" s="4" t="s">
        <v>5</v>
      </c>
      <c r="C7986" s="4"/>
    </row>
    <row r="7987" spans="1:3" ht="24" customHeight="1">
      <c r="A7987" s="4" t="str">
        <f ca="1">IFERROR(__xludf.DUMMYFUNCTION("""COMPUTED_VALUE"""),"क्रयर्क्षे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॥")</f>
        <v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v>
      </c>
      <c r="B7987" s="4" t="s">
        <v>6</v>
      </c>
      <c r="C7987" s="4"/>
    </row>
    <row r="7988" spans="1:3" ht="24" customHeight="1">
      <c r="A7988" s="4" t="str">
        <f ca="1">IFERROR(__xludf.DUMMYFUNCTION("""COMPUTED_VALUE"""),"रिक्ताभौमघटान्विना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॥")</f>
        <v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v>
      </c>
      <c r="B7988" s="4" t="s">
        <v>14</v>
      </c>
      <c r="C7988" s="4"/>
    </row>
    <row r="7989" spans="1:3" ht="24" customHeight="1">
      <c r="A7989" s="4" t="str">
        <f ca="1">IFERROR(__xludf.DUMMYFUNCTION("""COMPUTED_VALUE"""),"क्षिप्रान्त्यवस्विन्दुमरूज्जलेशा-दित्येष्वरिक्तारदिने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१८॥")</f>
        <v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v>
      </c>
      <c r="B7989" s="4" t="s">
        <v>4</v>
      </c>
      <c r="C7989" s="4"/>
    </row>
    <row r="7990" spans="1:3" ht="24" customHeight="1">
      <c r="A7990" s="4" t="str">
        <f ca="1">IFERROR(__xludf.DUMMYFUNCTION("""COMPUTED_VALUE"""),"स्याद्भूषाघटनं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॥")</f>
        <v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v>
      </c>
      <c r="B7990" s="4" t="s">
        <v>2</v>
      </c>
      <c r="C7990" s="4"/>
    </row>
    <row r="7991" spans="1:3" ht="24" customHeight="1">
      <c r="A7991" s="4" t="str">
        <f ca="1">IFERROR(__xludf.DUMMYFUNCTION("""COMPUTED_VALUE"""),"मुद्राणां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२०॥")</f>
        <v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v>
      </c>
      <c r="B7991" s="4" t="s">
        <v>9</v>
      </c>
      <c r="C7991" s="4"/>
    </row>
    <row r="7992" spans="1:3" ht="24" customHeight="1">
      <c r="A7992" s="4" t="str">
        <f ca="1">IFERROR(__xludf.DUMMYFUNCTION("""COMPUTED_VALUE"""),"सन्धार्याः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स्या- द्भोगः शय्यासनादेर्ध्रुवमृदुलघुहर्यन्तकादित्य इष्टः ॥ मुहूर्त.नक्षत्रप्रकरण"&amp;"म्  २१ ॥")</f>
        <v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स्या- द्भोगः शय्यासनादेर्ध्रुवमृदुलघुहर्यन्तकादित्य इष्टः ॥ मुहूर्त.नक्षत्रप्रकरणम्  २१ ॥</v>
      </c>
      <c r="B7992" s="4" t="s">
        <v>23</v>
      </c>
      <c r="C7992" s="4"/>
    </row>
    <row r="7993" spans="1:3" ht="24" customHeight="1">
      <c r="A7993" s="4" t="str">
        <f ca="1">IFERROR(__xludf.DUMMYFUNCTION("""COMPUTED_VALUE"""),"अन्धाक्षं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॥")</f>
        <v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v>
      </c>
      <c r="B7993" s="4" t="s">
        <v>15</v>
      </c>
      <c r="C7993" s="4"/>
    </row>
    <row r="7994" spans="1:3" ht="24" customHeight="1">
      <c r="A7994" s="4" t="str">
        <f ca="1">IFERROR(__xludf.DUMMYFUNCTION("""COMPUTED_VALUE"""),"विनष्टार्थस्य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॥")</f>
        <v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v>
      </c>
      <c r="B7994" s="4" t="s">
        <v>1</v>
      </c>
      <c r="C7994" s="4"/>
    </row>
    <row r="7995" spans="1:3" ht="24" customHeight="1">
      <c r="A7995" s="4" t="str">
        <f ca="1">IFERROR(__xludf.DUMMYFUNCTION("""COMPUTED_VALUE"""),"तीक्ष्णमिश्रध्रुवोग्रैर्यद्द्रव्यं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॥")</f>
        <v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v>
      </c>
      <c r="B7995" s="4" t="s">
        <v>2</v>
      </c>
      <c r="C7995" s="4"/>
    </row>
    <row r="7996" spans="1:3" ht="24" customHeight="1">
      <c r="A7996" s="4" t="str">
        <f ca="1">IFERROR(__xludf.DUMMYFUNCTION("""COMPUTED_VALUE"""),"मित्रार्कध्रुववासवाम्बुपमघातोयान्त्यपुष्येन्दुभिः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॥")</f>
        <v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v>
      </c>
      <c r="B7996" s="4" t="s">
        <v>6</v>
      </c>
      <c r="C7996" s="4"/>
    </row>
    <row r="7997" spans="1:3" ht="24" customHeight="1">
      <c r="A7997" s="4" t="str">
        <f ca="1">IFERROR(__xludf.DUMMYFUNCTION("""COMPUTED_VALUE"""),"क्षिप्रे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२६॥")</f>
        <v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v>
      </c>
      <c r="B7997" s="4" t="s">
        <v>1</v>
      </c>
      <c r="C7997" s="4"/>
    </row>
    <row r="7998" spans="1:3" ht="24" customHeight="1">
      <c r="A7998" s="4" t="str">
        <f ca="1">IFERROR(__xludf.DUMMYFUNCTION("""COMPUTED_VALUE"""),"नारे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॥")</f>
        <v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v>
      </c>
      <c r="B7998" s="4" t="s">
        <v>1</v>
      </c>
      <c r="C7998" s="4"/>
    </row>
    <row r="7999" spans="1:3" ht="24" customHeight="1">
      <c r="A7999" s="4" t="str">
        <f ca="1">IFERROR(__xludf.DUMMYFUNCTION("""COMPUTED_VALUE"""),"लग्ने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२८॥")</f>
        <v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v>
      </c>
      <c r="B7999" s="4" t="s">
        <v>10</v>
      </c>
      <c r="C7999" s="4"/>
    </row>
    <row r="8000" spans="1:3" ht="24" customHeight="1">
      <c r="A8000" s="4" t="str">
        <f ca="1">IFERROR(__xludf.DUMMYFUNCTION("""COMPUTED_VALUE"""),"रामेन्द्वग्नियुगान्यसच्छुभकराण्युप्तौ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॥")</f>
        <v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v>
      </c>
      <c r="B8000" s="4" t="s">
        <v>16</v>
      </c>
      <c r="C8000" s="4"/>
    </row>
    <row r="8001" spans="1:3" ht="24" customHeight="1">
      <c r="A8001" s="4" t="str">
        <f ca="1">IFERROR(__xludf.DUMMYFUNCTION("""COMPUTED_VALUE"""),"मित्रक्षिप्रचरध्रुवे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३०॥")</f>
        <v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v>
      </c>
      <c r="B8001" s="4" t="s">
        <v>11</v>
      </c>
      <c r="C8001" s="4"/>
    </row>
    <row r="8002" spans="1:3" ht="24" customHeight="1">
      <c r="A8002" s="4" t="str">
        <f ca="1">IFERROR(__xludf.DUMMYFUNCTION("""COMPUTED_VALUE"""),"तीक्ष्णाजपादकरवन्हिवसुश्रुतीन्दु-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३१॥")</f>
        <v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v>
      </c>
      <c r="B8002" s="4" t="s">
        <v>1</v>
      </c>
      <c r="C8002" s="4"/>
    </row>
    <row r="8003" spans="1:3" ht="24" customHeight="1">
      <c r="A8003" s="4" t="str">
        <f ca="1">IFERROR(__xludf.DUMMYFUNCTION("""COMPUTED_VALUE"""),"भाग्यार्यमश्रुतिमघेन्द्रविधातृमूल-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३२॥")</f>
        <v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v>
      </c>
      <c r="B8003" s="4" t="s">
        <v>18</v>
      </c>
      <c r="C8003" s="4"/>
    </row>
    <row r="8004" spans="1:3" ht="24" customHeight="1">
      <c r="A8004" s="4" t="str">
        <f ca="1">IFERROR(__xludf.DUMMYFUNCTION("""COMPUTED_VALUE"""),"धान्यस्थितिः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॥")</f>
        <v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v>
      </c>
      <c r="B8004" s="4" t="s">
        <v>20</v>
      </c>
      <c r="C8004" s="4"/>
    </row>
    <row r="8005" spans="1:3" ht="24" customHeight="1">
      <c r="A8005" s="4" t="str">
        <f ca="1">IFERROR(__xludf.DUMMYFUNCTION("""COMPUTED_VALUE"""),"क्षिप्रध्रुवान्त्यचरमैत्रमघासु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॥")</f>
        <v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v>
      </c>
      <c r="B8005" s="4" t="s">
        <v>2</v>
      </c>
      <c r="C8005" s="4"/>
    </row>
    <row r="8006" spans="1:3" ht="24" customHeight="1">
      <c r="A8006" s="4" t="str">
        <f ca="1">IFERROR(__xludf.DUMMYFUNCTION("""COMPUTED_VALUE"""),"सूर्यभात्त्रित्रिभे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३५॥")</f>
        <v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v>
      </c>
      <c r="B8006" s="4" t="s">
        <v>11</v>
      </c>
      <c r="C8006" s="4"/>
    </row>
    <row r="8007" spans="1:3" ht="24" customHeight="1">
      <c r="A8007" s="4" t="str">
        <f ca="1">IFERROR(__xludf.DUMMYFUNCTION("""COMPUTED_VALUE"""),"सैका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॥")</f>
        <v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v>
      </c>
      <c r="B8007" s="4" t="s">
        <v>16</v>
      </c>
      <c r="C8007" s="4"/>
    </row>
    <row r="8008" spans="1:3" ht="24" customHeight="1">
      <c r="A8008" s="4" t="str">
        <f ca="1">IFERROR(__xludf.DUMMYFUNCTION("""COMPUTED_VALUE"""),"नवान्नं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३७॥")</f>
        <v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v>
      </c>
      <c r="B8008" s="4" t="s">
        <v>3</v>
      </c>
      <c r="C8008" s="4"/>
    </row>
    <row r="8009" spans="1:3" ht="24" customHeight="1">
      <c r="A8009" s="4" t="str">
        <f ca="1">IFERROR(__xludf.DUMMYFUNCTION("""COMPUTED_VALUE"""),"याम्यत्रयविशाखेन्द्रसार्पपित्र्येशभिन्नभे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३८॥")</f>
        <v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v>
      </c>
      <c r="B8009" s="4" t="s">
        <v>6</v>
      </c>
      <c r="C8009" s="4"/>
    </row>
    <row r="8010" spans="1:3" ht="24" customHeight="1">
      <c r="A8010" s="4" t="str">
        <f ca="1">IFERROR(__xludf.DUMMYFUNCTION("""COMPUTED_VALUE"""),"मूलार्द्राभरणीपित्र्यमघे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३९॥")</f>
        <v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v>
      </c>
      <c r="B8010" s="4" t="s">
        <v>5</v>
      </c>
      <c r="C8010" s="4"/>
    </row>
    <row r="8011" spans="1:3" ht="24" customHeight="1">
      <c r="A8011" s="4" t="str">
        <f ca="1">IFERROR(__xludf.DUMMYFUNCTION("""COMPUTED_VALUE"""),"ब्यन्त्यादितिध्रुवमघानिलसार्पधिष्ण्ये,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४०॥")</f>
        <v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v>
      </c>
      <c r="B8011" s="4" t="s">
        <v>7</v>
      </c>
      <c r="C8011" s="4"/>
    </row>
    <row r="8012" spans="1:3" ht="24" customHeight="1">
      <c r="A8012" s="4" t="str">
        <f ca="1">IFERROR(__xludf.DUMMYFUNCTION("""COMPUTED_VALUE"""),"मृदुध्रुवक्षिप्रचरे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४१॥")</f>
        <v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v>
      </c>
      <c r="B8012" s="4" t="s">
        <v>2</v>
      </c>
      <c r="C8012" s="4"/>
    </row>
    <row r="8013" spans="1:3" ht="24" customHeight="1">
      <c r="A8013" s="4" t="str">
        <f ca="1">IFERROR(__xludf.DUMMYFUNCTION("""COMPUTED_VALUE"""),"सुरेज्यमित्रभाग्येषु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४२॥")</f>
        <v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v>
      </c>
      <c r="B8013" s="4" t="s">
        <v>2</v>
      </c>
      <c r="C8013" s="4"/>
    </row>
    <row r="8014" spans="1:3" ht="24" customHeight="1">
      <c r="A8014" s="4" t="str">
        <f ca="1">IFERROR(__xludf.DUMMYFUNCTION("""COMPUTED_VALUE"""),"त्यक्त्वाष्टभूतशनिविष्टिकुजाञ्जनुर्भ-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॥")</f>
        <v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v>
      </c>
      <c r="B8014" s="4" t="s">
        <v>13</v>
      </c>
      <c r="C8014" s="4"/>
    </row>
    <row r="8015" spans="1:3" ht="24" customHeight="1">
      <c r="A8015" s="4" t="str">
        <f ca="1">IFERROR(__xludf.DUMMYFUNCTION("""COMPUTED_VALUE"""),"व्ययाष्टशुद्धोपचये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४४॥")</f>
        <v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v>
      </c>
      <c r="B8015" s="4" t="s">
        <v>2</v>
      </c>
      <c r="C8015" s="4"/>
    </row>
    <row r="8016" spans="1:3" ht="24" customHeight="1">
      <c r="A8016" s="4" t="str">
        <f ca="1">IFERROR(__xludf.DUMMYFUNCTION("""COMPUTED_VALUE"""),"स्वातीन्त्रपूर्वाशिवसार्पभे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४५॥")</f>
        <v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v>
      </c>
      <c r="B8016" s="4" t="s">
        <v>4</v>
      </c>
      <c r="C8016" s="4"/>
    </row>
    <row r="8017" spans="1:3" ht="24" customHeight="1">
      <c r="A8017" s="4" t="str">
        <f ca="1">IFERROR(__xludf.DUMMYFUNCTION("""COMPUTED_VALUE"""),"मूलाग्निदास्रे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४६॥")</f>
        <v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v>
      </c>
      <c r="B8017" s="4" t="s">
        <v>2</v>
      </c>
      <c r="C8017" s="4"/>
    </row>
    <row r="8018" spans="1:3" ht="24" customHeight="1">
      <c r="A8018" s="4" t="str">
        <f ca="1">IFERROR(__xludf.DUMMYFUNCTION("""COMPUTED_VALUE"""),"रौद्राहिशाक्राम्बुपयाम्यपूर्वाद्विदेववस्वग्निषु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॥")</f>
        <v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v>
      </c>
      <c r="B8018" s="4" t="s">
        <v>5</v>
      </c>
      <c r="C8018" s="4"/>
    </row>
    <row r="8019" spans="1:3" ht="24" customHeight="1">
      <c r="A8019" s="4" t="str">
        <f ca="1">IFERROR(__xludf.DUMMYFUNCTION("""COMPUTED_VALUE"""),"क्षिप्राहिमूलेन्द्रहरीशवायुभे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४८॥")</f>
        <v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v>
      </c>
      <c r="B8019" s="4" t="s">
        <v>16</v>
      </c>
      <c r="C8019" s="4"/>
    </row>
    <row r="8020" spans="1:3" ht="24" customHeight="1">
      <c r="A8020" s="4" t="str">
        <f ca="1">IFERROR(__xludf.DUMMYFUNCTION("""COMPUTED_VALUE"""),"सूर्यर्क्षाद्रसभैरधः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४९॥")</f>
        <v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v>
      </c>
      <c r="B8020" s="4" t="s">
        <v>1</v>
      </c>
      <c r="C8020" s="4"/>
    </row>
    <row r="8021" spans="1:3" ht="24" customHeight="1">
      <c r="A8021" s="4" t="str">
        <f ca="1">IFERROR(__xludf.DUMMYFUNCTION("""COMPUTED_VALUE"""),"भद्रातिथी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५०॥")</f>
        <v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v>
      </c>
      <c r="B8021" s="4" t="s">
        <v>0</v>
      </c>
      <c r="C8021" s="4"/>
    </row>
    <row r="8022" spans="1:3" ht="24" customHeight="1">
      <c r="A8022" s="4" t="str">
        <f ca="1">IFERROR(__xludf.DUMMYFUNCTION("""COMPUTED_VALUE"""),"शुक्रारार्किषु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५१॥")</f>
        <v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v>
      </c>
      <c r="B8022" s="4" t="s">
        <v>2</v>
      </c>
      <c r="C8022" s="4"/>
    </row>
    <row r="8023" spans="1:3" ht="24" customHeight="1">
      <c r="A8023" s="4" t="str">
        <f ca="1">IFERROR(__xludf.DUMMYFUNCTION("""COMPUTED_VALUE"""),"जन्मप्रत्यरितारयोर्मृतिसुखान्त्येऽब्जे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५२॥")</f>
        <v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v>
      </c>
      <c r="B8023" s="4" t="s">
        <v>4</v>
      </c>
      <c r="C8023" s="4"/>
    </row>
    <row r="8024" spans="1:3" ht="24" customHeight="1">
      <c r="A8024" s="4" t="str">
        <f ca="1">IFERROR(__xludf.DUMMYFUNCTION("""COMPUTED_VALUE"""),"अभुक्तमूलं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॥")</f>
        <v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v>
      </c>
      <c r="B8024" s="4" t="s">
        <v>19</v>
      </c>
      <c r="C8024" s="4"/>
    </row>
    <row r="8025" spans="1:3" ht="24" customHeight="1">
      <c r="A8025" s="4" t="str">
        <f ca="1">IFERROR(__xludf.DUMMYFUNCTION("""COMPUTED_VALUE"""),"आद्ये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॥")</f>
        <v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v>
      </c>
      <c r="B8025" s="4" t="s">
        <v>12</v>
      </c>
      <c r="C8025" s="4"/>
    </row>
    <row r="8026" spans="1:3" ht="24" customHeight="1">
      <c r="A8026" s="4" t="str">
        <f ca="1">IFERROR(__xludf.DUMMYFUNCTION("""COMPUTED_VALUE"""),"स्वर्ग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॥")</f>
        <v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v>
      </c>
      <c r="B8026" s="4" t="s">
        <v>0</v>
      </c>
      <c r="C8026" s="4"/>
    </row>
    <row r="8027" spans="1:3" ht="24" customHeight="1">
      <c r="A8027" s="4" t="str">
        <f ca="1">IFERROR(__xludf.DUMMYFUNCTION("""COMPUTED_VALUE"""),"गण्डान्तेन्द्रभशूलपातपरिघव्याघातगण्डावमे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५७॥")</f>
        <v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v>
      </c>
      <c r="B8027" s="4" t="s">
        <v>2</v>
      </c>
      <c r="C8027" s="4"/>
    </row>
    <row r="8028" spans="1:3" ht="24" customHeight="1">
      <c r="A8028" s="4" t="str">
        <f ca="1">IFERROR(__xludf.DUMMYFUNCTION("""COMPUTED_VALUE"""),"त्रित्र्यङ्गपञ्चाग्निकुवेदवह्नयः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॥")</f>
        <v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v>
      </c>
      <c r="B8028" s="4" t="s">
        <v>19</v>
      </c>
      <c r="C8028" s="4"/>
    </row>
    <row r="8029" spans="1:3" ht="24" customHeight="1">
      <c r="A8029" s="4" t="str">
        <f ca="1">IFERROR(__xludf.DUMMYFUNCTION("""COMPUTED_VALUE"""),"तोरणं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६०॥")</f>
        <v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v>
      </c>
      <c r="B8029" s="4" t="s">
        <v>11</v>
      </c>
      <c r="C8029" s="4"/>
    </row>
    <row r="8030" spans="1:3" ht="24" customHeight="1">
      <c r="A8030" s="4" t="str">
        <f ca="1">IFERROR(__xludf.DUMMYFUNCTION("""COMPUTED_VALUE"""),"जलाशयारामसुरप्रतिष्ठा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६१॥")</f>
        <v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v>
      </c>
      <c r="B8030" s="4" t="s">
        <v>4</v>
      </c>
      <c r="C8030" s="4"/>
    </row>
    <row r="8031" spans="1:3" ht="24" customHeight="1">
      <c r="A8031" s="4" t="str">
        <f ca="1">IFERROR(__xludf.DUMMYFUNCTION("""COMPUTED_VALUE"""),"रिक्तारवर्जे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६२॥")</f>
        <v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v>
      </c>
      <c r="B8031" s="4" t="s">
        <v>7</v>
      </c>
      <c r="C8031" s="4"/>
    </row>
    <row r="8032" spans="1:3" ht="24" customHeight="1">
      <c r="A8032" s="4" t="str">
        <f ca="1">IFERROR(__xludf.DUMMYFUNCTION("""COMPUTED_VALUE"""),"शिवो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६३॥")</f>
        <v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v>
      </c>
      <c r="B8032" s="4" t="s">
        <v>16</v>
      </c>
      <c r="C8032" s="4"/>
    </row>
    <row r="8033" spans="1:3" ht="24" customHeight="1">
      <c r="A8033" s="4" t="str">
        <f ca="1">IFERROR(__xludf.DUMMYFUNCTION("""COMPUTED_VALUE"""),"घोरार्कसङ्क्रमणमुग्ररवौ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१॥")</f>
        <v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v>
      </c>
      <c r="B8033" s="4" t="s">
        <v>17</v>
      </c>
      <c r="C8033" s="4"/>
    </row>
    <row r="8034" spans="1:3" ht="24" customHeight="1">
      <c r="A8034" s="4" t="str">
        <f ca="1">IFERROR(__xludf.DUMMYFUNCTION("""COMPUTED_VALUE"""),"विप्रांश्च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२॥")</f>
        <v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v>
      </c>
      <c r="B8034" s="4" t="s">
        <v>0</v>
      </c>
      <c r="C8034" s="4"/>
    </row>
    <row r="8035" spans="1:3" ht="24" customHeight="1">
      <c r="A8035" s="4" t="str">
        <f ca="1">IFERROR(__xludf.DUMMYFUNCTION("""COMPUTED_VALUE"""),"अस्ते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३॥")</f>
        <v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v>
      </c>
      <c r="B8035" s="4" t="s">
        <v>2</v>
      </c>
      <c r="C8035" s="4"/>
    </row>
    <row r="8036" spans="1:3" ht="24" customHeight="1">
      <c r="A8036" s="4" t="str">
        <f ca="1">IFERROR(__xludf.DUMMYFUNCTION("""COMPUTED_VALUE"""),"षडशीत्याननं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॥")</f>
        <v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v>
      </c>
      <c r="B8036" s="4" t="s">
        <v>23</v>
      </c>
      <c r="C8036" s="4"/>
    </row>
    <row r="8037" spans="1:3" ht="24" customHeight="1">
      <c r="A8037" s="4" t="str">
        <f ca="1">IFERROR(__xludf.DUMMYFUNCTION("""COMPUTED_VALUE"""),"संक्रान्तिकालादुभयत्र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॥")</f>
        <v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v>
      </c>
      <c r="B8037" s="4" t="s">
        <v>5</v>
      </c>
      <c r="C8037" s="4"/>
    </row>
    <row r="8038" spans="1:3" ht="24" customHeight="1">
      <c r="A8038" s="4" t="str">
        <f ca="1">IFERROR(__xludf.DUMMYFUNCTION("""COMPUTED_VALUE"""),"पूर्णे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||")</f>
        <v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||</v>
      </c>
      <c r="B8038" s="4" t="s">
        <v>5</v>
      </c>
      <c r="C8038" s="4"/>
    </row>
    <row r="8039" spans="1:3" ht="24" customHeight="1">
      <c r="A8039" s="4" t="str">
        <f ca="1">IFERROR(__xludf.DUMMYFUNCTION("""COMPUTED_VALUE"""),"सन्ध्या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॥")</f>
        <v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v>
      </c>
      <c r="B8039" s="4" t="s">
        <v>0</v>
      </c>
      <c r="C8039" s="4"/>
    </row>
    <row r="8040" spans="1:3" ht="24" customHeight="1">
      <c r="A8040" s="4" t="str">
        <f ca="1">IFERROR(__xludf.DUMMYFUNCTION("""COMPUTED_VALUE"""),"याम्यायने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८॥")</f>
        <v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v>
      </c>
      <c r="B8040" s="4" t="s">
        <v>17</v>
      </c>
      <c r="C8040" s="4"/>
    </row>
    <row r="8041" spans="1:3" ht="24" customHeight="1">
      <c r="A8041" s="4" t="str">
        <f ca="1">IFERROR(__xludf.DUMMYFUNCTION("""COMPUTED_VALUE"""),"तथायनांशाः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९॥")</f>
        <v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v>
      </c>
      <c r="B8041" s="4" t="s">
        <v>2</v>
      </c>
      <c r="C8041" s="4"/>
    </row>
    <row r="8042" spans="1:3" ht="24" customHeight="1">
      <c r="A8042" s="4" t="str">
        <f ca="1">IFERROR(__xludf.DUMMYFUNCTION("""COMPUTED_VALUE"""),"समं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१०॥")</f>
        <v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v>
      </c>
      <c r="B8042" s="4" t="s">
        <v>5</v>
      </c>
      <c r="C8042" s="4"/>
    </row>
    <row r="8043" spans="1:3" ht="24" customHeight="1">
      <c r="A8043" s="4" t="str">
        <f ca="1">IFERROR(__xludf.DUMMYFUNCTION("""COMPUTED_VALUE"""),"जघन्यभे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॥")</f>
        <v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v>
      </c>
      <c r="B8043" s="4" t="s">
        <v>9</v>
      </c>
      <c r="C8043" s="4"/>
    </row>
    <row r="8044" spans="1:3" ht="24" customHeight="1">
      <c r="A8044" s="4" t="str">
        <f ca="1">IFERROR(__xludf.DUMMYFUNCTION("""COMPUTED_VALUE"""),"अर्कादिवारे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॥")</f>
        <v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v>
      </c>
      <c r="B8044" s="4" t="s">
        <v>19</v>
      </c>
      <c r="C8044" s="4"/>
    </row>
    <row r="8045" spans="1:3" ht="24" customHeight="1">
      <c r="A8045" s="4" t="str">
        <f ca="1">IFERROR(__xludf.DUMMYFUNCTION("""COMPUTED_VALUE"""),"स्यात्तैतिले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१३॥")</f>
        <v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v>
      </c>
      <c r="B8045" s="4" t="s">
        <v>7</v>
      </c>
      <c r="C8045" s="4"/>
    </row>
    <row r="8046" spans="1:3" ht="24" customHeight="1">
      <c r="A8046" s="4" t="str">
        <f ca="1">IFERROR(__xludf.DUMMYFUNCTION("""COMPUTED_VALUE"""),"सिंह्यव्याघ्रवराहरासभगजा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१४॥")</f>
        <v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v>
      </c>
      <c r="B8046" s="4" t="s">
        <v>17</v>
      </c>
      <c r="C8046" s="4"/>
    </row>
    <row r="8047" spans="1:3" ht="24" customHeight="1">
      <c r="A8047" s="4" t="str">
        <f ca="1">IFERROR(__xludf.DUMMYFUNCTION("""COMPUTED_VALUE"""),"खड्गो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॥")</f>
        <v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v>
      </c>
      <c r="B8047" s="4" t="s">
        <v>1</v>
      </c>
      <c r="C8047" s="4"/>
    </row>
    <row r="8048" spans="1:3" ht="24" customHeight="1">
      <c r="A8048" s="4" t="str">
        <f ca="1">IFERROR(__xludf.DUMMYFUNCTION("""COMPUTED_VALUE"""),"यावश्चोतुमदो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॥")</f>
        <v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v>
      </c>
      <c r="B8048" s="4" t="s">
        <v>3</v>
      </c>
      <c r="C8048" s="4"/>
    </row>
    <row r="8049" spans="1:3" ht="24" customHeight="1">
      <c r="A8049" s="4" t="str">
        <f ca="1">IFERROR(__xludf.DUMMYFUNCTION("""COMPUTED_VALUE"""),"स्यानमल्लिका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१७॥")</f>
        <v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v>
      </c>
      <c r="B8049" s="4" t="s">
        <v>8</v>
      </c>
      <c r="C8049" s="4"/>
    </row>
    <row r="8050" spans="1:3" ht="24" customHeight="1">
      <c r="A8050" s="4" t="str">
        <f ca="1">IFERROR(__xludf.DUMMYFUNCTION("""COMPUTED_VALUE"""),"सङ्क्रान्तिधिष्ण्याधरधिष्ण्यतस्त्रिभे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॥")</f>
        <v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v>
      </c>
      <c r="B8050" s="4" t="s">
        <v>12</v>
      </c>
      <c r="C8050" s="4"/>
    </row>
    <row r="8051" spans="1:3" ht="24" customHeight="1">
      <c r="A8051" s="4" t="str">
        <f ca="1">IFERROR(__xludf.DUMMYFUNCTION("""COMPUTED_VALUE"""),"नृपेक्षणं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॥")</f>
        <v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v>
      </c>
      <c r="B8051" s="4" t="s">
        <v>5</v>
      </c>
      <c r="C8051" s="4"/>
    </row>
    <row r="8052" spans="1:3" ht="24" customHeight="1">
      <c r="A8052" s="4" t="str">
        <f ca="1">IFERROR(__xludf.DUMMYFUNCTION("""COMPUTED_VALUE"""),"स्पष्टार्कसङ्क्रान्तिविहीनचांद्रो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॥")</f>
        <v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v>
      </c>
      <c r="B8052" s="4" t="s">
        <v>25</v>
      </c>
      <c r="C8052" s="4"/>
    </row>
    <row r="8053" spans="1:3" ht="24" customHeight="1">
      <c r="A8053" s="4" t="str">
        <f ca="1">IFERROR(__xludf.DUMMYFUNCTION("""COMPUTED_VALUE"""),"सूर्यो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॥")</f>
        <v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v>
      </c>
      <c r="B8053" s="4" t="s">
        <v>16</v>
      </c>
      <c r="C8053" s="4"/>
    </row>
    <row r="8054" spans="1:3" ht="24" customHeight="1">
      <c r="A8054" s="4" t="str">
        <f ca="1">IFERROR(__xludf.DUMMYFUNCTION("""COMPUTED_VALUE"""),"लाभाष्टमे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२॥")</f>
        <v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v>
      </c>
      <c r="B8054" s="4" t="s">
        <v>20</v>
      </c>
      <c r="C8054" s="4"/>
    </row>
    <row r="8055" spans="1:3" ht="24" customHeight="1">
      <c r="A8055" s="4" t="str">
        <f ca="1">IFERROR(__xludf.DUMMYFUNCTION("""COMPUTED_VALUE"""),"द्वयन्त्ये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॥")</f>
        <v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v>
      </c>
      <c r="B8055" s="4" t="s">
        <v>1</v>
      </c>
      <c r="C8055" s="4"/>
    </row>
    <row r="8056" spans="1:3" ht="24" customHeight="1">
      <c r="A8056" s="4" t="str">
        <f ca="1">IFERROR(__xludf.DUMMYFUNCTION("""COMPUTED_VALUE"""),"क्रमाच्छुभो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॥")</f>
        <v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v>
      </c>
      <c r="B8056" s="4" t="s">
        <v>3</v>
      </c>
      <c r="C8056" s="4"/>
    </row>
    <row r="8057" spans="1:3" ht="24" customHeight="1">
      <c r="A8057" s="4" t="str">
        <f ca="1">IFERROR(__xludf.DUMMYFUNCTION("""COMPUTED_VALUE"""),"स्वजन्मराशेरिह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५॥")</f>
        <v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v>
      </c>
      <c r="B8057" s="4" t="s">
        <v>2</v>
      </c>
      <c r="C8057" s="4"/>
    </row>
    <row r="8058" spans="1:3" ht="24" customHeight="1">
      <c r="A8058" s="4" t="str">
        <f ca="1">IFERROR(__xludf.DUMMYFUNCTION("""COMPUTED_VALUE"""),"जन्मर्क्षे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॥")</f>
        <v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v>
      </c>
      <c r="B8058" s="4" t="s">
        <v>0</v>
      </c>
      <c r="C8058" s="4"/>
    </row>
    <row r="8059" spans="1:3" ht="24" customHeight="1">
      <c r="A8059" s="4" t="str">
        <f ca="1">IFERROR(__xludf.DUMMYFUNCTION("""COMPUTED_VALUE"""),"पापान्तः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॥")</f>
        <v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v>
      </c>
      <c r="B8059" s="4" t="s">
        <v>18</v>
      </c>
      <c r="C8059" s="4"/>
    </row>
    <row r="8060" spans="1:3" ht="24" customHeight="1">
      <c r="A8060" s="4" t="str">
        <f ca="1">IFERROR(__xludf.DUMMYFUNCTION("""COMPUTED_VALUE"""),"सितासितादौ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८।॥")</f>
        <v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v>
      </c>
      <c r="B8060" s="4" t="s">
        <v>17</v>
      </c>
      <c r="C8060" s="4"/>
    </row>
    <row r="8061" spans="1:3" ht="24" customHeight="1">
      <c r="A8061" s="4" t="str">
        <f ca="1">IFERROR(__xludf.DUMMYFUNCTION("""COMPUTED_VALUE"""),"वज्रं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॥")</f>
        <v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v>
      </c>
      <c r="B8061" s="4" t="s">
        <v>5</v>
      </c>
      <c r="C8061" s="4"/>
    </row>
    <row r="8062" spans="1:3" ht="24" customHeight="1">
      <c r="A8062" s="4" t="str">
        <f ca="1">IFERROR(__xludf.DUMMYFUNCTION("""COMPUTED_VALUE"""),"माणिक्यमुक्ताफलविद्रुमाणि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१०॥")</f>
        <v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v>
      </c>
      <c r="B8062" s="4" t="s">
        <v>7</v>
      </c>
      <c r="C8062" s="4"/>
    </row>
    <row r="8063" spans="1:3" ht="24" customHeight="1">
      <c r="A8063" s="4" t="str">
        <f ca="1">IFERROR(__xludf.DUMMYFUNCTION("""COMPUTED_VALUE"""),"धार्यं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॥")</f>
        <v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v>
      </c>
      <c r="B8063" s="4" t="s">
        <v>5</v>
      </c>
      <c r="C8063" s="4"/>
    </row>
    <row r="8064" spans="1:3" ht="24" customHeight="1">
      <c r="A8064" s="4" t="str">
        <f ca="1">IFERROR(__xludf.DUMMYFUNCTION("""COMPUTED_VALUE"""),"जन्माख्यसम्पद्विपदः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॥")</f>
        <v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v>
      </c>
      <c r="B8064" s="4" t="s">
        <v>11</v>
      </c>
      <c r="C8064" s="4"/>
    </row>
    <row r="8065" spans="1:3" ht="24" customHeight="1">
      <c r="A8065" s="4" t="str">
        <f ca="1">IFERROR(__xludf.DUMMYFUNCTION("""COMPUTED_VALUE"""),"मृत्यौ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॥")</f>
        <v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v>
      </c>
      <c r="B8065" s="4" t="s">
        <v>2</v>
      </c>
      <c r="C8065" s="4"/>
    </row>
    <row r="8066" spans="1:3" ht="24" customHeight="1">
      <c r="A8066" s="4" t="str">
        <f ca="1">IFERROR(__xludf.DUMMYFUNCTION("""COMPUTED_VALUE"""),"षष्टिघ्नं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॥")</f>
        <v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v>
      </c>
      <c r="B8066" s="4" t="s">
        <v>20</v>
      </c>
      <c r="C8066" s="4"/>
    </row>
    <row r="8067" spans="1:3" ht="24" customHeight="1">
      <c r="A8067" s="4" t="str">
        <f ca="1">IFERROR(__xludf.DUMMYFUNCTION("""COMPUTED_VALUE"""),"प्रवासनाशौ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॥")</f>
        <v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v>
      </c>
      <c r="B8067" s="4" t="s">
        <v>5</v>
      </c>
      <c r="C8067" s="4"/>
    </row>
    <row r="8068" spans="1:3" ht="24" customHeight="1">
      <c r="A8068" s="4" t="str">
        <f ca="1">IFERROR(__xludf.DUMMYFUNCTION("""COMPUTED_VALUE"""),"लाजाकुष्ठबलाप्रियङ्गुधनसिद्धार्थैर्निशादारुभिः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१६॥")</f>
        <v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v>
      </c>
      <c r="B8068" s="4" t="s">
        <v>7</v>
      </c>
      <c r="C8068" s="4"/>
    </row>
    <row r="8069" spans="1:3" ht="24" customHeight="1">
      <c r="A8069" s="4" t="str">
        <f ca="1">IFERROR(__xludf.DUMMYFUNCTION("""COMPUTED_VALUE"""),"सूर्यारसौम्यास्फुजितोऽक्षनागसप्ताद्रिघस्रान्विधुरग्निनाडीः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१७॥")</f>
        <v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v>
      </c>
      <c r="B8069" s="4" t="s">
        <v>2</v>
      </c>
      <c r="C8069" s="4"/>
    </row>
    <row r="8070" spans="1:3" ht="24" customHeight="1">
      <c r="A8070" s="4" t="str">
        <f ca="1">IFERROR(__xludf.DUMMYFUNCTION("""COMPUTED_VALUE"""),"दुष्टे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१८॥")</f>
        <v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v>
      </c>
      <c r="B8070" s="4" t="s">
        <v>3</v>
      </c>
      <c r="C8070" s="4"/>
    </row>
    <row r="8071" spans="1:3" ht="24" customHeight="1">
      <c r="A8071" s="4" t="str">
        <f ca="1">IFERROR(__xludf.DUMMYFUNCTION("""COMPUTED_VALUE"""),"राश्यादिगौ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॥")</f>
        <v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v>
      </c>
      <c r="B8071" s="4" t="s">
        <v>17</v>
      </c>
      <c r="C8071" s="4"/>
    </row>
    <row r="8072" spans="1:3" ht="24" customHeight="1">
      <c r="A8072" s="4" t="str">
        <f ca="1">IFERROR(__xludf.DUMMYFUNCTION("""COMPUTED_VALUE"""),"आद्यं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॥")</f>
        <v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v>
      </c>
      <c r="B8072" s="4" t="s">
        <v>4</v>
      </c>
      <c r="C8072" s="4"/>
    </row>
    <row r="8073" spans="1:3" ht="24" customHeight="1">
      <c r="A8073" s="4" t="str">
        <f ca="1">IFERROR(__xludf.DUMMYFUNCTION("""COMPUTED_VALUE"""),"श्रुतित्रयमृदुक्षिप्रध्रुवस्वातौ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२॥")</f>
        <v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v>
      </c>
      <c r="B8073" s="4" t="s">
        <v>18</v>
      </c>
      <c r="C8073" s="4"/>
    </row>
    <row r="8074" spans="1:3" ht="24" customHeight="1">
      <c r="A8074" s="4" t="str">
        <f ca="1">IFERROR(__xludf.DUMMYFUNCTION("""COMPUTED_VALUE"""),"भद्रानिद्रासंक्रमे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३॥")</f>
        <v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v>
      </c>
      <c r="B8074" s="4" t="s">
        <v>18</v>
      </c>
      <c r="C8074" s="4"/>
    </row>
    <row r="8075" spans="1:3" ht="24" customHeight="1">
      <c r="A8075" s="4" t="str">
        <f ca="1">IFERROR(__xludf.DUMMYFUNCTION("""COMPUTED_VALUE"""),"हस्तानिलाश्विमृगमैत्रवसुध्रुवाख्यैः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४॥")</f>
        <v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v>
      </c>
      <c r="B8075" s="4" t="s">
        <v>6</v>
      </c>
      <c r="C8075" s="4"/>
    </row>
    <row r="8076" spans="1:3" ht="24" customHeight="1">
      <c r="A8076" s="4" t="str">
        <f ca="1">IFERROR(__xludf.DUMMYFUNCTION("""COMPUTED_VALUE"""),"गण्डान्तं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५॥")</f>
        <v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v>
      </c>
      <c r="B8076" s="4" t="s">
        <v>6</v>
      </c>
      <c r="C8076" s="4"/>
    </row>
    <row r="8077" spans="1:3" ht="24" customHeight="1">
      <c r="A8077" s="4" t="str">
        <f ca="1">IFERROR(__xludf.DUMMYFUNCTION("""COMPUTED_VALUE"""),"भद्राषष्ठीपर्वरिक्ताश्च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६॥")</f>
        <v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v>
      </c>
      <c r="B8077" s="4" t="s">
        <v>18</v>
      </c>
      <c r="C8077" s="4"/>
    </row>
    <row r="8078" spans="1:3" ht="24" customHeight="1">
      <c r="A8078" s="4" t="str">
        <f ca="1">IFERROR(__xludf.DUMMYFUNCTION("""COMPUTED_VALUE"""),"केन्द्रत्रिकोणेषु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७॥")</f>
        <v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v>
      </c>
      <c r="B8078" s="4" t="s">
        <v>5</v>
      </c>
      <c r="C8078" s="4"/>
    </row>
    <row r="8079" spans="1:3" ht="24" customHeight="1">
      <c r="A8079" s="4" t="str">
        <f ca="1">IFERROR(__xludf.DUMMYFUNCTION("""COMPUTED_VALUE"""),"जीवार्कारदिने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८॥")</f>
        <v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v>
      </c>
      <c r="B8079" s="4" t="s">
        <v>19</v>
      </c>
      <c r="C8079" s="4"/>
    </row>
    <row r="8080" spans="1:3" ht="24" customHeight="1">
      <c r="A8080" s="4" t="str">
        <f ca="1">IFERROR(__xludf.DUMMYFUNCTION("""COMPUTED_VALUE"""),"मासेश्वराः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९॥")</f>
        <v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v>
      </c>
      <c r="B8080" s="4" t="s">
        <v>4</v>
      </c>
      <c r="C8080" s="4"/>
    </row>
    <row r="8081" spans="1:3" ht="24" customHeight="1">
      <c r="A8081" s="4" t="str">
        <f ca="1">IFERROR(__xludf.DUMMYFUNCTION("""COMPUTED_VALUE"""),"पूर्वोदितैः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१०॥")</f>
        <v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v>
      </c>
      <c r="B8081" s="4" t="s">
        <v>20</v>
      </c>
      <c r="C8081" s="4"/>
    </row>
    <row r="8082" spans="1:3" ht="24" customHeight="1">
      <c r="A8082" s="4" t="str">
        <f ca="1">IFERROR(__xludf.DUMMYFUNCTION("""COMPUTED_VALUE"""),"तज्जातकर्मादि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११॥")</f>
        <v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v>
      </c>
      <c r="B8082" s="4" t="s">
        <v>5</v>
      </c>
      <c r="C8082" s="4"/>
    </row>
    <row r="8083" spans="1:3" ht="24" customHeight="1">
      <c r="A8083" s="4" t="str">
        <f ca="1">IFERROR(__xludf.DUMMYFUNCTION("""COMPUTED_VALUE"""),"पौष्णध्रुवेन्दुकरवातहयेषु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१२॥")</f>
        <v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v>
      </c>
      <c r="B8083" s="4" t="s">
        <v>5</v>
      </c>
      <c r="C8083" s="4"/>
    </row>
    <row r="8084" spans="1:3" ht="24" customHeight="1">
      <c r="A8084" s="4" t="str">
        <f ca="1">IFERROR(__xludf.DUMMYFUNCTION("""COMPUTED_VALUE"""),"षष्ठादौ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१३॥")</f>
        <v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v>
      </c>
      <c r="B8084" s="4" t="s">
        <v>24</v>
      </c>
      <c r="C8084" s="4"/>
    </row>
    <row r="8085" spans="1:3" ht="24" customHeight="1">
      <c r="A8085" s="4" t="str">
        <f ca="1">IFERROR(__xludf.DUMMYFUNCTION("""COMPUTED_VALUE"""),"दोलारोहेऽर्कभात्पञ्चशरपञ्चेषुसप्तभैः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१४॥")</f>
        <v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v>
      </c>
      <c r="B8085" s="4" t="s">
        <v>8</v>
      </c>
      <c r="C8085" s="4"/>
    </row>
    <row r="8086" spans="1:3" ht="24" customHeight="1">
      <c r="A8086" s="4" t="str">
        <f ca="1">IFERROR(__xludf.DUMMYFUNCTION("""COMPUTED_VALUE"""),"दन्तार्कभूपधृतिदिङ्मितवासरे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१५॥")</f>
        <v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v>
      </c>
      <c r="B8086" s="4" t="s">
        <v>5</v>
      </c>
      <c r="C8086" s="4"/>
    </row>
    <row r="8087" spans="1:3" ht="24" customHeight="1">
      <c r="A8087" s="4" t="str">
        <f ca="1">IFERROR(__xludf.DUMMYFUNCTION("""COMPUTED_VALUE"""),"कवीज्यास्तचैत्राधिमासे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१६॥")</f>
        <v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v>
      </c>
      <c r="B8087" s="4" t="s">
        <v>0</v>
      </c>
      <c r="C8087" s="4"/>
    </row>
    <row r="8088" spans="1:3" ht="24" customHeight="1">
      <c r="A8088" s="4" t="str">
        <f ca="1">IFERROR(__xludf.DUMMYFUNCTION("""COMPUTED_VALUE"""),"रिक्तानन्दाष्टदर्शं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१७॥")</f>
        <v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v>
      </c>
      <c r="B8088" s="4" t="s">
        <v>18</v>
      </c>
      <c r="C8088" s="4"/>
    </row>
    <row r="8089" spans="1:3" ht="24" customHeight="1">
      <c r="A8089" s="4" t="str">
        <f ca="1">IFERROR(__xludf.DUMMYFUNCTION("""COMPUTED_VALUE"""),"केन्द्रत्रिकोणसहजेषु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१८॥")</f>
        <v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v>
      </c>
      <c r="B8089" s="4" t="s">
        <v>16</v>
      </c>
      <c r="C8089" s="4"/>
    </row>
    <row r="8090" spans="1:3" ht="24" customHeight="1">
      <c r="A8090" s="4" t="str">
        <f ca="1">IFERROR(__xludf.DUMMYFUNCTION("""COMPUTED_VALUE"""),"क्षीणेन्दुपूर्णचन्द्रेज्यज्ञभौमाऽर्काऽऽर्किभार्गवैः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१९॥")</f>
        <v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v>
      </c>
      <c r="B8090" s="4" t="s">
        <v>24</v>
      </c>
      <c r="C8090" s="4"/>
    </row>
    <row r="8091" spans="1:3" ht="24" customHeight="1">
      <c r="A8091" s="4" t="str">
        <f ca="1">IFERROR(__xludf.DUMMYFUNCTION("""COMPUTED_VALUE"""),"भिक्षाशी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२०॥")</f>
        <v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v>
      </c>
      <c r="B8091" s="4" t="s">
        <v>2</v>
      </c>
      <c r="C8091" s="4"/>
    </row>
    <row r="8092" spans="1:3" ht="24" customHeight="1">
      <c r="A8092" s="4" t="str">
        <f ca="1">IFERROR(__xludf.DUMMYFUNCTION("""COMPUTED_VALUE"""),"पृथ्वीवराहमभिपूज्य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२१॥")</f>
        <v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v>
      </c>
      <c r="B8092" s="4" t="s">
        <v>19</v>
      </c>
      <c r="C8092" s="4"/>
    </row>
    <row r="8093" spans="1:3" ht="24" customHeight="1">
      <c r="A8093" s="4" t="str">
        <f ca="1">IFERROR(__xludf.DUMMYFUNCTION("""COMPUTED_VALUE"""),"तस्मिन्काले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२२॥")</f>
        <v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v>
      </c>
      <c r="B8093" s="4" t="s">
        <v>23</v>
      </c>
      <c r="C8093" s="4"/>
    </row>
    <row r="8094" spans="1:3" ht="24" customHeight="1">
      <c r="A8094" s="4" t="str">
        <f ca="1">IFERROR(__xludf.DUMMYFUNCTION("""COMPUTED_VALUE"""),"वारे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२३॥")</f>
        <v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v>
      </c>
      <c r="B8094" s="4" t="s">
        <v>4</v>
      </c>
      <c r="C8094" s="4"/>
    </row>
    <row r="8095" spans="1:3" ht="24" customHeight="1">
      <c r="A8095" s="4" t="str">
        <f ca="1">IFERROR(__xludf.DUMMYFUNCTION("""COMPUTED_VALUE"""),"हित्वैतांश्चैत्रपौषावमहरिशयनं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२४॥")</f>
        <v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v>
      </c>
      <c r="B8095" s="4" t="s">
        <v>2</v>
      </c>
      <c r="C8095" s="4"/>
    </row>
    <row r="8096" spans="1:3" ht="24" customHeight="1">
      <c r="A8096" s="4" t="str">
        <f ca="1">IFERROR(__xludf.DUMMYFUNCTION("""COMPUTED_VALUE"""),"संशुद्धे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२५॥")</f>
        <v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v>
      </c>
      <c r="B8096" s="4" t="s">
        <v>5</v>
      </c>
      <c r="C8096" s="4"/>
    </row>
    <row r="8097" spans="1:3" ht="24" customHeight="1">
      <c r="A8097" s="4" t="str">
        <f ca="1">IFERROR(__xludf.DUMMYFUNCTION("""COMPUTED_VALUE"""),"गीर्वाणाऽम्बुप्रतिष्ठापरिणयदहनाधानचौलोपवीत-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२६॥")</f>
        <v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v>
      </c>
      <c r="B8097" s="4" t="s">
        <v>0</v>
      </c>
      <c r="C8097" s="4"/>
    </row>
    <row r="8098" spans="1:3" ht="24" customHeight="1">
      <c r="A8098" s="4" t="str">
        <f ca="1">IFERROR(__xludf.DUMMYFUNCTION("""COMPUTED_VALUE"""),"पुरः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२७॥")</f>
        <v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v>
      </c>
      <c r="B8098" s="4" t="s">
        <v>2</v>
      </c>
      <c r="C8098" s="4"/>
    </row>
    <row r="8099" spans="1:3" ht="24" customHeight="1">
      <c r="A8099" s="4" t="str">
        <f ca="1">IFERROR(__xludf.DUMMYFUNCTION("""COMPUTED_VALUE"""),"ते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२८॥")</f>
        <v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v>
      </c>
      <c r="B8099" s="4" t="s">
        <v>20</v>
      </c>
      <c r="C8099" s="4"/>
    </row>
    <row r="8100" spans="1:3" ht="24" customHeight="1">
      <c r="A8100" s="4" t="str">
        <f ca="1">IFERROR(__xludf.DUMMYFUNCTION("""COMPUTED_VALUE"""),"चूडावर्षात्तृतीयात्प्रभवति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२९॥")</f>
        <v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v>
      </c>
      <c r="B8100" s="4" t="s">
        <v>9</v>
      </c>
      <c r="C8100" s="4"/>
    </row>
    <row r="8101" spans="1:3" ht="24" customHeight="1">
      <c r="A8101" s="4" t="str">
        <f ca="1">IFERROR(__xludf.DUMMYFUNCTION("""COMPUTED_VALUE"""),"क्षीणचन्द्रकुजसौरिभास्करैर्मृत्युशस्त्रमृतिपङ्गुताज्वराः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३०॥")</f>
        <v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v>
      </c>
      <c r="B8101" s="4" t="s">
        <v>5</v>
      </c>
      <c r="C8101" s="4"/>
    </row>
    <row r="8102" spans="1:3" ht="24" customHeight="1">
      <c r="A8102" s="4" t="str">
        <f ca="1">IFERROR(__xludf.DUMMYFUNCTION("""COMPUTED_VALUE"""),"पञ्चमासाधिके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३१॥")</f>
        <v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v>
      </c>
      <c r="B8102" s="4" t="s">
        <v>0</v>
      </c>
      <c r="C8102" s="4"/>
    </row>
    <row r="8103" spans="1:3" ht="24" customHeight="1">
      <c r="A8103" s="4" t="str">
        <f ca="1">IFERROR(__xludf.DUMMYFUNCTION("""COMPUTED_VALUE"""),"तारादौष्ट्येऽब्जे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३२॥")</f>
        <v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v>
      </c>
      <c r="B8103" s="4" t="s">
        <v>5</v>
      </c>
      <c r="C8103" s="4"/>
    </row>
    <row r="8104" spans="1:3" ht="24" customHeight="1">
      <c r="A8104" s="4" t="str">
        <f ca="1">IFERROR(__xludf.DUMMYFUNCTION("""COMPUTED_VALUE"""),"ऋतुमत्याः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३३॥")</f>
        <v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v>
      </c>
      <c r="B8104" s="4" t="s">
        <v>2</v>
      </c>
      <c r="C8104" s="4"/>
    </row>
    <row r="8105" spans="1:3" ht="24" customHeight="1">
      <c r="A8105" s="4" t="str">
        <f ca="1">IFERROR(__xludf.DUMMYFUNCTION("""COMPUTED_VALUE"""),"रिक्तां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३४॥")</f>
        <v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v>
      </c>
      <c r="B8105" s="4" t="s">
        <v>6</v>
      </c>
      <c r="C8105" s="4"/>
    </row>
    <row r="8106" spans="1:3" ht="24" customHeight="1">
      <c r="A8106" s="4" t="str">
        <f ca="1">IFERROR(__xludf.DUMMYFUNCTION("""COMPUTED_VALUE"""),"क्रतुपाणिपीडमृतिबन्धमोक्षणे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३५॥")</f>
        <v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v>
      </c>
      <c r="B8106" s="4" t="s">
        <v>2</v>
      </c>
      <c r="C8106" s="4"/>
    </row>
    <row r="8107" spans="1:3" ht="24" customHeight="1">
      <c r="A8107" s="4" t="str">
        <f ca="1">IFERROR(__xludf.DUMMYFUNCTION("""COMPUTED_VALUE"""),"नृपाणां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३६॥")</f>
        <v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v>
      </c>
      <c r="B8107" s="4" t="s">
        <v>2</v>
      </c>
      <c r="C8107" s="4"/>
    </row>
    <row r="8108" spans="1:3" ht="24" customHeight="1">
      <c r="A8108" s="4" t="str">
        <f ca="1">IFERROR(__xludf.DUMMYFUNCTION("""COMPUTED_VALUE"""),"गणेशविष्णुवाग्रमाः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३७॥")</f>
        <v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v>
      </c>
      <c r="B8108" s="4" t="s">
        <v>1</v>
      </c>
      <c r="C8108" s="4"/>
    </row>
    <row r="8109" spans="1:3" ht="24" customHeight="1">
      <c r="A8109" s="4" t="str">
        <f ca="1">IFERROR(__xludf.DUMMYFUNCTION("""COMPUTED_VALUE"""),"मृगात्कराच्छ्रुतेस्त्रयेऽश्विमूलपूर्विकात्रये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३८॥")</f>
        <v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v>
      </c>
      <c r="B8109" s="4" t="s">
        <v>2</v>
      </c>
      <c r="C8109" s="4"/>
    </row>
    <row r="8110" spans="1:3" ht="24" customHeight="1">
      <c r="A8110" s="4" t="str">
        <f ca="1">IFERROR(__xludf.DUMMYFUNCTION("""COMPUTED_VALUE"""),"विप्राणां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३९॥")</f>
        <v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v>
      </c>
      <c r="B8110" s="4" t="s">
        <v>20</v>
      </c>
      <c r="C8110" s="4"/>
    </row>
    <row r="8111" spans="1:3" ht="24" customHeight="1">
      <c r="A8111" s="4" t="str">
        <f ca="1">IFERROR(__xludf.DUMMYFUNCTION("""COMPUTED_VALUE"""),"क्षिप्रध्रुवाहिचरमूलमृदुत्रिपूर्वा-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४०॥")</f>
        <v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v>
      </c>
      <c r="B8111" s="4" t="s">
        <v>7</v>
      </c>
      <c r="C8111" s="4"/>
    </row>
    <row r="8112" spans="1:3" ht="24" customHeight="1">
      <c r="A8112" s="4" t="str">
        <f ca="1">IFERROR(__xludf.DUMMYFUNCTION("""COMPUTED_VALUE"""),"कवीज्यचन्द्रलग्नपा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४१॥")</f>
        <v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v>
      </c>
      <c r="B8112" s="4" t="s">
        <v>11</v>
      </c>
      <c r="C8112" s="4"/>
    </row>
    <row r="8113" spans="1:3" ht="24" customHeight="1">
      <c r="A8113" s="4" t="str">
        <f ca="1">IFERROR(__xludf.DUMMYFUNCTION("""COMPUTED_VALUE"""),"व्रतबन्धेऽष्टषड्रिष्फवर्जिताः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४२॥")</f>
        <v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v>
      </c>
      <c r="B8113" s="4" t="s">
        <v>1</v>
      </c>
      <c r="C8113" s="4"/>
    </row>
    <row r="8114" spans="1:3" ht="24" customHeight="1">
      <c r="A8114" s="4" t="str">
        <f ca="1">IFERROR(__xludf.DUMMYFUNCTION("""COMPUTED_VALUE"""),"विप्राधीशौ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४३॥")</f>
        <v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v>
      </c>
      <c r="B8114" s="4" t="s">
        <v>5</v>
      </c>
      <c r="C8114" s="4"/>
    </row>
    <row r="8115" spans="1:3" ht="24" customHeight="1">
      <c r="A8115" s="4" t="str">
        <f ca="1">IFERROR(__xludf.DUMMYFUNCTION("""COMPUTED_VALUE"""),"शाखेशवारतनुवीर्यमतीव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४४॥")</f>
        <v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v>
      </c>
      <c r="B8115" s="4" t="s">
        <v>1</v>
      </c>
      <c r="C8115" s="4"/>
    </row>
    <row r="8116" spans="1:3" ht="24" customHeight="1">
      <c r="A8116" s="4" t="str">
        <f ca="1">IFERROR(__xludf.DUMMYFUNCTION("""COMPUTED_VALUE"""),"जन्मर्क्षमासलग्नादौ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४५॥")</f>
        <v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v>
      </c>
      <c r="B8116" s="4" t="s">
        <v>12</v>
      </c>
      <c r="C8116" s="4"/>
    </row>
    <row r="8117" spans="1:3" ht="24" customHeight="1">
      <c r="A8117" s="4" t="str">
        <f ca="1">IFERROR(__xludf.DUMMYFUNCTION("""COMPUTED_VALUE"""),"बटुकन्याजन्मराशेस्त्रिकोणायद्विसप्तगः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४६॥")</f>
        <v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v>
      </c>
      <c r="B8117" s="4" t="s">
        <v>2</v>
      </c>
      <c r="C8117" s="4"/>
    </row>
    <row r="8118" spans="1:3" ht="24" customHeight="1">
      <c r="A8118" s="4" t="str">
        <f ca="1">IFERROR(__xludf.DUMMYFUNCTION("""COMPUTED_VALUE"""),"स्वोच्चे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४७॥")</f>
        <v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v>
      </c>
      <c r="B8118" s="4" t="s">
        <v>18</v>
      </c>
      <c r="C8118" s="4"/>
    </row>
    <row r="8119" spans="1:3" ht="24" customHeight="1">
      <c r="A8119" s="4" t="str">
        <f ca="1">IFERROR(__xludf.DUMMYFUNCTION("""COMPUTED_VALUE"""),"कृष्णे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४८॥")</f>
        <v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v>
      </c>
      <c r="B8119" s="4" t="s">
        <v>24</v>
      </c>
      <c r="C8119" s="4"/>
    </row>
    <row r="8120" spans="1:3" ht="24" customHeight="1">
      <c r="A8120" s="4" t="str">
        <f ca="1">IFERROR(__xludf.DUMMYFUNCTION("""COMPUTED_VALUE"""),"क्रूरो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४९॥")</f>
        <v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v>
      </c>
      <c r="B8120" s="4" t="s">
        <v>12</v>
      </c>
      <c r="C8120" s="4"/>
    </row>
    <row r="8121" spans="1:3" ht="24" customHeight="1">
      <c r="A8121" s="4" t="str">
        <f ca="1">IFERROR(__xludf.DUMMYFUNCTION("""COMPUTED_VALUE"""),"विद्यानिरतः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५०॥")</f>
        <v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v>
      </c>
      <c r="B8121" s="4" t="s">
        <v>4</v>
      </c>
      <c r="C8121" s="4"/>
    </row>
    <row r="8122" spans="1:3" ht="24" customHeight="1">
      <c r="A8122" s="4" t="str">
        <f ca="1">IFERROR(__xludf.DUMMYFUNCTION("""COMPUTED_VALUE"""),"राजसेवी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५१॥")</f>
        <v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v>
      </c>
      <c r="B8122" s="4" t="s">
        <v>0</v>
      </c>
      <c r="C8122" s="4"/>
    </row>
    <row r="8123" spans="1:3" ht="24" customHeight="1">
      <c r="A8123" s="4" t="str">
        <f ca="1">IFERROR(__xludf.DUMMYFUNCTION("""COMPUTED_VALUE"""),"शुक्रे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५२॥")</f>
        <v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v>
      </c>
      <c r="B8123" s="4" t="s">
        <v>23</v>
      </c>
      <c r="C8123" s="4"/>
    </row>
    <row r="8124" spans="1:3" ht="24" customHeight="1">
      <c r="A8124" s="4" t="str">
        <f ca="1">IFERROR(__xludf.DUMMYFUNCTION("""COMPUTED_VALUE"""),"विधौ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५३॥")</f>
        <v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v>
      </c>
      <c r="B8124" s="4" t="s">
        <v>7</v>
      </c>
      <c r="C8124" s="4"/>
    </row>
    <row r="8125" spans="1:3" ht="24" customHeight="1">
      <c r="A8125" s="4" t="str">
        <f ca="1">IFERROR(__xludf.DUMMYFUNCTION("""COMPUTED_VALUE"""),"शुचिशुक्रपौषतपसां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५४॥")</f>
        <v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v>
      </c>
      <c r="B8125" s="4" t="s">
        <v>5</v>
      </c>
      <c r="C8125" s="4"/>
    </row>
    <row r="8126" spans="1:3" ht="24" customHeight="1">
      <c r="A8126" s="4" t="str">
        <f ca="1">IFERROR(__xludf.DUMMYFUNCTION("""COMPUTED_VALUE"""),"अर्कतर्कत्रितिथिषु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५५॥")</f>
        <v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v>
      </c>
      <c r="B8126" s="4" t="s">
        <v>12</v>
      </c>
      <c r="C8126" s="4"/>
    </row>
    <row r="8127" spans="1:3" ht="24" customHeight="1">
      <c r="A8127" s="4" t="str">
        <f ca="1">IFERROR(__xludf.DUMMYFUNCTION("""COMPUTED_VALUE"""),"प्राग्ब्रह्मौदनपाकाद्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५६॥")</f>
        <v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v>
      </c>
      <c r="B8127" s="4" t="s">
        <v>5</v>
      </c>
      <c r="C8127" s="4"/>
    </row>
    <row r="8128" spans="1:3" ht="24" customHeight="1">
      <c r="A8128" s="4" t="str">
        <f ca="1">IFERROR(__xludf.DUMMYFUNCTION("""COMPUTED_VALUE"""),"वेदक्रमाच्छशिशिवाहिकरत्रिमूलपूर्वासु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५७॥")</f>
        <v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v>
      </c>
      <c r="B8128" s="4" t="s">
        <v>18</v>
      </c>
      <c r="C8128" s="4"/>
    </row>
    <row r="8129" spans="1:3" ht="24" customHeight="1">
      <c r="A8129" s="4" t="str">
        <f ca="1">IFERROR(__xludf.DUMMYFUNCTION("""COMPUTED_VALUE"""),"नान्दीश्राद्धोत्तरं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५८॥")</f>
        <v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v>
      </c>
      <c r="B8129" s="4" t="s">
        <v>18</v>
      </c>
      <c r="C8129" s="4"/>
    </row>
    <row r="8130" spans="1:3" ht="24" customHeight="1">
      <c r="A8130" s="4" t="str">
        <f ca="1">IFERROR(__xludf.DUMMYFUNCTION("""COMPUTED_VALUE"""),"विचैत्रव्रतमासादौ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५९॥")</f>
        <v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v>
      </c>
      <c r="B8130" s="4" t="s">
        <v>2</v>
      </c>
      <c r="C8130" s="4"/>
    </row>
    <row r="8131" spans="1:3" ht="24" customHeight="1">
      <c r="A8131" s="4" t="str">
        <f ca="1">IFERROR(__xludf.DUMMYFUNCTION("""COMPUTED_VALUE"""),"केशान्तं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६०॥")</f>
        <v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v>
      </c>
      <c r="B8131" s="4" t="s">
        <v>2</v>
      </c>
      <c r="C8131" s="4"/>
    </row>
    <row r="8132" spans="1:3" ht="24" customHeight="1">
      <c r="A8132" s="4" t="str">
        <f ca="1">IFERROR(__xludf.DUMMYFUNCTION("""COMPUTED_VALUE"""),"भार्या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१॥")</f>
        <v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v>
      </c>
      <c r="B8132" s="4" t="s">
        <v>12</v>
      </c>
      <c r="C8132" s="4"/>
    </row>
    <row r="8133" spans="1:3" ht="24" customHeight="1">
      <c r="A8133" s="4" t="str">
        <f ca="1">IFERROR(__xludf.DUMMYFUNCTION("""COMPUTED_VALUE"""),"आदौ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२॥")</f>
        <v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v>
      </c>
      <c r="B8133" s="4" t="s">
        <v>5</v>
      </c>
      <c r="C8133" s="4"/>
    </row>
    <row r="8134" spans="1:3" ht="24" customHeight="1">
      <c r="A8134" s="4" t="str">
        <f ca="1">IFERROR(__xludf.DUMMYFUNCTION("""COMPUTED_VALUE"""),"विषमभांशगतौ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३॥")</f>
        <v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v>
      </c>
      <c r="B8134" s="4" t="s">
        <v>17</v>
      </c>
      <c r="C8134" s="4"/>
    </row>
    <row r="8135" spans="1:3" ht="24" customHeight="1">
      <c r="A8135" s="4" t="str">
        <f ca="1">IFERROR(__xludf.DUMMYFUNCTION("""COMPUTED_VALUE"""),"षष्ठाष्टस्थः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४॥")</f>
        <v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v>
      </c>
      <c r="B8135" s="4" t="s">
        <v>7</v>
      </c>
      <c r="C8135" s="4"/>
    </row>
    <row r="8136" spans="1:3" ht="24" customHeight="1">
      <c r="A8136" s="4" t="str">
        <f ca="1">IFERROR(__xludf.DUMMYFUNCTION("""COMPUTED_VALUE"""),"प्रश्नतनोर्यदि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५॥")</f>
        <v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v>
      </c>
      <c r="B8136" s="4" t="s">
        <v>18</v>
      </c>
      <c r="C8136" s="4"/>
    </row>
    <row r="8137" spans="1:3" ht="24" customHeight="1">
      <c r="A8137" s="4" t="str">
        <f ca="1">IFERROR(__xludf.DUMMYFUNCTION("""COMPUTED_VALUE"""),"यदि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६॥")</f>
        <v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v>
      </c>
      <c r="B8137" s="4" t="s">
        <v>5</v>
      </c>
      <c r="C8137" s="4"/>
    </row>
    <row r="8138" spans="1:3" ht="24" customHeight="1">
      <c r="A8138" s="4" t="str">
        <f ca="1">IFERROR(__xludf.DUMMYFUNCTION("""COMPUTED_VALUE"""),"जन्मोत्थं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७॥")</f>
        <v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v>
      </c>
      <c r="B8138" s="4" t="s">
        <v>4</v>
      </c>
      <c r="C8138" s="4"/>
    </row>
    <row r="8139" spans="1:3" ht="24" customHeight="1">
      <c r="A8139" s="4" t="str">
        <f ca="1">IFERROR(__xludf.DUMMYFUNCTION("""COMPUTED_VALUE"""),"प्रश्नलग्नक्षणे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८॥")</f>
        <v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v>
      </c>
      <c r="B8139" s="4" t="s">
        <v>2</v>
      </c>
      <c r="C8139" s="4"/>
    </row>
    <row r="8140" spans="1:3" ht="24" customHeight="1">
      <c r="A8140" s="4" t="str">
        <f ca="1">IFERROR(__xludf.DUMMYFUNCTION("""COMPUTED_VALUE"""),"शङ्खभेरीविपञ्चीरवैर्मङ्गलं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९॥")</f>
        <v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v>
      </c>
      <c r="B8140" s="4" t="s">
        <v>17</v>
      </c>
      <c r="C8140" s="4"/>
    </row>
    <row r="8141" spans="1:3" ht="24" customHeight="1">
      <c r="A8141" s="4" t="str">
        <f ca="1">IFERROR(__xludf.DUMMYFUNCTION("""COMPUTED_VALUE"""),"विश्वस्वातीवैष्णवपूर्वात्रयमैत्रैर्वभ्वाग्नेयैर्वा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१०॥")</f>
        <v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v>
      </c>
      <c r="B8141" s="4" t="s">
        <v>24</v>
      </c>
      <c r="C8141" s="4"/>
    </row>
    <row r="8142" spans="1:3" ht="24" customHeight="1">
      <c r="A8142" s="4" t="str">
        <f ca="1">IFERROR(__xludf.DUMMYFUNCTION("""COMPUTED_VALUE"""),"धरणिदेवोऽथवा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११॥")</f>
        <v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v>
      </c>
      <c r="B8142" s="4" t="s">
        <v>0</v>
      </c>
      <c r="C8142" s="4"/>
    </row>
    <row r="8143" spans="1:3" ht="24" customHeight="1">
      <c r="A8143" s="4" t="str">
        <f ca="1">IFERROR(__xludf.DUMMYFUNCTION("""COMPUTED_VALUE"""),"गुरुशुद्धिवशेन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१२॥")</f>
        <v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v>
      </c>
      <c r="B8143" s="4" t="s">
        <v>24</v>
      </c>
      <c r="C8143" s="4"/>
    </row>
    <row r="8144" spans="1:3" ht="24" customHeight="1">
      <c r="A8144" s="4" t="str">
        <f ca="1">IFERROR(__xludf.DUMMYFUNCTION("""COMPUTED_VALUE"""),"मिथुनकुम्भमृगाऽलिवृषाजगे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१३॥")</f>
        <v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v>
      </c>
      <c r="B8144" s="4" t="s">
        <v>9</v>
      </c>
      <c r="C8144" s="4"/>
    </row>
    <row r="8145" spans="1:3" ht="24" customHeight="1">
      <c r="A8145" s="4" t="str">
        <f ca="1">IFERROR(__xludf.DUMMYFUNCTION("""COMPUTED_VALUE"""),"आद्यगर्भसुतकन्ययोर्द्वयोर्जन्ममासभतिथौ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१४॥")</f>
        <v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v>
      </c>
      <c r="B8145" s="4" t="s">
        <v>17</v>
      </c>
      <c r="C8145" s="4"/>
    </row>
    <row r="8146" spans="1:3" ht="24" customHeight="1">
      <c r="A8146" s="4" t="str">
        <f ca="1">IFERROR(__xludf.DUMMYFUNCTION("""COMPUTED_VALUE"""),"ज्येष्ठद्वन्द्वं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१५॥")</f>
        <v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v>
      </c>
      <c r="B8146" s="4" t="s">
        <v>24</v>
      </c>
      <c r="C8146" s="4"/>
    </row>
    <row r="8147" spans="1:3" ht="24" customHeight="1">
      <c r="A8147" s="4" t="str">
        <f ca="1">IFERROR(__xludf.DUMMYFUNCTION("""COMPUTED_VALUE"""),"सुतपरिणयात्षण्मासान्तः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१६॥")</f>
        <v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v>
      </c>
      <c r="B8147" s="4" t="s">
        <v>5</v>
      </c>
      <c r="C8147" s="4"/>
    </row>
    <row r="8148" spans="1:3" ht="24" customHeight="1">
      <c r="A8148" s="4" t="str">
        <f ca="1">IFERROR(__xludf.DUMMYFUNCTION("""COMPUTED_VALUE"""),"वध्वा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१७॥")</f>
        <v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v>
      </c>
      <c r="B8148" s="4" t="s">
        <v>0</v>
      </c>
      <c r="C8148" s="4"/>
    </row>
    <row r="8149" spans="1:3" ht="24" customHeight="1">
      <c r="A8149" s="4" t="str">
        <f ca="1">IFERROR(__xludf.DUMMYFUNCTION("""COMPUTED_VALUE"""),"चूडा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१८॥")</f>
        <v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v>
      </c>
      <c r="B8149" s="4" t="s">
        <v>6</v>
      </c>
      <c r="C8149" s="4"/>
    </row>
    <row r="8150" spans="1:3" ht="24" customHeight="1">
      <c r="A8150" s="4" t="str">
        <f ca="1">IFERROR(__xludf.DUMMYFUNCTION("""COMPUTED_VALUE"""),"श्वश्रूविनाशमहिजौ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१९॥")</f>
        <v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v>
      </c>
      <c r="B8150" s="4" t="s">
        <v>0</v>
      </c>
      <c r="C8150" s="4"/>
    </row>
    <row r="8151" spans="1:3" ht="24" customHeight="1">
      <c r="A8151" s="4" t="str">
        <f ca="1">IFERROR(__xludf.DUMMYFUNCTION("""COMPUTED_VALUE"""),"द्वीशाद्यपादत्रयजा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२०॥")</f>
        <v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v>
      </c>
      <c r="B8151" s="4" t="s">
        <v>6</v>
      </c>
      <c r="C8151" s="4"/>
    </row>
    <row r="8152" spans="1:3" ht="24" customHeight="1">
      <c r="A8152" s="4" t="str">
        <f ca="1">IFERROR(__xludf.DUMMYFUNCTION("""COMPUTED_VALUE"""),"वर्णो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२१॥")</f>
        <v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v>
      </c>
      <c r="B8152" s="4" t="s">
        <v>19</v>
      </c>
      <c r="C8152" s="4"/>
    </row>
    <row r="8153" spans="1:3" ht="24" customHeight="1">
      <c r="A8153" s="4" t="str">
        <f ca="1">IFERROR(__xludf.DUMMYFUNCTION("""COMPUTED_VALUE"""),"द्विजा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२२॥")</f>
        <v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v>
      </c>
      <c r="B8153" s="4" t="s">
        <v>20</v>
      </c>
      <c r="C8153" s="4"/>
    </row>
    <row r="8154" spans="1:3" ht="24" customHeight="1">
      <c r="A8154" s="4" t="str">
        <f ca="1">IFERROR(__xludf.DUMMYFUNCTION("""COMPUTED_VALUE"""),"हित्वा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२३॥")</f>
        <v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v>
      </c>
      <c r="B8154" s="4" t="s">
        <v>5</v>
      </c>
      <c r="C8154" s="4"/>
    </row>
    <row r="8155" spans="1:3" ht="24" customHeight="1">
      <c r="A8155" s="4" t="str">
        <f ca="1">IFERROR(__xludf.DUMMYFUNCTION("""COMPUTED_VALUE"""),"कन्यर्क्षाद्वरभं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२४॥")</f>
        <v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v>
      </c>
      <c r="B8155" s="4" t="s">
        <v>2</v>
      </c>
      <c r="C8155" s="4"/>
    </row>
    <row r="8156" spans="1:3" ht="24" customHeight="1">
      <c r="A8156" s="4" t="str">
        <f ca="1">IFERROR(__xludf.DUMMYFUNCTION("""COMPUTED_VALUE"""),"अश्विन्यभ्युपयोर्हयो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२५॥")</f>
        <v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v>
      </c>
      <c r="B8156" s="4" t="s">
        <v>24</v>
      </c>
      <c r="C8156" s="4"/>
    </row>
    <row r="8157" spans="1:3" ht="24" customHeight="1">
      <c r="A8157" s="4" t="str">
        <f ca="1">IFERROR(__xludf.DUMMYFUNCTION("""COMPUTED_VALUE"""),"ज्येष्ठामैत्रभयोः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२६॥")</f>
        <v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v>
      </c>
      <c r="B8157" s="4" t="s">
        <v>3</v>
      </c>
      <c r="C8157" s="4"/>
    </row>
    <row r="8158" spans="1:3" ht="24" customHeight="1">
      <c r="A8158" s="4" t="str">
        <f ca="1">IFERROR(__xludf.DUMMYFUNCTION("""COMPUTED_VALUE"""),"शेषाश्चास्य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२७॥")</f>
        <v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v>
      </c>
      <c r="B8158" s="4" t="s">
        <v>0</v>
      </c>
      <c r="C8158" s="4"/>
    </row>
    <row r="8159" spans="1:3" ht="24" customHeight="1">
      <c r="A8159" s="4" t="str">
        <f ca="1">IFERROR(__xludf.DUMMYFUNCTION("""COMPUTED_VALUE"""),"मित्रे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२८॥")</f>
        <v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v>
      </c>
      <c r="B8159" s="4" t="s">
        <v>12</v>
      </c>
      <c r="C8159" s="4"/>
    </row>
    <row r="8160" spans="1:3" ht="24" customHeight="1">
      <c r="A8160" s="4" t="str">
        <f ca="1">IFERROR(__xludf.DUMMYFUNCTION("""COMPUTED_VALUE"""),"रक्षोनराऽमरगणाः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२९॥")</f>
        <v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v>
      </c>
      <c r="B8160" s="4" t="s">
        <v>1</v>
      </c>
      <c r="C8160" s="4"/>
    </row>
    <row r="8161" spans="1:3" ht="24" customHeight="1">
      <c r="A8161" s="4" t="str">
        <f ca="1">IFERROR(__xludf.DUMMYFUNCTION("""COMPUTED_VALUE"""),"निजनिजगणमध्ये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३०॥")</f>
        <v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v>
      </c>
      <c r="B8161" s="4" t="s">
        <v>0</v>
      </c>
      <c r="C8161" s="4"/>
    </row>
    <row r="8162" spans="1:3" ht="24" customHeight="1">
      <c r="A8162" s="4" t="str">
        <f ca="1">IFERROR(__xludf.DUMMYFUNCTION("""COMPUTED_VALUE"""),"मृत्युः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३१॥")</f>
        <v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v>
      </c>
      <c r="B8162" s="4" t="s">
        <v>19</v>
      </c>
      <c r="C8162" s="4"/>
    </row>
    <row r="8163" spans="1:3" ht="24" customHeight="1">
      <c r="A8163" s="4" t="str">
        <f ca="1">IFERROR(__xludf.DUMMYFUNCTION("""COMPUTED_VALUE"""),"प्रोक्ते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३२॥")</f>
        <v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v>
      </c>
      <c r="B8163" s="4" t="s">
        <v>20</v>
      </c>
      <c r="C8163" s="4"/>
    </row>
    <row r="8164" spans="1:3" ht="24" customHeight="1">
      <c r="A8164" s="4" t="str">
        <f ca="1">IFERROR(__xludf.DUMMYFUNCTION("""COMPUTED_VALUE"""),"मैत्र्यां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३३॥")</f>
        <v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v>
      </c>
      <c r="B8164" s="4" t="s">
        <v>23</v>
      </c>
      <c r="C8164" s="4"/>
    </row>
    <row r="8165" spans="1:3" ht="24" customHeight="1">
      <c r="A8165" s="4" t="str">
        <f ca="1">IFERROR(__xludf.DUMMYFUNCTION("""COMPUTED_VALUE"""),"ज्येष्ठारौद्रार्यमाम्भःपतिभयुगयुगं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३४॥")</f>
        <v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v>
      </c>
      <c r="B8165" s="4" t="s">
        <v>5</v>
      </c>
      <c r="C8165" s="4"/>
    </row>
    <row r="8166" spans="1:3" ht="24" customHeight="1">
      <c r="A8166" s="4" t="str">
        <f ca="1">IFERROR(__xludf.DUMMYFUNCTION("""COMPUTED_VALUE"""),"पौष्णेशशाक्राद्रससूर्यनन्दा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३५॥")</f>
        <v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v>
      </c>
      <c r="B8166" s="4" t="s">
        <v>0</v>
      </c>
      <c r="C8166" s="4"/>
    </row>
    <row r="8167" spans="1:3" ht="24" customHeight="1">
      <c r="A8167" s="4" t="str">
        <f ca="1">IFERROR(__xludf.DUMMYFUNCTION("""COMPUTED_VALUE"""),"अकचटतपयशवर्गाः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३६॥")</f>
        <v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v>
      </c>
      <c r="B8167" s="4" t="s">
        <v>23</v>
      </c>
      <c r="C8167" s="4"/>
    </row>
    <row r="8168" spans="1:3" ht="24" customHeight="1">
      <c r="A8168" s="4" t="str">
        <f ca="1">IFERROR(__xludf.DUMMYFUNCTION("""COMPUTED_VALUE"""),"राश्यैक्ये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३७॥")</f>
        <v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v>
      </c>
      <c r="B8168" s="4" t="s">
        <v>5</v>
      </c>
      <c r="C8168" s="4"/>
    </row>
    <row r="8169" spans="1:3" ht="24" customHeight="1">
      <c r="A8169" s="4" t="str">
        <f ca="1">IFERROR(__xludf.DUMMYFUNCTION("""COMPUTED_VALUE"""),"सेव्याधमर्णयुवतीनगरादिभं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३८॥")</f>
        <v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v>
      </c>
      <c r="B8169" s="4" t="s">
        <v>23</v>
      </c>
      <c r="C8169" s="4"/>
    </row>
    <row r="8170" spans="1:3" ht="24" customHeight="1">
      <c r="A8170" s="4" t="str">
        <f ca="1">IFERROR(__xludf.DUMMYFUNCTION("""COMPUTED_VALUE"""),"कुजशुक्रसौम्यशशिसूर्यचन्द्रजाः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३९॥")</f>
        <v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v>
      </c>
      <c r="B8170" s="4" t="s">
        <v>20</v>
      </c>
      <c r="C8170" s="4"/>
    </row>
    <row r="8171" spans="1:3" ht="24" customHeight="1">
      <c r="A8171" s="4" t="str">
        <f ca="1">IFERROR(__xludf.DUMMYFUNCTION("""COMPUTED_VALUE"""),"समगृहमध्ये शशिरविहोरा । विषमभमध्ये रविशशिनोः सा ॥ मुहूर्त.विवाहप्रकरणम् ४०॥")</f>
        <v>समगृहमध्ये शशिरविहोरा । विषमभमध्ये रविशशिनोः सा ॥ मुहूर्त.विवाहप्रकरणम् ४०॥</v>
      </c>
      <c r="B8171" s="4" t="s">
        <v>18</v>
      </c>
      <c r="C8171" s="4"/>
    </row>
    <row r="8172" spans="1:3" ht="24" customHeight="1">
      <c r="A8172" s="4" t="str">
        <f ca="1">IFERROR(__xludf.DUMMYFUNCTION("""COMPUTED_VALUE"""),"शुक्रज्ञ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४१॥")</f>
        <v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v>
      </c>
      <c r="B8172" s="4" t="s">
        <v>1</v>
      </c>
      <c r="C8172" s="4"/>
    </row>
    <row r="8173" spans="1:3" ht="24" customHeight="1">
      <c r="A8173" s="4" t="str">
        <f ca="1">IFERROR(__xludf.DUMMYFUNCTION("""COMPUTED_VALUE"""),"स्याद्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४२॥")</f>
        <v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v>
      </c>
      <c r="B8173" s="4" t="s">
        <v>9</v>
      </c>
      <c r="C8173" s="4"/>
    </row>
    <row r="8174" spans="1:3" ht="24" customHeight="1">
      <c r="A8174" s="4" t="str">
        <f ca="1">IFERROR(__xludf.DUMMYFUNCTION("""COMPUTED_VALUE"""),"ज्येष्ठापौष्णभसार्पभान्त्यघटिकायुग्मं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४३॥")</f>
        <v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v>
      </c>
      <c r="B8174" s="4" t="s">
        <v>12</v>
      </c>
      <c r="C8174" s="4"/>
    </row>
    <row r="8175" spans="1:3" ht="24" customHeight="1">
      <c r="A8175" s="4" t="str">
        <f ca="1">IFERROR(__xludf.DUMMYFUNCTION("""COMPUTED_VALUE"""),"लग्नात्पापाघृज्वनृजू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४४॥")</f>
        <v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v>
      </c>
      <c r="B8175" s="4" t="s">
        <v>17</v>
      </c>
      <c r="C8175" s="4"/>
    </row>
    <row r="8176" spans="1:3" ht="24" customHeight="1">
      <c r="A8176" s="4" t="str">
        <f ca="1">IFERROR(__xludf.DUMMYFUNCTION("""COMPUTED_VALUE"""),"चन्द्रे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४५॥")</f>
        <v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v>
      </c>
      <c r="B8176" s="4" t="s">
        <v>2</v>
      </c>
      <c r="C8176" s="4"/>
    </row>
    <row r="8177" spans="1:3" ht="24" customHeight="1">
      <c r="A8177" s="4" t="str">
        <f ca="1">IFERROR(__xludf.DUMMYFUNCTION("""COMPUTED_VALUE"""),"जन्मलग्नभयोर्मृत्युशाशौ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४६॥")</f>
        <v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v>
      </c>
      <c r="B8177" s="4" t="s">
        <v>19</v>
      </c>
      <c r="C8177" s="4"/>
    </row>
    <row r="8178" spans="1:3" ht="24" customHeight="1">
      <c r="A8178" s="4" t="str">
        <f ca="1">IFERROR(__xludf.DUMMYFUNCTION("""COMPUTED_VALUE"""),"मीनोक्षकर्कालिमृगस्त्रियोऽष्टमं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४७॥")</f>
        <v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v>
      </c>
      <c r="B8178" s="4" t="s">
        <v>1</v>
      </c>
      <c r="C8178" s="4"/>
    </row>
    <row r="8179" spans="1:3" ht="24" customHeight="1">
      <c r="A8179" s="4" t="str">
        <f ca="1">IFERROR(__xludf.DUMMYFUNCTION("""COMPUTED_VALUE"""),"मृतिभवनांशो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४८॥")</f>
        <v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v>
      </c>
      <c r="B8179" s="4" t="s">
        <v>5</v>
      </c>
      <c r="C8179" s="4"/>
    </row>
    <row r="8180" spans="1:3" ht="24" customHeight="1">
      <c r="A8180" s="4" t="str">
        <f ca="1">IFERROR(__xludf.DUMMYFUNCTION("""COMPUTED_VALUE"""),"खरामतो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४९॥")</f>
        <v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v>
      </c>
      <c r="B8180" s="4" t="s">
        <v>6</v>
      </c>
      <c r="C8180" s="4"/>
    </row>
    <row r="8181" spans="1:3" ht="24" customHeight="1">
      <c r="A8181" s="4" t="str">
        <f ca="1">IFERROR(__xludf.DUMMYFUNCTION("""COMPUTED_VALUE"""),"मनो-१४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५०॥")</f>
        <v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v>
      </c>
      <c r="B8181" s="4" t="s">
        <v>2</v>
      </c>
      <c r="C8181" s="4"/>
    </row>
    <row r="8182" spans="1:3" ht="24" customHeight="1">
      <c r="A8182" s="4" t="str">
        <f ca="1">IFERROR(__xludf.DUMMYFUNCTION("""COMPUTED_VALUE"""),"मूलेऽङ्गबाणा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५१॥")</f>
        <v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v>
      </c>
      <c r="B8182" s="4" t="s">
        <v>10</v>
      </c>
      <c r="C8182" s="4"/>
    </row>
    <row r="8183" spans="1:3" ht="24" customHeight="1">
      <c r="A8183" s="4" t="str">
        <f ca="1">IFERROR(__xludf.DUMMYFUNCTION("""COMPUTED_VALUE"""),"गिरिशभुजगमित्राः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५२॥")</f>
        <v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v>
      </c>
      <c r="B8183" s="4" t="s">
        <v>0</v>
      </c>
      <c r="C8183" s="4"/>
    </row>
    <row r="8184" spans="1:3" ht="24" customHeight="1">
      <c r="A8184" s="4" t="str">
        <f ca="1">IFERROR(__xludf.DUMMYFUNCTION("""COMPUTED_VALUE"""),"शिवोऽजपादादष्टौ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५३॥")</f>
        <v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v>
      </c>
      <c r="B8184" s="4" t="s">
        <v>2</v>
      </c>
      <c r="C8184" s="4"/>
    </row>
    <row r="8185" spans="1:3" ht="24" customHeight="1">
      <c r="A8185" s="4" t="str">
        <f ca="1">IFERROR(__xludf.DUMMYFUNCTION("""COMPUTED_VALUE"""),"रवावर्यमा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५४॥")</f>
        <v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v>
      </c>
      <c r="B8185" s="4" t="s">
        <v>20</v>
      </c>
      <c r="C8185" s="4"/>
    </row>
    <row r="8186" spans="1:3" ht="24" customHeight="1">
      <c r="A8186" s="4" t="str">
        <f ca="1">IFERROR(__xludf.DUMMYFUNCTION("""COMPUTED_VALUE"""),"निर्वेधैः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५५॥")</f>
        <v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v>
      </c>
      <c r="B8186" s="4" t="s">
        <v>5</v>
      </c>
      <c r="C8186" s="4"/>
    </row>
    <row r="8187" spans="1:3" ht="24" customHeight="1">
      <c r="A8187" s="4" t="str">
        <f ca="1">IFERROR(__xludf.DUMMYFUNCTION("""COMPUTED_VALUE"""),"वेधोऽन्योन्यमसौ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५६॥")</f>
        <v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v>
      </c>
      <c r="B8187" s="4" t="s">
        <v>5</v>
      </c>
      <c r="C8187" s="4"/>
    </row>
    <row r="8188" spans="1:3" ht="24" customHeight="1">
      <c r="A8188" s="4" t="str">
        <f ca="1">IFERROR(__xludf.DUMMYFUNCTION("""COMPUTED_VALUE"""),"शाक्रेज्ये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५७॥")</f>
        <v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v>
      </c>
      <c r="B8188" s="4" t="s">
        <v>10</v>
      </c>
      <c r="C8188" s="4"/>
    </row>
    <row r="8189" spans="1:3" ht="24" customHeight="1">
      <c r="A8189" s="4" t="str">
        <f ca="1">IFERROR(__xludf.DUMMYFUNCTION("""COMPUTED_VALUE"""),"ऋक्षाणि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५८॥")</f>
        <v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v>
      </c>
      <c r="B8189" s="4" t="s">
        <v>2</v>
      </c>
      <c r="C8189" s="4"/>
    </row>
    <row r="8190" spans="1:3" ht="24" customHeight="1">
      <c r="A8190" s="4" t="str">
        <f ca="1">IFERROR(__xludf.DUMMYFUNCTION("""COMPUTED_VALUE"""),"ज्ञराहुपूर्णेन्दुसिताः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५९॥")</f>
        <v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v>
      </c>
      <c r="B8190" s="4" t="s">
        <v>2</v>
      </c>
      <c r="C8190" s="4"/>
    </row>
    <row r="8191" spans="1:3" ht="24" customHeight="1">
      <c r="A8191" s="4" t="str">
        <f ca="1">IFERROR(__xludf.DUMMYFUNCTION("""COMPUTED_VALUE"""),"हर्षणवैधृतिसाध्यव्यतिपातकगण्डशूलयोगानाम्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६०॥")</f>
        <v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v>
      </c>
      <c r="B8191" s="4" t="s">
        <v>5</v>
      </c>
      <c r="C8191" s="4"/>
    </row>
    <row r="8192" spans="1:3" ht="24" customHeight="1">
      <c r="A8192" s="4" t="str">
        <f ca="1">IFERROR(__xludf.DUMMYFUNCTION("""COMPUTED_VALUE"""),"पञ्चास्याजौ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६१॥")</f>
        <v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v>
      </c>
      <c r="B8192" s="4" t="s">
        <v>13</v>
      </c>
      <c r="C8192" s="4"/>
    </row>
    <row r="8193" spans="1:3" ht="24" customHeight="1">
      <c r="A8193" s="4" t="str">
        <f ca="1">IFERROR(__xludf.DUMMYFUNCTION("""COMPUTED_VALUE"""),"व्याघातगण्डव्यतिपातपूर्व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६२॥")</f>
        <v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v>
      </c>
      <c r="B8193" s="4" t="s">
        <v>19</v>
      </c>
      <c r="C8193" s="4"/>
    </row>
    <row r="8194" spans="1:3" ht="24" customHeight="1">
      <c r="A8194" s="4" t="str">
        <f ca="1">IFERROR(__xludf.DUMMYFUNCTION("""COMPUTED_VALUE"""),"शराष्टदिक्शक्रनगातिधृत्यस्तिथिधृतिश्च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६३॥")</f>
        <v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v>
      </c>
      <c r="B8194" s="4" t="s">
        <v>1</v>
      </c>
      <c r="C8194" s="4"/>
    </row>
    <row r="8195" spans="1:3" ht="24" customHeight="1">
      <c r="A8195" s="4" t="str">
        <f ca="1">IFERROR(__xludf.DUMMYFUNCTION("""COMPUTED_VALUE"""),"पातोपग्रहलत्तासु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६४॥")</f>
        <v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v>
      </c>
      <c r="B8195" s="4" t="s">
        <v>19</v>
      </c>
      <c r="C8195" s="4"/>
    </row>
    <row r="8196" spans="1:3" ht="24" customHeight="1">
      <c r="A8196" s="4" t="str">
        <f ca="1">IFERROR(__xludf.DUMMYFUNCTION("""COMPUTED_VALUE"""),"शक्रार्कदिग्वसुरसाब्ध्यश्विनः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६५॥")</f>
        <v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v>
      </c>
      <c r="B8196" s="4" t="s">
        <v>2</v>
      </c>
      <c r="C8196" s="4"/>
    </row>
    <row r="8197" spans="1:3" ht="24" customHeight="1">
      <c r="A8197" s="4" t="str">
        <f ca="1">IFERROR(__xludf.DUMMYFUNCTION("""COMPUTED_VALUE"""),"चापान्त्यगे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६६॥")</f>
        <v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v>
      </c>
      <c r="B8197" s="4" t="s">
        <v>20</v>
      </c>
      <c r="C8197" s="4"/>
    </row>
    <row r="8198" spans="1:3" ht="24" customHeight="1">
      <c r="A8198" s="4" t="str">
        <f ca="1">IFERROR(__xludf.DUMMYFUNCTION("""COMPUTED_VALUE"""),"लग्नाच्चन्द्रान्मदनभवनगे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६७॥")</f>
        <v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v>
      </c>
      <c r="B8198" s="4" t="s">
        <v>17</v>
      </c>
      <c r="C8198" s="4"/>
    </row>
    <row r="8199" spans="1:3" ht="24" customHeight="1">
      <c r="A8199" s="4" t="str">
        <f ca="1">IFERROR(__xludf.DUMMYFUNCTION("""COMPUTED_VALUE"""),"एकार्गलोपग्रहवातलत्ताजामित्रकर्तर्युदयास्तदोषाः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६८॥")</f>
        <v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v>
      </c>
      <c r="B8199" s="4" t="s">
        <v>13</v>
      </c>
      <c r="C8199" s="4"/>
    </row>
    <row r="8200" spans="1:3" ht="24" customHeight="1">
      <c r="A8200" s="4" t="str">
        <f ca="1">IFERROR(__xludf.DUMMYFUNCTION("""COMPUTED_VALUE"""),"उपग्रहर्क्षं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६९॥")</f>
        <v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v>
      </c>
      <c r="B8200" s="4" t="s">
        <v>8</v>
      </c>
      <c r="C8200" s="4"/>
    </row>
    <row r="8201" spans="1:3" ht="24" customHeight="1">
      <c r="A8201" s="4" t="str">
        <f ca="1">IFERROR(__xludf.DUMMYFUNCTION("""COMPUTED_VALUE"""),"शशाङ्कसूर्यर्क्षयुतेर्भशेषे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७०॥")</f>
        <v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v>
      </c>
      <c r="B8201" s="4" t="s">
        <v>25</v>
      </c>
      <c r="C8201" s="4"/>
    </row>
    <row r="8202" spans="1:3" ht="24" customHeight="1">
      <c r="A8202" s="4" t="str">
        <f ca="1">IFERROR(__xludf.DUMMYFUNCTION("""COMPUTED_VALUE"""),"वाताभ्राग्निमहीपचोरमरणं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७१॥")</f>
        <v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v>
      </c>
      <c r="B8202" s="4" t="s">
        <v>5</v>
      </c>
      <c r="C8202" s="4"/>
    </row>
    <row r="8203" spans="1:3" ht="24" customHeight="1">
      <c r="A8203" s="4" t="str">
        <f ca="1">IFERROR(__xludf.DUMMYFUNCTION("""COMPUTED_VALUE"""),"लग्नेनाढ्या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७२॥")</f>
        <v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v>
      </c>
      <c r="B8203" s="4" t="s">
        <v>20</v>
      </c>
      <c r="C8203" s="4"/>
    </row>
    <row r="8204" spans="1:3" ht="24" customHeight="1">
      <c r="A8204" s="4" t="str">
        <f ca="1">IFERROR(__xludf.DUMMYFUNCTION("""COMPUTED_VALUE"""),"रसगुणशशिनागाब्ध्याढ्यसंक्रान्तियातां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७३॥")</f>
        <v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v>
      </c>
      <c r="B8204" s="4" t="s">
        <v>5</v>
      </c>
      <c r="C8204" s="4"/>
    </row>
    <row r="8205" spans="1:3" ht="24" customHeight="1">
      <c r="A8205" s="4" t="str">
        <f ca="1">IFERROR(__xludf.DUMMYFUNCTION("""COMPUTED_VALUE"""),"रात्रौ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७४॥")</f>
        <v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v>
      </c>
      <c r="B8205" s="4" t="s">
        <v>2</v>
      </c>
      <c r="C8205" s="4"/>
    </row>
    <row r="8206" spans="1:3" ht="24" customHeight="1">
      <c r="A8206" s="4" t="str">
        <f ca="1">IFERROR(__xludf.DUMMYFUNCTION("""COMPUTED_VALUE"""),"त्र्याशं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७५॥")</f>
        <v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v>
      </c>
      <c r="B8206" s="4" t="s">
        <v>2</v>
      </c>
      <c r="C8206" s="4"/>
    </row>
    <row r="8207" spans="1:3" ht="24" customHeight="1">
      <c r="A8207" s="4" t="str">
        <f ca="1">IFERROR(__xludf.DUMMYFUNCTION("""COMPUTED_VALUE"""),"यदा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७६॥")</f>
        <v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v>
      </c>
      <c r="B8207" s="4" t="s">
        <v>2</v>
      </c>
      <c r="C8207" s="4"/>
    </row>
    <row r="8208" spans="1:3" ht="24" customHeight="1">
      <c r="A8208" s="4" t="str">
        <f ca="1">IFERROR(__xludf.DUMMYFUNCTION("""COMPUTED_VALUE"""),"लवेशो लवं लग्नपो लग्नगेहं प्रपश्येन्मिथो वा शुभं स्याद्वरस्य । लवद्यूनपॐऽशद्युनं लग्नपोऽस्तं मिथो वेक्षते स्याच्छुभं कन्यकायाः ॥ मुहूर्त.विवाहप्रकरणम् ७७॥")</f>
        <v>लवेशो लवं लग्नपो लग्नगेहं प्रपश्येन्मिथो वा शुभं स्याद्वरस्य । लवद्यूनपॐऽशद्युनं लग्नपोऽस्तं मिथो वेक्षते स्याच्छुभं कन्यकायाः ॥ मुहूर्त.विवाहप्रकरणम् ७७॥</v>
      </c>
      <c r="B8208" s="4" t="s">
        <v>5</v>
      </c>
      <c r="C8208" s="4"/>
    </row>
    <row r="8209" spans="1:3" ht="24" customHeight="1">
      <c r="A8209" s="4" t="str">
        <f ca="1">IFERROR(__xludf.DUMMYFUNCTION("""COMPUTED_VALUE"""),"लवपतिशुभमित्रं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७८॥")</f>
        <v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v>
      </c>
      <c r="B8209" s="4" t="s">
        <v>4</v>
      </c>
      <c r="C8209" s="4"/>
    </row>
    <row r="8210" spans="1:3" ht="24" customHeight="1">
      <c r="A8210" s="4" t="str">
        <f ca="1">IFERROR(__xludf.DUMMYFUNCTION("""COMPUTED_VALUE"""),"विषुवायनेषु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७९॥")</f>
        <v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v>
      </c>
      <c r="B8210" s="4" t="s">
        <v>20</v>
      </c>
      <c r="C8210" s="4"/>
    </row>
    <row r="8211" spans="1:3" ht="24" customHeight="1">
      <c r="A8211" s="4" t="str">
        <f ca="1">IFERROR(__xludf.DUMMYFUNCTION("""COMPUTED_VALUE"""),"देवद्व्यङ्कर्तवोऽष्टाष्टौ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८०॥")</f>
        <v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v>
      </c>
      <c r="B8211" s="4" t="s">
        <v>2</v>
      </c>
      <c r="C8211" s="4"/>
    </row>
    <row r="8212" spans="1:3" ht="24" customHeight="1">
      <c r="A8212" s="4" t="str">
        <f ca="1">IFERROR(__xludf.DUMMYFUNCTION("""COMPUTED_VALUE"""),"घस्रे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८१॥")</f>
        <v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v>
      </c>
      <c r="B8212" s="4" t="s">
        <v>8</v>
      </c>
      <c r="C8212" s="4"/>
    </row>
    <row r="8213" spans="1:3" ht="24" customHeight="1">
      <c r="A8213" s="4" t="str">
        <f ca="1">IFERROR(__xludf.DUMMYFUNCTION("""COMPUTED_VALUE"""),"बधिरा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८२॥")</f>
        <v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v>
      </c>
      <c r="B8213" s="4" t="s">
        <v>24</v>
      </c>
      <c r="C8213" s="4"/>
    </row>
    <row r="8214" spans="1:3" ht="24" customHeight="1">
      <c r="A8214" s="4" t="str">
        <f ca="1">IFERROR(__xludf.DUMMYFUNCTION("""COMPUTED_VALUE"""),"दारिद्र्यं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८३॥")</f>
        <v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v>
      </c>
      <c r="B8214" s="4" t="s">
        <v>13</v>
      </c>
      <c r="C8214" s="4"/>
    </row>
    <row r="8215" spans="1:3" ht="24" customHeight="1">
      <c r="A8215" s="4" t="str">
        <f ca="1">IFERROR(__xludf.DUMMYFUNCTION("""COMPUTED_VALUE"""),"कार्मुकतौलिककन्यायुग्मलवे झषगे वा । यर्हि भवेदुपयामस्तर्हि सती खलु कन्या ॥ मुहूर्त.विवाहप्रकरणम् ८४॥")</f>
        <v>कार्मुकतौलिककन्यायुग्मलवे झषगे वा । यर्हि भवेदुपयामस्तर्हि सती खलु कन्या ॥ मुहूर्त.विवाहप्रकरणम् ८४॥</v>
      </c>
      <c r="B8215" s="4" t="s">
        <v>5</v>
      </c>
      <c r="C8215" s="4"/>
    </row>
    <row r="8216" spans="1:3" ht="24" customHeight="1">
      <c r="A8216" s="4" t="str">
        <f ca="1">IFERROR(__xludf.DUMMYFUNCTION("""COMPUTED_VALUE"""),"अन्त्यनवांशे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८५॥")</f>
        <v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v>
      </c>
      <c r="B8216" s="4" t="s">
        <v>5</v>
      </c>
      <c r="C8216" s="4"/>
    </row>
    <row r="8217" spans="1:3" ht="24" customHeight="1">
      <c r="A8217" s="4" t="str">
        <f ca="1">IFERROR(__xludf.DUMMYFUNCTION("""COMPUTED_VALUE"""),"व्यये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८६॥")</f>
        <v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v>
      </c>
      <c r="B8217" s="4" t="s">
        <v>4</v>
      </c>
      <c r="C8217" s="4"/>
    </row>
    <row r="8218" spans="1:3" ht="24" customHeight="1">
      <c r="A8218" s="4" t="str">
        <f ca="1">IFERROR(__xludf.DUMMYFUNCTION("""COMPUTED_VALUE"""),"त्र्यायाष्टषट्सु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८७॥")</f>
        <v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v>
      </c>
      <c r="B8218" s="4" t="s">
        <v>2</v>
      </c>
      <c r="C8218" s="4"/>
    </row>
    <row r="8219" spans="1:3" ht="24" customHeight="1">
      <c r="A8219" s="4" t="str">
        <f ca="1">IFERROR(__xludf.DUMMYFUNCTION("""COMPUTED_VALUE"""),"पापौ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८८॥")</f>
        <v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v>
      </c>
      <c r="B8219" s="4" t="s">
        <v>1</v>
      </c>
      <c r="C8219" s="4"/>
    </row>
    <row r="8220" spans="1:3" ht="24" customHeight="1">
      <c r="A8220" s="4" t="str">
        <f ca="1">IFERROR(__xludf.DUMMYFUNCTION("""COMPUTED_VALUE"""),"अब्दायनर्तुतिथिमासभपक्षदग्ध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८९॥")</f>
        <v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v>
      </c>
      <c r="B8220" s="4" t="s">
        <v>13</v>
      </c>
      <c r="C8220" s="4"/>
    </row>
    <row r="8221" spans="1:3" ht="24" customHeight="1">
      <c r="A8221" s="4" t="str">
        <f ca="1">IFERROR(__xludf.DUMMYFUNCTION("""COMPUTED_VALUE"""),"केन्द्रे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९०॥")</f>
        <v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v>
      </c>
      <c r="B8221" s="4" t="s">
        <v>13</v>
      </c>
      <c r="C8221" s="4"/>
    </row>
    <row r="8222" spans="1:3" ht="24" customHeight="1">
      <c r="A8222" s="4" t="str">
        <f ca="1">IFERROR(__xludf.DUMMYFUNCTION("""COMPUTED_VALUE"""),"त्रिकोणे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९१॥")</f>
        <v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v>
      </c>
      <c r="B8222" s="4" t="s">
        <v>2</v>
      </c>
      <c r="C8222" s="4"/>
    </row>
    <row r="8223" spans="1:3" ht="24" customHeight="1">
      <c r="A8223" s="4" t="str">
        <f ca="1">IFERROR(__xludf.DUMMYFUNCTION("""COMPUTED_VALUE"""),"द्वौ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९२॥")</f>
        <v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v>
      </c>
      <c r="B8223" s="4" t="s">
        <v>19</v>
      </c>
      <c r="C8223" s="4"/>
    </row>
    <row r="8224" spans="1:3" ht="24" customHeight="1">
      <c r="A8224" s="4" t="str">
        <f ca="1">IFERROR(__xludf.DUMMYFUNCTION("""COMPUTED_VALUE"""),"श्वश्रूः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९३॥")</f>
        <v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v>
      </c>
      <c r="B8224" s="4" t="s">
        <v>2</v>
      </c>
      <c r="C8224" s="4"/>
    </row>
    <row r="8225" spans="1:3" ht="24" customHeight="1">
      <c r="A8225" s="4" t="str">
        <f ca="1">IFERROR(__xludf.DUMMYFUNCTION("""COMPUTED_VALUE"""),"कृष्णे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९४॥")</f>
        <v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v>
      </c>
      <c r="B8225" s="4" t="s">
        <v>13</v>
      </c>
      <c r="C8225" s="4"/>
    </row>
    <row r="8226" spans="1:3" ht="24" customHeight="1">
      <c r="A8226" s="4" t="str">
        <f ca="1">IFERROR(__xludf.DUMMYFUNCTION("""COMPUTED_VALUE"""),"गान्धर्वादिविवाहेऽर्काद्वेद-४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९५॥")</f>
        <v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v>
      </c>
      <c r="B8226" s="4" t="s">
        <v>6</v>
      </c>
      <c r="C8226" s="4"/>
    </row>
    <row r="8227" spans="1:3" ht="24" customHeight="1">
      <c r="A8227" s="4" t="str">
        <f ca="1">IFERROR(__xludf.DUMMYFUNCTION("""COMPUTED_VALUE"""),"विधोर्बलमवेक्ष्य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९६॥")</f>
        <v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v>
      </c>
      <c r="B8227" s="4" t="s">
        <v>0</v>
      </c>
      <c r="C8227" s="4"/>
    </row>
    <row r="8228" spans="1:3" ht="24" customHeight="1">
      <c r="A8228" s="4" t="str">
        <f ca="1">IFERROR(__xludf.DUMMYFUNCTION("""COMPUTED_VALUE"""),"हस्तोच्छ्राया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९७॥")</f>
        <v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v>
      </c>
      <c r="B8228" s="4" t="s">
        <v>18</v>
      </c>
      <c r="C8228" s="4"/>
    </row>
    <row r="8229" spans="1:3" ht="24" customHeight="1">
      <c r="A8229" s="4" t="str">
        <f ca="1">IFERROR(__xludf.DUMMYFUNCTION("""COMPUTED_VALUE"""),"सूर्येऽङ्गनासिंहधटेषु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९८॥")</f>
        <v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v>
      </c>
      <c r="B8229" s="4" t="s">
        <v>19</v>
      </c>
      <c r="C8229" s="4"/>
    </row>
    <row r="8230" spans="1:3" ht="24" customHeight="1">
      <c r="A8230" s="4" t="str">
        <f ca="1">IFERROR(__xludf.DUMMYFUNCTION("""COMPUTED_VALUE"""),"नास्यामृक्षं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९९॥")</f>
        <v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v>
      </c>
      <c r="B8230" s="4" t="s">
        <v>2</v>
      </c>
      <c r="C8230" s="4"/>
    </row>
    <row r="8231" spans="1:3" ht="24" customHeight="1">
      <c r="A8231" s="4" t="str">
        <f ca="1">IFERROR(__xludf.DUMMYFUNCTION("""COMPUTED_VALUE"""),"पिण्डीभूते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१००॥")</f>
        <v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v>
      </c>
      <c r="B8231" s="4" t="s">
        <v>17</v>
      </c>
      <c r="C8231" s="4"/>
    </row>
    <row r="8232" spans="1:3" ht="24" customHeight="1">
      <c r="A8232" s="4" t="str">
        <f ca="1">IFERROR(__xludf.DUMMYFUNCTION("""COMPUTED_VALUE"""),"अस्तं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१०१॥")</f>
        <v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v>
      </c>
      <c r="B8232" s="4" t="s">
        <v>0</v>
      </c>
      <c r="C8232" s="4"/>
    </row>
    <row r="8233" spans="1:3" ht="24" customHeight="1">
      <c r="A8233" s="4" t="str">
        <f ca="1">IFERROR(__xludf.DUMMYFUNCTION("""COMPUTED_VALUE"""),"मेषादिगेऽर्केऽष्टशरा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१०२॥")</f>
        <v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v>
      </c>
      <c r="B8233" s="4" t="s">
        <v>2</v>
      </c>
      <c r="C8233" s="4"/>
    </row>
    <row r="8234" spans="1:3" ht="24" customHeight="1">
      <c r="A8234" s="4" t="str">
        <f ca="1">IFERROR(__xludf.DUMMYFUNCTION("""COMPUTED_VALUE"""),"संक्रान्तियातघस्राद्यैर्मतिर्निघ्नी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१०३॥")</f>
        <v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v>
      </c>
      <c r="B8234" s="4" t="s">
        <v>0</v>
      </c>
      <c r="C8234" s="4"/>
    </row>
    <row r="8235" spans="1:3" ht="24" customHeight="1">
      <c r="A8235" s="4" t="str">
        <f ca="1">IFERROR(__xludf.DUMMYFUNCTION("""COMPUTED_VALUE"""),"तनोरिष्टांशकात्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१०४॥")</f>
        <v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v>
      </c>
      <c r="B8235" s="4" t="s">
        <v>1</v>
      </c>
      <c r="C8235" s="4"/>
    </row>
    <row r="8236" spans="1:3" ht="24" customHeight="1">
      <c r="A8236" s="4" t="str">
        <f ca="1">IFERROR(__xludf.DUMMYFUNCTION("""COMPUTED_VALUE"""),"अर्काल्लग्नात्सायनाद्भोग्यभुक्तैर्भागैर्निध्नात्स्वोदयात्खाग्निभक्तात्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१०५॥")</f>
        <v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v>
      </c>
      <c r="B8236" s="4" t="s">
        <v>5</v>
      </c>
      <c r="C8236" s="4"/>
    </row>
    <row r="8237" spans="1:3" ht="24" customHeight="1">
      <c r="A8237" s="4" t="str">
        <f ca="1">IFERROR(__xludf.DUMMYFUNCTION("""COMPUTED_VALUE"""),"चेल्लग्नाऽर्कौ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१०६॥")</f>
        <v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v>
      </c>
      <c r="B8237" s="4" t="s">
        <v>5</v>
      </c>
      <c r="C8237" s="4"/>
    </row>
    <row r="8238" spans="1:3" ht="24" customHeight="1">
      <c r="A8238" s="4" t="str">
        <f ca="1">IFERROR(__xludf.DUMMYFUNCTION("""COMPUTED_VALUE"""),"उत्पातान्सह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१०७॥")</f>
        <v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v>
      </c>
      <c r="B8238" s="4" t="s">
        <v>10</v>
      </c>
      <c r="C8238" s="4"/>
    </row>
    <row r="8239" spans="1:3" ht="24" customHeight="1">
      <c r="A8239" s="4" t="str">
        <f ca="1">IFERROR(__xludf.DUMMYFUNCTION("""COMPUTED_VALUE"""),"सेन्दुक्रूरखगोदयांशमुदयास्ताशुद्धिचण्डायुधान्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१०८॥")</f>
        <v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v>
      </c>
      <c r="B8239" s="4" t="s">
        <v>9</v>
      </c>
      <c r="C8239" s="4"/>
    </row>
    <row r="8240" spans="1:3" ht="24" customHeight="1">
      <c r="A8240" s="4" t="str">
        <f ca="1">IFERROR(__xludf.DUMMYFUNCTION("""COMPUTED_VALUE"""),"क्रूराक्रान्तविमुक्तभं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१०९॥")</f>
        <v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v>
      </c>
      <c r="B8240" s="4" t="s">
        <v>9</v>
      </c>
      <c r="C8240" s="4"/>
    </row>
    <row r="8241" spans="1:3" ht="24" customHeight="1">
      <c r="A8241" s="4" t="str">
        <f ca="1">IFERROR(__xludf.DUMMYFUNCTION("""COMPUTED_VALUE"""),"मेषादिराशिजवधूवरयोर्बटोश्च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११०॥")</f>
        <v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v>
      </c>
      <c r="B8241" s="4" t="s">
        <v>16</v>
      </c>
      <c r="C8241" s="4"/>
    </row>
    <row r="8242" spans="1:3" ht="24" customHeight="1">
      <c r="A8242" s="4" t="str">
        <f ca="1">IFERROR(__xludf.DUMMYFUNCTION("""COMPUTED_VALUE"""),"समाद्रिपञ्चाङ्कदिने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१॥")</f>
        <v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v>
      </c>
      <c r="B8242" s="4" t="s">
        <v>23</v>
      </c>
      <c r="C8242" s="4"/>
    </row>
    <row r="8243" spans="1:3" ht="24" customHeight="1">
      <c r="A8243" s="4" t="str">
        <f ca="1">IFERROR(__xludf.DUMMYFUNCTION("""COMPUTED_VALUE"""),"ध्रुवक्षिप्रमृदुश्रोत्रवसुमूलमघानिले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२॥")</f>
        <v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v>
      </c>
      <c r="B8243" s="4" t="s">
        <v>0</v>
      </c>
      <c r="C8243" s="4"/>
    </row>
    <row r="8244" spans="1:3" ht="24" customHeight="1">
      <c r="A8244" s="4" t="str">
        <f ca="1">IFERROR(__xludf.DUMMYFUNCTION("""COMPUTED_VALUE"""),"ज्येष्ठे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३॥")</f>
        <v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v>
      </c>
      <c r="B8244" s="4" t="s">
        <v>2</v>
      </c>
      <c r="C8244" s="4"/>
    </row>
    <row r="8245" spans="1:3" ht="24" customHeight="1">
      <c r="A8245" s="4" t="str">
        <f ca="1">IFERROR(__xludf.DUMMYFUNCTION("""COMPUTED_VALUE"""),"चरेदथौजहायने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१॥")</f>
        <v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v>
      </c>
      <c r="B8245" s="4" t="s">
        <v>1</v>
      </c>
      <c r="C8245" s="4"/>
    </row>
    <row r="8246" spans="1:3" ht="24" customHeight="1">
      <c r="A8246" s="4" t="str">
        <f ca="1">IFERROR(__xludf.DUMMYFUNCTION("""COMPUTED_VALUE"""),"दैत्येज्यो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२॥")</f>
        <v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v>
      </c>
      <c r="B8246" s="4" t="s">
        <v>6</v>
      </c>
      <c r="C8246" s="4"/>
    </row>
    <row r="8247" spans="1:3" ht="24" customHeight="1">
      <c r="A8247" s="4" t="str">
        <f ca="1">IFERROR(__xludf.DUMMYFUNCTION("""COMPUTED_VALUE"""),"नगरप्रवेशविषयाद्यपद्रवे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३॥")</f>
        <v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v>
      </c>
      <c r="B8247" s="4" t="s">
        <v>7</v>
      </c>
      <c r="C8247" s="4"/>
    </row>
    <row r="8248" spans="1:3" ht="24" customHeight="1">
      <c r="A8248" s="4" t="str">
        <f ca="1">IFERROR(__xludf.DUMMYFUNCTION("""COMPUTED_VALUE"""),"पित्र्ये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४॥")</f>
        <v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v>
      </c>
      <c r="B8248" s="4" t="s">
        <v>10</v>
      </c>
      <c r="C8248" s="4"/>
    </row>
    <row r="8249" spans="1:3" ht="24" customHeight="1">
      <c r="A8249" s="4" t="str">
        <f ca="1">IFERROR(__xludf.DUMMYFUNCTION("""COMPUTED_VALUE"""),"स्यादग्निहोत्रविधिरुत्तरगे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१॥")</f>
        <v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v>
      </c>
      <c r="B8249" s="4" t="s">
        <v>24</v>
      </c>
      <c r="C8249" s="4"/>
    </row>
    <row r="8250" spans="1:3" ht="24" customHeight="1">
      <c r="A8250" s="4" t="str">
        <f ca="1">IFERROR(__xludf.DUMMYFUNCTION("""COMPUTED_VALUE"""),"नो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२॥")</f>
        <v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v>
      </c>
      <c r="B8250" s="4" t="s">
        <v>1</v>
      </c>
      <c r="C8250" s="4"/>
    </row>
    <row r="8251" spans="1:3" ht="24" customHeight="1">
      <c r="A8251" s="4" t="str">
        <f ca="1">IFERROR(__xludf.DUMMYFUNCTION("""COMPUTED_VALUE"""),"चापे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३॥")</f>
        <v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v>
      </c>
      <c r="B8251" s="4" t="s">
        <v>4</v>
      </c>
      <c r="C8251" s="4"/>
    </row>
    <row r="8252" spans="1:3" ht="24" customHeight="1">
      <c r="A8252" s="4" t="str">
        <f ca="1">IFERROR(__xludf.DUMMYFUNCTION("""COMPUTED_VALUE"""),"राजाभिषेकः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१॥")</f>
        <v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v>
      </c>
      <c r="B8252" s="4" t="s">
        <v>16</v>
      </c>
      <c r="C8252" s="4"/>
    </row>
    <row r="8253" spans="1:3" ht="24" customHeight="1">
      <c r="A8253" s="4" t="str">
        <f ca="1">IFERROR(__xludf.DUMMYFUNCTION("""COMPUTED_VALUE"""),"शाक्रश्रवः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२॥")</f>
        <v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v>
      </c>
      <c r="B8253" s="4" t="s">
        <v>2</v>
      </c>
      <c r="C8253" s="4"/>
    </row>
    <row r="8254" spans="1:3" ht="24" customHeight="1">
      <c r="A8254" s="4" t="str">
        <f ca="1">IFERROR(__xludf.DUMMYFUNCTION("""COMPUTED_VALUE"""),"पापैस्तनौ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३॥")</f>
        <v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v>
      </c>
      <c r="B8254" s="4" t="s">
        <v>24</v>
      </c>
      <c r="C8254" s="4"/>
    </row>
    <row r="8255" spans="1:3" ht="24" customHeight="1">
      <c r="A8255" s="4" t="str">
        <f ca="1">IFERROR(__xludf.DUMMYFUNCTION("""COMPUTED_VALUE"""),"गुरुर्लग्नकोणे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४॥")</f>
        <v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v>
      </c>
      <c r="B8255" s="4" t="s">
        <v>5</v>
      </c>
      <c r="C8255" s="4"/>
    </row>
    <row r="8256" spans="1:3" ht="24" customHeight="1">
      <c r="A8256" s="4" t="str">
        <f ca="1">IFERROR(__xludf.DUMMYFUNCTION("""COMPUTED_VALUE"""),"यात्रायां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१॥")</f>
        <v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v>
      </c>
      <c r="B8256" s="4" t="s">
        <v>5</v>
      </c>
      <c r="C8256" s="4"/>
    </row>
    <row r="8257" spans="1:3" ht="24" customHeight="1">
      <c r="A8257" s="4" t="str">
        <f ca="1">IFERROR(__xludf.DUMMYFUNCTION("""COMPUTED_VALUE"""),"जननराशितनू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२॥")</f>
        <v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v>
      </c>
      <c r="B8257" s="4" t="s">
        <v>2</v>
      </c>
      <c r="C8257" s="4"/>
    </row>
    <row r="8258" spans="1:3" ht="24" customHeight="1">
      <c r="A8258" s="4" t="str">
        <f ca="1">IFERROR(__xludf.DUMMYFUNCTION("""COMPUTED_VALUE"""),"रिपुजन्मलग्नभमथाधिपौ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३॥")</f>
        <v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v>
      </c>
      <c r="B8258" s="4" t="s">
        <v>5</v>
      </c>
      <c r="C8258" s="4"/>
    </row>
    <row r="8259" spans="1:3" ht="24" customHeight="1">
      <c r="A8259" s="4" t="str">
        <f ca="1">IFERROR(__xludf.DUMMYFUNCTION("""COMPUTED_VALUE"""),"यदि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४॥")</f>
        <v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v>
      </c>
      <c r="B8259" s="4" t="s">
        <v>9</v>
      </c>
      <c r="C8259" s="4"/>
    </row>
    <row r="8260" spans="1:3" ht="24" customHeight="1">
      <c r="A8260" s="4" t="str">
        <f ca="1">IFERROR(__xludf.DUMMYFUNCTION("""COMPUTED_VALUE"""),"विधुकुजयुतलग्ने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५॥")</f>
        <v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v>
      </c>
      <c r="B8260" s="4" t="s">
        <v>1</v>
      </c>
      <c r="C8260" s="4"/>
    </row>
    <row r="8261" spans="1:3" ht="24" customHeight="1">
      <c r="A8261" s="4" t="str">
        <f ca="1">IFERROR(__xludf.DUMMYFUNCTION("""COMPUTED_VALUE"""),"त्रिकोणे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६॥")</f>
        <v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v>
      </c>
      <c r="B8261" s="4" t="s">
        <v>16</v>
      </c>
      <c r="C8261" s="4"/>
    </row>
    <row r="8262" spans="1:3" ht="24" customHeight="1">
      <c r="A8262" s="4" t="str">
        <f ca="1">IFERROR(__xludf.DUMMYFUNCTION("""COMPUTED_VALUE"""),"प्रश्ने गम्यदिगीशात्खेटः पञ्चमगो यः । बोभूयाद्बलयुक्तः स्वामाशां नयतेऽसौ ॥ मुहूर्त.यात्राप्रकरणम् ७॥")</f>
        <v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v>
      </c>
      <c r="B8262" s="4" t="s">
        <v>18</v>
      </c>
      <c r="C8262" s="4"/>
    </row>
    <row r="8263" spans="1:3" ht="24" customHeight="1">
      <c r="A8263" s="4" t="str">
        <f ca="1">IFERROR(__xludf.DUMMYFUNCTION("""COMPUTED_VALUE"""),"धनुर्मेषसिंहेषु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८॥")</f>
        <v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v>
      </c>
      <c r="B8263" s="4" t="s">
        <v>23</v>
      </c>
      <c r="C8263" s="4"/>
    </row>
    <row r="8264" spans="1:3" ht="24" customHeight="1">
      <c r="A8264" s="4" t="str">
        <f ca="1">IFERROR(__xludf.DUMMYFUNCTION("""COMPUTED_VALUE"""),"न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९॥")</f>
        <v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v>
      </c>
      <c r="B8264" s="4" t="s">
        <v>2</v>
      </c>
      <c r="C8264" s="4"/>
    </row>
    <row r="8265" spans="1:3" ht="24" customHeight="1">
      <c r="A8265" s="4" t="str">
        <f ca="1">IFERROR(__xludf.DUMMYFUNCTION("""COMPUTED_VALUE"""),"न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१०॥")</f>
        <v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v>
      </c>
      <c r="B8265" s="4" t="s">
        <v>20</v>
      </c>
      <c r="C8265" s="4"/>
    </row>
    <row r="8266" spans="1:3" ht="24" customHeight="1">
      <c r="A8266" s="4" t="str">
        <f ca="1">IFERROR(__xludf.DUMMYFUNCTION("""COMPUTED_VALUE"""),"पूर्वाह्णे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११॥")</f>
        <v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v>
      </c>
      <c r="B8266" s="4" t="s">
        <v>6</v>
      </c>
      <c r="C8266" s="4"/>
    </row>
    <row r="8267" spans="1:3" ht="24" customHeight="1">
      <c r="A8267" s="4" t="str">
        <f ca="1">IFERROR(__xludf.DUMMYFUNCTION("""COMPUTED_VALUE"""),"पूर्वाग्निपित्र्यान्तकतारकाणां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१२॥")</f>
        <v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v>
      </c>
      <c r="B8267" s="4" t="s">
        <v>16</v>
      </c>
      <c r="C8267" s="4"/>
    </row>
    <row r="8268" spans="1:3" ht="24" customHeight="1">
      <c r="A8268" s="4" t="str">
        <f ca="1">IFERROR(__xludf.DUMMYFUNCTION("""COMPUTED_VALUE"""),"पूर्वार्धमाग्नेयमघानिलानां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१३॥")</f>
        <v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v>
      </c>
      <c r="B8268" s="4" t="s">
        <v>1</v>
      </c>
      <c r="C8268" s="4"/>
    </row>
    <row r="8269" spans="1:3" ht="24" customHeight="1">
      <c r="A8269" s="4" t="str">
        <f ca="1">IFERROR(__xludf.DUMMYFUNCTION("""COMPUTED_VALUE"""),"तमोभुक्तताराः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१४॥")</f>
        <v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v>
      </c>
      <c r="B8269" s="4" t="s">
        <v>1</v>
      </c>
      <c r="C8269" s="4"/>
    </row>
    <row r="8270" spans="1:3" ht="24" customHeight="1">
      <c r="A8270" s="4" t="str">
        <f ca="1">IFERROR(__xludf.DUMMYFUNCTION("""COMPUTED_VALUE"""),"मार्तण्डे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१५॥")</f>
        <v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v>
      </c>
      <c r="B8270" s="4" t="s">
        <v>15</v>
      </c>
      <c r="C8270" s="4"/>
    </row>
    <row r="8271" spans="1:3" ht="24" customHeight="1">
      <c r="A8271" s="4" t="str">
        <f ca="1">IFERROR(__xludf.DUMMYFUNCTION("""COMPUTED_VALUE"""),"स्वात्यन्तकाहिवसुपौष्णकरानुराधा-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१६॥")</f>
        <v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v>
      </c>
      <c r="B8271" s="4" t="s">
        <v>5</v>
      </c>
      <c r="C8271" s="4"/>
    </row>
    <row r="8272" spans="1:3" ht="24" customHeight="1">
      <c r="A8272" s="4" t="str">
        <f ca="1">IFERROR(__xludf.DUMMYFUNCTION("""COMPUTED_VALUE"""),"पूर्वाश्वीज्यमघेन्दुकर्णदहनद्वीशेन्द्रचित्रास्तथा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१७॥")</f>
        <v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v>
      </c>
      <c r="B8272" s="4" t="s">
        <v>2</v>
      </c>
      <c r="C8272" s="4"/>
    </row>
    <row r="8273" spans="1:3" ht="24" customHeight="1">
      <c r="A8273" s="4" t="str">
        <f ca="1">IFERROR(__xludf.DUMMYFUNCTION("""COMPUTED_VALUE"""),"स्युर्धर्मे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१८॥")</f>
        <v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v>
      </c>
      <c r="B8273" s="4" t="s">
        <v>24</v>
      </c>
      <c r="C8273" s="4"/>
    </row>
    <row r="8274" spans="1:3" ht="24" customHeight="1">
      <c r="A8274" s="4" t="str">
        <f ca="1">IFERROR(__xludf.DUMMYFUNCTION("""COMPUTED_VALUE"""),"धर्मगे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१९॥")</f>
        <v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v>
      </c>
      <c r="B8274" s="4" t="s">
        <v>2</v>
      </c>
      <c r="C8274" s="4"/>
    </row>
    <row r="8275" spans="1:3" ht="24" customHeight="1">
      <c r="A8275" s="4" t="str">
        <f ca="1">IFERROR(__xludf.DUMMYFUNCTION("""COMPUTED_VALUE"""),"पौषे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२०॥")</f>
        <v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v>
      </c>
      <c r="B8275" s="4" t="s">
        <v>5</v>
      </c>
      <c r="C8275" s="4"/>
    </row>
    <row r="8276" spans="1:3" ht="24" customHeight="1">
      <c r="A8276" s="4" t="str">
        <f ca="1">IFERROR(__xludf.DUMMYFUNCTION("""COMPUTED_VALUE"""),"सौख्यं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२१॥")</f>
        <v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v>
      </c>
      <c r="B8276" s="4" t="s">
        <v>6</v>
      </c>
      <c r="C8276" s="4"/>
    </row>
    <row r="8277" spans="1:3" ht="24" customHeight="1">
      <c r="A8277" s="4" t="str">
        <f ca="1">IFERROR(__xludf.DUMMYFUNCTION("""COMPUTED_VALUE"""),"लाभो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२२॥")</f>
        <v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v>
      </c>
      <c r="B8277" s="4" t="s">
        <v>16</v>
      </c>
      <c r="C8277" s="4"/>
    </row>
    <row r="8278" spans="1:3" ht="24" customHeight="1">
      <c r="A8278" s="4" t="str">
        <f ca="1">IFERROR(__xludf.DUMMYFUNCTION("""COMPUTED_VALUE"""),"सौख्यं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२३॥")</f>
        <v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v>
      </c>
      <c r="B8278" s="4" t="s">
        <v>23</v>
      </c>
      <c r="C8278" s="4"/>
    </row>
    <row r="8279" spans="1:3" ht="24" customHeight="1">
      <c r="A8279" s="4" t="str">
        <f ca="1">IFERROR(__xludf.DUMMYFUNCTION("""COMPUTED_VALUE"""),"तिथ्यृक्षवारयुतिरद्रिगजाग्नितष्टा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२४॥")</f>
        <v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v>
      </c>
      <c r="B8279" s="4" t="s">
        <v>2</v>
      </c>
      <c r="C8279" s="4"/>
    </row>
    <row r="8280" spans="1:3" ht="24" customHeight="1">
      <c r="A8280" s="4" t="str">
        <f ca="1">IFERROR(__xludf.DUMMYFUNCTION("""COMPUTED_VALUE"""),"रवेर्भतोऽब्जभोन्मितिर्नगावशेषिता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२५॥")</f>
        <v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v>
      </c>
      <c r="B8280" s="4" t="s">
        <v>4</v>
      </c>
      <c r="C8280" s="4"/>
    </row>
    <row r="8281" spans="1:3" ht="24" customHeight="1">
      <c r="A8281" s="4" t="str">
        <f ca="1">IFERROR(__xludf.DUMMYFUNCTION("""COMPUTED_VALUE"""),"शशाङ्कभं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२६॥")</f>
        <v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v>
      </c>
      <c r="B8281" s="4" t="s">
        <v>2</v>
      </c>
      <c r="C8281" s="4"/>
    </row>
    <row r="8282" spans="1:3" ht="24" customHeight="1">
      <c r="A8282" s="4" t="str">
        <f ca="1">IFERROR(__xludf.DUMMYFUNCTION("""COMPUTED_VALUE"""),"भूपञ्चाङ्कद्व्यङ्गदिग्वह्निसप्तवेदाष्टेशार्काश्च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२७॥")</f>
        <v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v>
      </c>
      <c r="B8282" s="4" t="s">
        <v>5</v>
      </c>
      <c r="C8282" s="4"/>
    </row>
    <row r="8283" spans="1:3" ht="24" customHeight="1">
      <c r="A8283" s="4" t="str">
        <f ca="1">IFERROR(__xludf.DUMMYFUNCTION("""COMPUTED_VALUE"""),"आग्नेयत्वाष्ट्रजलपपित्र्यवासवरौद्रभे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२८॥")</f>
        <v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v>
      </c>
      <c r="B8283" s="4" t="s">
        <v>12</v>
      </c>
      <c r="C8283" s="4"/>
    </row>
    <row r="8284" spans="1:3" ht="24" customHeight="1">
      <c r="A8284" s="4" t="str">
        <f ca="1">IFERROR(__xludf.DUMMYFUNCTION("""COMPUTED_VALUE"""),"रुषद्व्यग्न्यग्निभूरामद्व्यब्ध्यग्न्यब्धियुगाग्नयः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२९॥")</f>
        <v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v>
      </c>
      <c r="B8284" s="4" t="s">
        <v>6</v>
      </c>
      <c r="C8284" s="4"/>
    </row>
    <row r="8285" spans="1:3" ht="24" customHeight="1">
      <c r="A8285" s="4" t="str">
        <f ca="1">IFERROR(__xludf.DUMMYFUNCTION("""COMPUTED_VALUE"""),"गोस्त्रीझषे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३०॥")</f>
        <v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v>
      </c>
      <c r="B8285" s="4" t="s">
        <v>2</v>
      </c>
      <c r="C8285" s="4"/>
    </row>
    <row r="8286" spans="1:3" ht="24" customHeight="1">
      <c r="A8286" s="4" t="str">
        <f ca="1">IFERROR(__xludf.DUMMYFUNCTION("""COMPUTED_VALUE"""),"नक्रे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३१॥")</f>
        <v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v>
      </c>
      <c r="B8286" s="4" t="s">
        <v>2</v>
      </c>
      <c r="C8286" s="4"/>
    </row>
    <row r="8287" spans="1:3" ht="24" customHeight="1">
      <c r="A8287" s="4" t="str">
        <f ca="1">IFERROR(__xludf.DUMMYFUNCTION("""COMPUTED_VALUE"""),"मघाकरस्वातिमैत्रमूलश्रुत्यम्बुपान्त्यभम्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३२॥")</f>
        <v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v>
      </c>
      <c r="B8287" s="4" t="s">
        <v>18</v>
      </c>
      <c r="C8287" s="4"/>
    </row>
    <row r="8288" spans="1:3" ht="24" customHeight="1">
      <c r="A8288" s="4" t="str">
        <f ca="1">IFERROR(__xludf.DUMMYFUNCTION("""COMPUTED_VALUE"""),"भूमिद्व्यब्ध्यद्रिदिक्सूर्याङ्गाष्टाङ्केशाग्निसायकाः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३३॥")</f>
        <v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v>
      </c>
      <c r="B8288" s="4" t="s">
        <v>20</v>
      </c>
      <c r="C8288" s="4"/>
    </row>
    <row r="8289" spans="1:3" ht="24" customHeight="1">
      <c r="A8289" s="4" t="str">
        <f ca="1">IFERROR(__xludf.DUMMYFUNCTION("""COMPUTED_VALUE"""),"नवभूम्यः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३४॥")</f>
        <v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v>
      </c>
      <c r="B8289" s="4" t="s">
        <v>2</v>
      </c>
      <c r="C8289" s="4"/>
    </row>
    <row r="8290" spans="1:3" ht="24" customHeight="1">
      <c r="A8290" s="4" t="str">
        <f ca="1">IFERROR(__xludf.DUMMYFUNCTION("""COMPUTED_VALUE"""),"कौबेरीतो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३५॥")</f>
        <v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v>
      </c>
      <c r="B8290" s="4" t="s">
        <v>5</v>
      </c>
      <c r="C8290" s="4"/>
    </row>
    <row r="8291" spans="1:3" ht="24" customHeight="1">
      <c r="A8291" s="4" t="str">
        <f ca="1">IFERROR(__xludf.DUMMYFUNCTION("""COMPUTED_VALUE"""),"भानि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३६॥")</f>
        <v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v>
      </c>
      <c r="B8291" s="4" t="s">
        <v>5</v>
      </c>
      <c r="C8291" s="4"/>
    </row>
    <row r="8292" spans="1:3" ht="24" customHeight="1">
      <c r="A8292" s="4" t="str">
        <f ca="1">IFERROR(__xludf.DUMMYFUNCTION("""COMPUTED_VALUE"""),"अग्नेर्दिशं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३७॥")</f>
        <v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v>
      </c>
      <c r="B8292" s="4" t="s">
        <v>2</v>
      </c>
      <c r="C8292" s="4"/>
    </row>
    <row r="8293" spans="1:3" ht="24" customHeight="1">
      <c r="A8293" s="4" t="str">
        <f ca="1">IFERROR(__xludf.DUMMYFUNCTION("""COMPUTED_VALUE"""),"मैत्रार्कपुष्याश्विनभैर्निरुक्ता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३८॥")</f>
        <v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v>
      </c>
      <c r="B8293" s="4" t="s">
        <v>20</v>
      </c>
      <c r="C8293" s="4"/>
    </row>
    <row r="8294" spans="1:3" ht="24" customHeight="1">
      <c r="A8294" s="4" t="str">
        <f ca="1">IFERROR(__xludf.DUMMYFUNCTION("""COMPUTED_VALUE"""),"सौम्यायने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३९॥")</f>
        <v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v>
      </c>
      <c r="B8294" s="4" t="s">
        <v>4</v>
      </c>
      <c r="C8294" s="4"/>
    </row>
    <row r="8295" spans="1:3" ht="24" customHeight="1">
      <c r="A8295" s="4" t="str">
        <f ca="1">IFERROR(__xludf.DUMMYFUNCTION("""COMPUTED_VALUE"""),"उदेति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४०॥")</f>
        <v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v>
      </c>
      <c r="B8295" s="4" t="s">
        <v>5</v>
      </c>
      <c r="C8295" s="4"/>
    </row>
    <row r="8296" spans="1:3" ht="24" customHeight="1">
      <c r="A8296" s="4" t="str">
        <f ca="1">IFERROR(__xludf.DUMMYFUNCTION("""COMPUTED_VALUE"""),"वक्रास्तनीचोपगते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४१॥")</f>
        <v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v>
      </c>
      <c r="B8296" s="4" t="s">
        <v>3</v>
      </c>
      <c r="C8296" s="4"/>
    </row>
    <row r="8297" spans="1:3" ht="24" customHeight="1">
      <c r="A8297" s="4" t="str">
        <f ca="1">IFERROR(__xludf.DUMMYFUNCTION("""COMPUTED_VALUE"""),"यावच्चन्द्रः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४२॥")</f>
        <v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v>
      </c>
      <c r="B8297" s="4" t="s">
        <v>5</v>
      </c>
      <c r="C8297" s="4"/>
    </row>
    <row r="8298" spans="1:3" ht="24" customHeight="1">
      <c r="A8298" s="4" t="str">
        <f ca="1">IFERROR(__xludf.DUMMYFUNCTION("""COMPUTED_VALUE"""),"कुम्भकुम्भांशकौ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४३॥")</f>
        <v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v>
      </c>
      <c r="B8298" s="4" t="s">
        <v>17</v>
      </c>
      <c r="C8298" s="4"/>
    </row>
    <row r="8299" spans="1:3" ht="24" customHeight="1">
      <c r="A8299" s="4" t="str">
        <f ca="1">IFERROR(__xludf.DUMMYFUNCTION("""COMPUTED_VALUE"""),"अथ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४४॥")</f>
        <v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v>
      </c>
      <c r="B8299" s="4" t="s">
        <v>12</v>
      </c>
      <c r="C8299" s="4"/>
    </row>
    <row r="8300" spans="1:3" ht="24" customHeight="1">
      <c r="A8300" s="4" t="str">
        <f ca="1">IFERROR(__xludf.DUMMYFUNCTION("""COMPUTED_VALUE"""),"जन्मराशितनुतोऽष्टमेऽथवा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४५॥")</f>
        <v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v>
      </c>
      <c r="B8300" s="4" t="s">
        <v>17</v>
      </c>
      <c r="C8300" s="4"/>
    </row>
    <row r="8301" spans="1:3" ht="24" customHeight="1">
      <c r="A8301" s="4" t="str">
        <f ca="1">IFERROR(__xludf.DUMMYFUNCTION("""COMPUTED_VALUE"""),"लग्ने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४६॥")</f>
        <v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v>
      </c>
      <c r="B8301" s="4" t="s">
        <v>5</v>
      </c>
      <c r="C8301" s="4"/>
    </row>
    <row r="8302" spans="1:3" ht="24" customHeight="1">
      <c r="A8302" s="4" t="str">
        <f ca="1">IFERROR(__xludf.DUMMYFUNCTION("""COMPUTED_VALUE"""),"द्विग्द्वारभे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४७॥")</f>
        <v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v>
      </c>
      <c r="B8302" s="4" t="s">
        <v>1</v>
      </c>
      <c r="C8302" s="4"/>
    </row>
    <row r="8303" spans="1:3" ht="24" customHeight="1">
      <c r="A8303" s="4" t="str">
        <f ca="1">IFERROR(__xludf.DUMMYFUNCTION("""COMPUTED_VALUE"""),"राशिः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४८॥")</f>
        <v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v>
      </c>
      <c r="B8303" s="4" t="s">
        <v>23</v>
      </c>
      <c r="C8303" s="4"/>
    </row>
    <row r="8304" spans="1:3" ht="24" customHeight="1">
      <c r="A8304" s="4" t="str">
        <f ca="1">IFERROR(__xludf.DUMMYFUNCTION("""COMPUTED_VALUE"""),"सूर्यः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४९॥")</f>
        <v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v>
      </c>
      <c r="B8304" s="4" t="s">
        <v>23</v>
      </c>
      <c r="C8304" s="4"/>
    </row>
    <row r="8305" spans="1:3" ht="24" customHeight="1">
      <c r="A8305" s="4" t="str">
        <f ca="1">IFERROR(__xludf.DUMMYFUNCTION("""COMPUTED_VALUE"""),"केन्द्रे दिगधीशे गच्छेदवनीशः । लालाटिनि तस्मिन्नेयादरिसेनाम् ॥ मुहूर्त.यात्राप्रकरणम् ५०॥")</f>
        <v>केन्द्रे दिगधीशे गच्छेदवनीशः । लालाटिनि तस्मिन्नेयादरिसेनाम् ॥ मुहूर्त.यात्राप्रकरणम् ५०॥</v>
      </c>
      <c r="B8305" s="4" t="s">
        <v>1</v>
      </c>
      <c r="C8305" s="4"/>
    </row>
    <row r="8306" spans="1:3" ht="24" customHeight="1">
      <c r="A8306" s="4" t="str">
        <f ca="1">IFERROR(__xludf.DUMMYFUNCTION("""COMPUTED_VALUE"""),"प्राच्यादौ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५१॥")</f>
        <v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v>
      </c>
      <c r="B8306" s="4" t="s">
        <v>2</v>
      </c>
      <c r="C8306" s="4"/>
    </row>
    <row r="8307" spans="1:3" ht="24" customHeight="1">
      <c r="A8307" s="4" t="str">
        <f ca="1">IFERROR(__xludf.DUMMYFUNCTION("""COMPUTED_VALUE"""),"मृगे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५२॥")</f>
        <v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v>
      </c>
      <c r="B8307" s="4" t="s">
        <v>10</v>
      </c>
      <c r="C8307" s="4"/>
    </row>
    <row r="8308" spans="1:3" ht="24" customHeight="1">
      <c r="A8308" s="4" t="str">
        <f ca="1">IFERROR(__xludf.DUMMYFUNCTION("""COMPUTED_VALUE"""),"प्रस्थाय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५३॥")</f>
        <v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v>
      </c>
      <c r="B8308" s="4" t="s">
        <v>8</v>
      </c>
      <c r="C8308" s="4"/>
    </row>
    <row r="8309" spans="1:3" ht="24" customHeight="1">
      <c r="A8309" s="4" t="str">
        <f ca="1">IFERROR(__xludf.DUMMYFUNCTION("""COMPUTED_VALUE"""),"उषःकालो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५४॥")</f>
        <v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v>
      </c>
      <c r="B8309" s="4" t="s">
        <v>3</v>
      </c>
      <c r="C8309" s="4"/>
    </row>
    <row r="8310" spans="1:3" ht="24" customHeight="1">
      <c r="A8310" s="4" t="str">
        <f ca="1">IFERROR(__xludf.DUMMYFUNCTION("""COMPUTED_VALUE"""),"लग्नाद्भावाः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५५॥")</f>
        <v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v>
      </c>
      <c r="B8310" s="4" t="s">
        <v>5</v>
      </c>
      <c r="C8310" s="4"/>
    </row>
    <row r="8311" spans="1:3" ht="24" customHeight="1">
      <c r="A8311" s="4" t="str">
        <f ca="1">IFERROR(__xludf.DUMMYFUNCTION("""COMPUTED_VALUE"""),"केन्द्रे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५६॥")</f>
        <v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v>
      </c>
      <c r="B8311" s="4" t="s">
        <v>0</v>
      </c>
      <c r="C8311" s="4"/>
    </row>
    <row r="8312" spans="1:3" ht="24" customHeight="1">
      <c r="A8312" s="4" t="str">
        <f ca="1">IFERROR(__xludf.DUMMYFUNCTION("""COMPUTED_VALUE"""),"योगात्सिद्धिर्धरणिपतीनामृक्षगुणैरपि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५७॥")</f>
        <v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v>
      </c>
      <c r="B8312" s="4" t="s">
        <v>1</v>
      </c>
      <c r="C8312" s="4"/>
    </row>
    <row r="8313" spans="1:3" ht="24" customHeight="1">
      <c r="A8313" s="4" t="str">
        <f ca="1">IFERROR(__xludf.DUMMYFUNCTION("""COMPUTED_VALUE"""),"सहजे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५८॥")</f>
        <v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v>
      </c>
      <c r="B8313" s="4" t="s">
        <v>9</v>
      </c>
      <c r="C8313" s="4"/>
    </row>
    <row r="8314" spans="1:3" ht="24" customHeight="1">
      <c r="A8314" s="4" t="str">
        <f ca="1">IFERROR(__xludf.DUMMYFUNCTION("""COMPUTED_VALUE"""),"भ्रातरि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५९॥")</f>
        <v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v>
      </c>
      <c r="B8314" s="4" t="s">
        <v>0</v>
      </c>
      <c r="C8314" s="4"/>
    </row>
    <row r="8315" spans="1:3" ht="24" customHeight="1">
      <c r="A8315" s="4" t="str">
        <f ca="1">IFERROR(__xludf.DUMMYFUNCTION("""COMPUTED_VALUE"""),"तनौ जीव इन्दुर्मृतौ वैरिगोऽर्कः । प्रयातो महीन्द्रो जयत्येव शत्रून् ॥ मुहूर्त.यात्राप्रकरणम् ६०॥")</f>
        <v>तनौ जीव इन्दुर्मृतौ वैरिगोऽर्कः । प्रयातो महीन्द्रो जयत्येव शत्रून् ॥ मुहूर्त.यात्राप्रकरणम् ६०॥</v>
      </c>
      <c r="B8315" s="4" t="s">
        <v>0</v>
      </c>
      <c r="C8315" s="4"/>
    </row>
    <row r="8316" spans="1:3" ht="24" customHeight="1">
      <c r="A8316" s="4" t="str">
        <f ca="1">IFERROR(__xludf.DUMMYFUNCTION("""COMPUTED_VALUE"""),"लग्नगतः स्याद् देवपुरोधाः । लाभधनस्थैः शेषनभोगैः ॥ मुहूर्त.यात्राप्रकरणम् ६१॥")</f>
        <v>लग्नगतः स्याद् देवपुरोधाः । लाभधनस्थैः शेषनभोगैः ॥ मुहूर्त.यात्राप्रकरणम् ६१॥</v>
      </c>
      <c r="B8316" s="4" t="s">
        <v>15</v>
      </c>
      <c r="C8316" s="4"/>
    </row>
    <row r="8317" spans="1:3" ht="24" customHeight="1">
      <c r="A8317" s="4" t="str">
        <f ca="1">IFERROR(__xludf.DUMMYFUNCTION("""COMPUTED_VALUE"""),"द्यूने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६२॥")</f>
        <v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v>
      </c>
      <c r="B8317" s="4" t="s">
        <v>24</v>
      </c>
      <c r="C8317" s="4"/>
    </row>
    <row r="8318" spans="1:3" ht="24" customHeight="1">
      <c r="A8318" s="4" t="str">
        <f ca="1">IFERROR(__xludf.DUMMYFUNCTION("""COMPUTED_VALUE"""),"वित्तगतः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६३॥")</f>
        <v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v>
      </c>
      <c r="B8318" s="4" t="s">
        <v>4</v>
      </c>
      <c r="C8318" s="4"/>
    </row>
    <row r="8319" spans="1:3" ht="24" customHeight="1">
      <c r="A8319" s="4" t="str">
        <f ca="1">IFERROR(__xludf.DUMMYFUNCTION("""COMPUTED_VALUE"""),"उदये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६४॥")</f>
        <v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v>
      </c>
      <c r="B8319" s="4" t="s">
        <v>2</v>
      </c>
      <c r="C8319" s="4"/>
    </row>
    <row r="8320" spans="1:3" ht="24" customHeight="1">
      <c r="A8320" s="4" t="str">
        <f ca="1">IFERROR(__xludf.DUMMYFUNCTION("""COMPUTED_VALUE"""),"तनौ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६५॥")</f>
        <v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v>
      </c>
      <c r="B8320" s="4" t="s">
        <v>2</v>
      </c>
      <c r="C8320" s="4"/>
    </row>
    <row r="8321" spans="1:3" ht="24" customHeight="1">
      <c r="A8321" s="4" t="str">
        <f ca="1">IFERROR(__xludf.DUMMYFUNCTION("""COMPUTED_VALUE"""),"समुदयगे विबुधगुरौ मदनगते हिमकिरणे । हिबुकगतौ बुधभृगुजौ सहजगताः खलखचराः ॥ मुहूर्त.यात्राप्रकरणम् ६६॥")</f>
        <v>समुदयगे विबुधगुरौ मदनगते हिमकिरणे । हिबुकगतौ बुधभृगुजौ सहजगताः खलखचराः ॥ मुहूर्त.यात्राप्रकरणम् ६६॥</v>
      </c>
      <c r="B8321" s="4" t="s">
        <v>0</v>
      </c>
      <c r="C8321" s="4"/>
    </row>
    <row r="8322" spans="1:3" ht="24" customHeight="1">
      <c r="A8322" s="4" t="str">
        <f ca="1">IFERROR(__xludf.DUMMYFUNCTION("""COMPUTED_VALUE"""),"त्रिदशगुरुस्तनुगो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६७॥")</f>
        <v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v>
      </c>
      <c r="B8322" s="4" t="s">
        <v>3</v>
      </c>
      <c r="C8322" s="4"/>
    </row>
    <row r="8323" spans="1:3" ht="24" customHeight="1">
      <c r="A8323" s="4" t="str">
        <f ca="1">IFERROR(__xludf.DUMMYFUNCTION("""COMPUTED_VALUE"""),"देवगुरौ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६८॥")</f>
        <v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v>
      </c>
      <c r="B8323" s="4" t="s">
        <v>16</v>
      </c>
      <c r="C8323" s="4"/>
    </row>
    <row r="8324" spans="1:3" ht="24" customHeight="1">
      <c r="A8324" s="4" t="str">
        <f ca="1">IFERROR(__xludf.DUMMYFUNCTION("""COMPUTED_VALUE"""),"हिमकिरणसुतो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६९॥")</f>
        <v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v>
      </c>
      <c r="B8324" s="4" t="s">
        <v>12</v>
      </c>
      <c r="C8324" s="4"/>
    </row>
    <row r="8325" spans="1:3" ht="24" customHeight="1">
      <c r="A8325" s="4" t="str">
        <f ca="1">IFERROR(__xludf.DUMMYFUNCTION("""COMPUTED_VALUE"""),"अशुभखगैरनवाष्टमदस्थैर्हिबुकसहोदरलाभगृहस्थः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७०॥")</f>
        <v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v>
      </c>
      <c r="B8325" s="4" t="s">
        <v>15</v>
      </c>
      <c r="C8325" s="4"/>
    </row>
    <row r="8326" spans="1:3" ht="24" customHeight="1">
      <c r="A8326" s="4" t="str">
        <f ca="1">IFERROR(__xludf.DUMMYFUNCTION("""COMPUTED_VALUE"""),"रिपुलग्नकर्महिबुके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७१॥")</f>
        <v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v>
      </c>
      <c r="B8326" s="4" t="s">
        <v>0</v>
      </c>
      <c r="C8326" s="4"/>
    </row>
    <row r="8327" spans="1:3" ht="24" customHeight="1">
      <c r="A8327" s="4" t="str">
        <f ca="1">IFERROR(__xludf.DUMMYFUNCTION("""COMPUTED_VALUE"""),"लग्ने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७२॥")</f>
        <v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v>
      </c>
      <c r="B8327" s="4" t="s">
        <v>5</v>
      </c>
      <c r="C8327" s="4"/>
    </row>
    <row r="8328" spans="1:3" ht="24" customHeight="1">
      <c r="A8328" s="4" t="str">
        <f ca="1">IFERROR(__xludf.DUMMYFUNCTION("""COMPUTED_VALUE"""),"रिपुतनुनिधने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७३॥")</f>
        <v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v>
      </c>
      <c r="B8328" s="4" t="s">
        <v>12</v>
      </c>
      <c r="C8328" s="4"/>
    </row>
    <row r="8329" spans="1:3" ht="24" customHeight="1">
      <c r="A8329" s="4" t="str">
        <f ca="1">IFERROR(__xludf.DUMMYFUNCTION("""COMPUTED_VALUE"""),"सितजीवभौमबुधभानुतनूजास्तनुमन्मथारिहिबुकत्रिगृहे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७४॥")</f>
        <v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v>
      </c>
      <c r="B8329" s="4" t="s">
        <v>23</v>
      </c>
      <c r="C8329" s="4"/>
    </row>
    <row r="8330" spans="1:3" ht="24" customHeight="1">
      <c r="A8330" s="4" t="str">
        <f ca="1">IFERROR(__xludf.DUMMYFUNCTION("""COMPUTED_VALUE"""),"सहजे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७५॥")</f>
        <v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v>
      </c>
      <c r="B8330" s="4" t="s">
        <v>2</v>
      </c>
      <c r="C8330" s="4"/>
    </row>
    <row r="8331" spans="1:3" ht="24" customHeight="1">
      <c r="A8331" s="4" t="str">
        <f ca="1">IFERROR(__xludf.DUMMYFUNCTION("""COMPUTED_VALUE"""),"योगे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७६॥")</f>
        <v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v>
      </c>
      <c r="B8331" s="4" t="s">
        <v>3</v>
      </c>
      <c r="C8331" s="4"/>
    </row>
    <row r="8332" spans="1:3" ht="24" customHeight="1">
      <c r="A8332" s="4" t="str">
        <f ca="1">IFERROR(__xludf.DUMMYFUNCTION("""COMPUTED_VALUE"""),"इषमासि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७७॥")</f>
        <v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v>
      </c>
      <c r="B8332" s="4" t="s">
        <v>0</v>
      </c>
      <c r="C8332" s="4"/>
    </row>
    <row r="8333" spans="1:3" ht="24" customHeight="1">
      <c r="A8333" s="4" t="str">
        <f ca="1">IFERROR(__xludf.DUMMYFUNCTION("""COMPUTED_VALUE"""),"चेतोनिमित्तशकुनैः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७८॥")</f>
        <v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v>
      </c>
      <c r="B8333" s="4" t="s">
        <v>5</v>
      </c>
      <c r="C8333" s="4"/>
    </row>
    <row r="8334" spans="1:3" ht="24" customHeight="1">
      <c r="A8334" s="4" t="str">
        <f ca="1">IFERROR(__xludf.DUMMYFUNCTION("""COMPUTED_VALUE"""),"व्रतबन्धनदेवताप्रतिष्ठाकरपीडोत्सवसूतकासमाप्तौ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७९॥")</f>
        <v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v>
      </c>
      <c r="B8334" s="4" t="s">
        <v>0</v>
      </c>
      <c r="C8334" s="4"/>
    </row>
    <row r="8335" spans="1:3" ht="24" customHeight="1">
      <c r="A8335" s="4" t="str">
        <f ca="1">IFERROR(__xludf.DUMMYFUNCTION("""COMPUTED_VALUE"""),"महीपतेरेकदिने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८०॥")</f>
        <v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v>
      </c>
      <c r="B8335" s="4" t="s">
        <v>2</v>
      </c>
      <c r="C8335" s="4"/>
    </row>
    <row r="8336" spans="1:3" ht="24" customHeight="1">
      <c r="A8336" s="4" t="str">
        <f ca="1">IFERROR(__xludf.DUMMYFUNCTION("""COMPUTED_VALUE"""),"यद्येकस्मिन्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८१॥")</f>
        <v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v>
      </c>
      <c r="B8336" s="4" t="s">
        <v>0</v>
      </c>
      <c r="C8336" s="4"/>
    </row>
    <row r="8337" spans="1:3" ht="24" customHeight="1">
      <c r="A8337" s="4" t="str">
        <f ca="1">IFERROR(__xludf.DUMMYFUNCTION("""COMPUTED_VALUE"""),"प्रवेशान्निर्गमं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८२॥")</f>
        <v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v>
      </c>
      <c r="B8337" s="4" t="s">
        <v>1</v>
      </c>
      <c r="C8337" s="4"/>
    </row>
    <row r="8338" spans="1:3" ht="24" customHeight="1">
      <c r="A8338" s="4" t="str">
        <f ca="1">IFERROR(__xludf.DUMMYFUNCTION("""COMPUTED_VALUE"""),"अग्निं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८३॥")</f>
        <v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v>
      </c>
      <c r="B8338" s="4" t="s">
        <v>21</v>
      </c>
      <c r="C8338" s="4"/>
    </row>
    <row r="8339" spans="1:3" ht="24" customHeight="1">
      <c r="A8339" s="4" t="str">
        <f ca="1">IFERROR(__xludf.DUMMYFUNCTION("""COMPUTED_VALUE"""),"कुल्माषांस्तिलतण्डुलानपि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८४॥")</f>
        <v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v>
      </c>
      <c r="B8339" s="4" t="s">
        <v>11</v>
      </c>
      <c r="C8339" s="4"/>
    </row>
    <row r="8340" spans="1:3" ht="24" customHeight="1">
      <c r="A8340" s="4" t="str">
        <f ca="1">IFERROR(__xludf.DUMMYFUNCTION("""COMPUTED_VALUE"""),"कौर्भं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८५॥")</f>
        <v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v>
      </c>
      <c r="B8340" s="4" t="s">
        <v>5</v>
      </c>
      <c r="C8340" s="4"/>
    </row>
    <row r="8341" spans="1:3" ht="24" customHeight="1">
      <c r="A8341" s="4" t="str">
        <f ca="1">IFERROR(__xludf.DUMMYFUNCTION("""COMPUTED_VALUE"""),"आज्यं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८६॥")</f>
        <v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v>
      </c>
      <c r="B8341" s="4" t="s">
        <v>3</v>
      </c>
      <c r="C8341" s="4"/>
    </row>
    <row r="8342" spans="1:3" ht="24" customHeight="1">
      <c r="A8342" s="4" t="str">
        <f ca="1">IFERROR(__xludf.DUMMYFUNCTION("""COMPUTED_VALUE"""),"रसालां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८७॥")</f>
        <v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v>
      </c>
      <c r="B8342" s="4" t="s">
        <v>17</v>
      </c>
      <c r="C8342" s="4"/>
    </row>
    <row r="8343" spans="1:3" ht="24" customHeight="1">
      <c r="A8343" s="4" t="str">
        <f ca="1">IFERROR(__xludf.DUMMYFUNCTION("""COMPUTED_VALUE"""),"पक्षादितोऽर्कदलतण्डुलवारिसर्पिः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८८॥")</f>
        <v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v>
      </c>
      <c r="B8343" s="4" t="s">
        <v>15</v>
      </c>
      <c r="C8343" s="4"/>
    </row>
    <row r="8344" spans="1:3" ht="24" customHeight="1">
      <c r="A8344" s="4" t="str">
        <f ca="1">IFERROR(__xludf.DUMMYFUNCTION("""COMPUTED_VALUE"""),"उद्धृत्य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८९॥")</f>
        <v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v>
      </c>
      <c r="B8344" s="4" t="s">
        <v>21</v>
      </c>
      <c r="C8344" s="4"/>
    </row>
    <row r="8345" spans="1:3" ht="24" customHeight="1">
      <c r="A8345" s="4" t="str">
        <f ca="1">IFERROR(__xludf.DUMMYFUNCTION("""COMPUTED_VALUE"""),"प्राच्यां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९०॥")</f>
        <v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v>
      </c>
      <c r="B8345" s="4" t="s">
        <v>9</v>
      </c>
      <c r="C8345" s="4"/>
    </row>
    <row r="8346" spans="1:3" ht="24" customHeight="1">
      <c r="A8346" s="4" t="str">
        <f ca="1">IFERROR(__xludf.DUMMYFUNCTION("""COMPUTED_VALUE"""),"देवगृहाद्वा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९१॥")</f>
        <v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v>
      </c>
      <c r="B8346" s="4" t="s">
        <v>5</v>
      </c>
      <c r="C8346" s="4"/>
    </row>
    <row r="8347" spans="1:3" ht="24" customHeight="1">
      <c r="A8347" s="4" t="str">
        <f ca="1">IFERROR(__xludf.DUMMYFUNCTION("""COMPUTED_VALUE"""),"कार्याद्यैरिह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९२॥")</f>
        <v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v>
      </c>
      <c r="B8347" s="4" t="s">
        <v>4</v>
      </c>
      <c r="C8347" s="4"/>
    </row>
    <row r="8348" spans="1:3" ht="24" customHeight="1">
      <c r="A8348" s="4" t="str">
        <f ca="1">IFERROR(__xludf.DUMMYFUNCTION("""COMPUTED_VALUE"""),"गेहाद्गेहान्तरमपि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९३॥")</f>
        <v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v>
      </c>
      <c r="B8348" s="4" t="s">
        <v>2</v>
      </c>
      <c r="C8348" s="4"/>
    </row>
    <row r="8349" spans="1:3" ht="24" customHeight="1">
      <c r="A8349" s="4" t="str">
        <f ca="1">IFERROR(__xludf.DUMMYFUNCTION("""COMPUTED_VALUE"""),"प्रस्थानमत्र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९४॥")</f>
        <v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v>
      </c>
      <c r="B8349" s="4" t="s">
        <v>5</v>
      </c>
      <c r="C8349" s="4"/>
    </row>
    <row r="8350" spans="1:3" ht="24" customHeight="1">
      <c r="A8350" s="4" t="str">
        <f ca="1">IFERROR(__xludf.DUMMYFUNCTION("""COMPUTED_VALUE"""),"प्रस्थाने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९५॥")</f>
        <v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v>
      </c>
      <c r="B8350" s="4" t="s">
        <v>5</v>
      </c>
      <c r="C8350" s="4"/>
    </row>
    <row r="8351" spans="1:3" ht="24" customHeight="1">
      <c r="A8351" s="4" t="str">
        <f ca="1">IFERROR(__xludf.DUMMYFUNCTION("""COMPUTED_VALUE"""),"दुग्धं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९६॥")</f>
        <v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v>
      </c>
      <c r="B8351" s="4" t="s">
        <v>1</v>
      </c>
      <c r="C8351" s="4"/>
    </row>
    <row r="8352" spans="1:3" ht="24" customHeight="1">
      <c r="A8352" s="4" t="str">
        <f ca="1">IFERROR(__xludf.DUMMYFUNCTION("""COMPUTED_VALUE"""),"भुक्त्वा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९७॥")</f>
        <v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v>
      </c>
      <c r="B8352" s="4" t="s">
        <v>7</v>
      </c>
      <c r="C8352" s="4"/>
    </row>
    <row r="8353" spans="1:3" ht="24" customHeight="1">
      <c r="A8353" s="4" t="str">
        <f ca="1">IFERROR(__xludf.DUMMYFUNCTION("""COMPUTED_VALUE"""),"यदि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९८॥")</f>
        <v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v>
      </c>
      <c r="B8353" s="4" t="s">
        <v>8</v>
      </c>
      <c r="C8353" s="4"/>
    </row>
    <row r="8354" spans="1:3" ht="24" customHeight="1">
      <c r="A8354" s="4" t="str">
        <f ca="1">IFERROR(__xludf.DUMMYFUNCTION("""COMPUTED_VALUE"""),"अल्पायां वृष्टौ दोषोऽल्पो भूयस्यां दोषो भूया- 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९९॥")</f>
        <v>अल्पायां वृष्टौ दोषोऽल्पो भूयस्यां दोषो भूया- 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v>
      </c>
      <c r="B8354" s="4" t="s">
        <v>6</v>
      </c>
      <c r="C8354" s="4"/>
    </row>
    <row r="8355" spans="1:3" ht="24" customHeight="1">
      <c r="A8355" s="4" t="str">
        <f ca="1">IFERROR(__xludf.DUMMYFUNCTION("""COMPUTED_VALUE"""),"विप्राश्वेभफलान्नदुग्धदधिगोसिद्धार्थपद्माम्बरं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१००॥")</f>
        <v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v>
      </c>
      <c r="B8355" s="4" t="s">
        <v>0</v>
      </c>
      <c r="C8355" s="4"/>
    </row>
    <row r="8356" spans="1:3" ht="24" customHeight="1">
      <c r="A8356" s="4" t="str">
        <f ca="1">IFERROR(__xludf.DUMMYFUNCTION("""COMPUTED_VALUE"""),"आदर्शाञ्जनधौतवस्त्ररजका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१०१॥")</f>
        <v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v>
      </c>
      <c r="B8356" s="4" t="s">
        <v>15</v>
      </c>
      <c r="C8356" s="4"/>
    </row>
    <row r="8357" spans="1:3" ht="24" customHeight="1">
      <c r="A8357" s="4" t="str">
        <f ca="1">IFERROR(__xludf.DUMMYFUNCTION("""COMPUTED_VALUE"""),"बन्ध्या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१०२॥")</f>
        <v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v>
      </c>
      <c r="B8357" s="4" t="s">
        <v>2</v>
      </c>
      <c r="C8357" s="4"/>
    </row>
    <row r="8358" spans="1:3" ht="24" customHeight="1">
      <c r="A8358" s="4" t="str">
        <f ca="1">IFERROR(__xludf.DUMMYFUNCTION("""COMPUTED_VALUE"""),"काषायी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१०३॥")</f>
        <v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v>
      </c>
      <c r="B8358" s="4" t="s">
        <v>6</v>
      </c>
      <c r="C8358" s="4"/>
    </row>
    <row r="8359" spans="1:3" ht="24" customHeight="1">
      <c r="A8359" s="4" t="str">
        <f ca="1">IFERROR(__xludf.DUMMYFUNCTION("""COMPUTED_VALUE"""),"गोधाजाहकसूकराहिशशकानां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१०४॥")</f>
        <v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v>
      </c>
      <c r="B8359" s="4" t="s">
        <v>1</v>
      </c>
      <c r="C8359" s="4"/>
    </row>
    <row r="8360" spans="1:3" ht="24" customHeight="1">
      <c r="A8360" s="4" t="str">
        <f ca="1">IFERROR(__xludf.DUMMYFUNCTION("""COMPUTED_VALUE"""),"वामाङ्गे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१०५॥")</f>
        <v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v>
      </c>
      <c r="B8360" s="4" t="s">
        <v>2</v>
      </c>
      <c r="C8360" s="4"/>
    </row>
    <row r="8361" spans="1:3" ht="24" customHeight="1">
      <c r="A8361" s="4" t="str">
        <f ca="1">IFERROR(__xludf.DUMMYFUNCTION("""COMPUTED_VALUE"""),"छिक्करः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१०६॥")</f>
        <v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v>
      </c>
      <c r="B8361" s="4" t="s">
        <v>6</v>
      </c>
      <c r="C8361" s="4"/>
    </row>
    <row r="8362" spans="1:3" ht="24" customHeight="1">
      <c r="A8362" s="4" t="str">
        <f ca="1">IFERROR(__xludf.DUMMYFUNCTION("""COMPUTED_VALUE"""),"प्रदक्षिणगताः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१०७॥")</f>
        <v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v>
      </c>
      <c r="B8362" s="4" t="s">
        <v>1</v>
      </c>
      <c r="C8362" s="4"/>
    </row>
    <row r="8363" spans="1:3" ht="24" customHeight="1">
      <c r="A8363" s="4" t="str">
        <f ca="1">IFERROR(__xludf.DUMMYFUNCTION("""COMPUTED_VALUE"""),"आद्येऽपशकुने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१०८॥")</f>
        <v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v>
      </c>
      <c r="B8363" s="4" t="s">
        <v>3</v>
      </c>
      <c r="C8363" s="4"/>
    </row>
    <row r="8364" spans="1:3" ht="24" customHeight="1">
      <c r="A8364" s="4" t="str">
        <f ca="1">IFERROR(__xludf.DUMMYFUNCTION("""COMPUTED_VALUE"""),"यात्रानिवृत्तौ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१०९॥")</f>
        <v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v>
      </c>
      <c r="B8364" s="4" t="s">
        <v>12</v>
      </c>
      <c r="C8364" s="4"/>
    </row>
    <row r="8365" spans="1:3" ht="24" customHeight="1">
      <c r="A8365" s="4" t="str">
        <f ca="1">IFERROR(__xludf.DUMMYFUNCTION("""COMPUTED_VALUE"""),"अयनर्क्षमासतिथिकालवासरोद्भवशूलसम्मुखसितज्ञदिक्कपाः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११०॥")</f>
        <v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v>
      </c>
      <c r="B8365" s="4" t="s">
        <v>19</v>
      </c>
      <c r="C8365" s="4"/>
    </row>
    <row r="8366" spans="1:3" ht="24" customHeight="1">
      <c r="A8366" s="4" t="str">
        <f ca="1">IFERROR(__xludf.DUMMYFUNCTION("""COMPUTED_VALUE"""),"मृतपक्षरिक्तरवितर्कसंख्यकास्तिथयश्च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१११॥")</f>
        <v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v>
      </c>
      <c r="B8366" s="4" t="s">
        <v>7</v>
      </c>
      <c r="C8366" s="4"/>
    </row>
    <row r="8367" spans="1:3" ht="24" customHeight="1">
      <c r="A8367" s="4" t="str">
        <f ca="1">IFERROR(__xludf.DUMMYFUNCTION("""COMPUTED_VALUE"""),"लग्ने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११२॥")</f>
        <v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v>
      </c>
      <c r="B8367" s="4" t="s">
        <v>23</v>
      </c>
      <c r="C8367" s="4"/>
    </row>
    <row r="8368" spans="1:3" ht="24" customHeight="1">
      <c r="A8368" s="4" t="str">
        <f ca="1">IFERROR(__xludf.DUMMYFUNCTION("""COMPUTED_VALUE"""),"यद्भं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१॥")</f>
        <v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v>
      </c>
      <c r="B8368" s="4" t="s">
        <v>2</v>
      </c>
      <c r="C8368" s="4"/>
    </row>
    <row r="8369" spans="1:3" ht="24" customHeight="1">
      <c r="A8369" s="4" t="str">
        <f ca="1">IFERROR(__xludf.DUMMYFUNCTION("""COMPUTED_VALUE"""),"गोसिंहनक्रमिथुनं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२॥")</f>
        <v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v>
      </c>
      <c r="B8369" s="4" t="s">
        <v>0</v>
      </c>
      <c r="C8369" s="4"/>
    </row>
    <row r="8370" spans="1:3" ht="24" customHeight="1">
      <c r="A8370" s="4" t="str">
        <f ca="1">IFERROR(__xludf.DUMMYFUNCTION("""COMPUTED_VALUE"""),"एकोनितेष्टर्क्षहताद्वितिथ्यो रूपोनितेष्टायहतेन्दुनागैः । युक्ता घनै १७ श्चापि युता विभक्ता भूपाश्विभिः शेषमितो हि पिण्डः ॥ मुहूर्त.वास्तुप्रकरणम् ३॥")</f>
        <v>एकोनितेष्टर्क्षहताद्वितिथ्यो रूपोनितेष्टायहतेन्दुनागैः । युक्ता घनै १७ श्चापि युता विभक्ता भूपाश्विभिः शेषमितो हि पिण्डः ॥ मुहूर्त.वास्तुप्रकरणम् ३॥</v>
      </c>
      <c r="B8370" s="4" t="s">
        <v>29</v>
      </c>
      <c r="C8370" s="4"/>
    </row>
    <row r="8371" spans="1:3" ht="24" customHeight="1">
      <c r="A8371" s="4" t="str">
        <f ca="1">IFERROR(__xludf.DUMMYFUNCTION("""COMPUTED_VALUE"""),"स्वेष्टायनक्षत्रभवोऽथ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४॥")</f>
        <v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v>
      </c>
      <c r="B8371" s="4" t="s">
        <v>2</v>
      </c>
      <c r="C8371" s="4"/>
    </row>
    <row r="8372" spans="1:3" ht="24" customHeight="1">
      <c r="A8372" s="4" t="str">
        <f ca="1">IFERROR(__xludf.DUMMYFUNCTION("""COMPUTED_VALUE"""),"ध्वजादिकाः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५॥")</f>
        <v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v>
      </c>
      <c r="B8372" s="4" t="s">
        <v>2</v>
      </c>
      <c r="C8372" s="4"/>
    </row>
    <row r="8373" spans="1:3" ht="24" customHeight="1">
      <c r="A8373" s="4" t="str">
        <f ca="1">IFERROR(__xludf.DUMMYFUNCTION("""COMPUTED_VALUE"""),"गृहेशतत्स्त्रीसुतवित्तनाशोऽर्केन्द्वीज्यशुक्रे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६॥")</f>
        <v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v>
      </c>
      <c r="B8373" s="4" t="s">
        <v>5</v>
      </c>
      <c r="C8373" s="4"/>
    </row>
    <row r="8374" spans="1:3" ht="24" customHeight="1">
      <c r="A8374" s="4" t="str">
        <f ca="1">IFERROR(__xludf.DUMMYFUNCTION("""COMPUTED_VALUE"""),"भं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७॥")</f>
        <v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v>
      </c>
      <c r="B8374" s="4" t="s">
        <v>0</v>
      </c>
      <c r="C8374" s="4"/>
    </row>
    <row r="8375" spans="1:3" ht="24" customHeight="1">
      <c r="A8375" s="4" t="str">
        <f ca="1">IFERROR(__xludf.DUMMYFUNCTION("""COMPUTED_VALUE"""),"दिक्षु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८॥")</f>
        <v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v>
      </c>
      <c r="B8375" s="4" t="s">
        <v>19</v>
      </c>
      <c r="C8375" s="4"/>
    </row>
    <row r="8376" spans="1:3" ht="24" customHeight="1">
      <c r="A8376" s="4" t="str">
        <f ca="1">IFERROR(__xludf.DUMMYFUNCTION("""COMPUTED_VALUE"""),"तिथ्यर्काष्टाष्टिगोरुद्रशक्रे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९॥")</f>
        <v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v>
      </c>
      <c r="B8376" s="4" t="s">
        <v>5</v>
      </c>
      <c r="C8376" s="4"/>
    </row>
    <row r="8377" spans="1:3" ht="24" customHeight="1">
      <c r="A8377" s="4" t="str">
        <f ca="1">IFERROR(__xludf.DUMMYFUNCTION("""COMPUTED_VALUE"""),"ध्रुवधान्ये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१०॥")</f>
        <v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v>
      </c>
      <c r="B8377" s="4" t="s">
        <v>5</v>
      </c>
      <c r="C8377" s="4"/>
    </row>
    <row r="8378" spans="1:3" ht="24" customHeight="1">
      <c r="A8378" s="4" t="str">
        <f ca="1">IFERROR(__xludf.DUMMYFUNCTION("""COMPUTED_VALUE"""),"पिण्डे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११॥")</f>
        <v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v>
      </c>
      <c r="B8378" s="4" t="s">
        <v>16</v>
      </c>
      <c r="C8378" s="4"/>
    </row>
    <row r="8379" spans="1:3" ht="24" customHeight="1">
      <c r="A8379" s="4" t="str">
        <f ca="1">IFERROR(__xludf.DUMMYFUNCTION("""COMPUTED_VALUE"""),"आयो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१२॥")</f>
        <v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v>
      </c>
      <c r="B8379" s="4" t="s">
        <v>17</v>
      </c>
      <c r="C8379" s="4"/>
    </row>
    <row r="8380" spans="1:3" ht="24" customHeight="1">
      <c r="A8380" s="4" t="str">
        <f ca="1">IFERROR(__xludf.DUMMYFUNCTION("""COMPUTED_VALUE"""),"गेहाद्यारम्भेऽर्कभाद्वत्सशीर्षे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१३॥")</f>
        <v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v>
      </c>
      <c r="B8380" s="4" t="s">
        <v>13</v>
      </c>
      <c r="C8380" s="4"/>
    </row>
    <row r="8381" spans="1:3" ht="24" customHeight="1">
      <c r="A8381" s="4" t="str">
        <f ca="1">IFERROR(__xludf.DUMMYFUNCTION("""COMPUTED_VALUE"""),"लाभो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१४॥")</f>
        <v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v>
      </c>
      <c r="B8381" s="4" t="s">
        <v>18</v>
      </c>
      <c r="C8381" s="4"/>
    </row>
    <row r="8382" spans="1:3" ht="24" customHeight="1">
      <c r="A8382" s="4" t="str">
        <f ca="1">IFERROR(__xludf.DUMMYFUNCTION("""COMPUTED_VALUE"""),"कुम्भेऽर्के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१५॥")</f>
        <v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v>
      </c>
      <c r="B8382" s="4" t="s">
        <v>8</v>
      </c>
      <c r="C8382" s="4"/>
    </row>
    <row r="8383" spans="1:3" ht="24" customHeight="1">
      <c r="A8383" s="4" t="str">
        <f ca="1">IFERROR(__xludf.DUMMYFUNCTION("""COMPUTED_VALUE"""),"कैश्चिन्मेषरवौ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१६॥")</f>
        <v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v>
      </c>
      <c r="B8383" s="4" t="s">
        <v>4</v>
      </c>
      <c r="C8383" s="4"/>
    </row>
    <row r="8384" spans="1:3" ht="24" customHeight="1">
      <c r="A8384" s="4" t="str">
        <f ca="1">IFERROR(__xludf.DUMMYFUNCTION("""COMPUTED_VALUE"""),"पूर्णेन्दुतः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१७॥")</f>
        <v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v>
      </c>
      <c r="B8384" s="4" t="s">
        <v>2</v>
      </c>
      <c r="C8384" s="4"/>
    </row>
    <row r="8385" spans="1:3" ht="24" customHeight="1">
      <c r="A8385" s="4" t="str">
        <f ca="1">IFERROR(__xludf.DUMMYFUNCTION("""COMPUTED_VALUE"""),"भौमार्करिक्तामाद्यूने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१८॥")</f>
        <v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v>
      </c>
      <c r="B8385" s="4" t="s">
        <v>11</v>
      </c>
      <c r="C8385" s="4"/>
    </row>
    <row r="8386" spans="1:3" ht="24" customHeight="1">
      <c r="A8386" s="4" t="str">
        <f ca="1">IFERROR(__xludf.DUMMYFUNCTION("""COMPUTED_VALUE"""),"देवालये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१९॥")</f>
        <v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v>
      </c>
      <c r="B8386" s="4" t="s">
        <v>4</v>
      </c>
      <c r="C8386" s="4"/>
    </row>
    <row r="8387" spans="1:3" ht="24" customHeight="1">
      <c r="A8387" s="4" t="str">
        <f ca="1">IFERROR(__xludf.DUMMYFUNCTION("""COMPUTED_VALUE"""),"कूपे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२०॥")</f>
        <v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v>
      </c>
      <c r="B8387" s="4" t="s">
        <v>5</v>
      </c>
      <c r="C8387" s="4"/>
    </row>
    <row r="8388" spans="1:3" ht="24" customHeight="1">
      <c r="A8388" s="4" t="str">
        <f ca="1">IFERROR(__xludf.DUMMYFUNCTION("""COMPUTED_VALUE"""),"स्नानाग्निपाकशयनास्त्रभुजश्च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२१॥")</f>
        <v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v>
      </c>
      <c r="B8388" s="4" t="s">
        <v>12</v>
      </c>
      <c r="C8388" s="4"/>
    </row>
    <row r="8389" spans="1:3" ht="24" customHeight="1">
      <c r="A8389" s="4" t="str">
        <f ca="1">IFERROR(__xludf.DUMMYFUNCTION("""COMPUTED_VALUE"""),"जीवार्कविच्छुक्रशनैश्चरेषु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२२॥")</f>
        <v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v>
      </c>
      <c r="B8389" s="4" t="s">
        <v>4</v>
      </c>
      <c r="C8389" s="4"/>
    </row>
    <row r="8390" spans="1:3" ht="24" customHeight="1">
      <c r="A8390" s="4" t="str">
        <f ca="1">IFERROR(__xludf.DUMMYFUNCTION("""COMPUTED_VALUE"""),"लग्नाम्बरायेषु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२३॥")</f>
        <v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v>
      </c>
      <c r="B8390" s="4" t="s">
        <v>5</v>
      </c>
      <c r="C8390" s="4"/>
    </row>
    <row r="8391" spans="1:3" ht="24" customHeight="1">
      <c r="A8391" s="4" t="str">
        <f ca="1">IFERROR(__xludf.DUMMYFUNCTION("""COMPUTED_VALUE"""),"स्वोच्चे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२४॥")</f>
        <v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v>
      </c>
      <c r="B8391" s="4" t="s">
        <v>24</v>
      </c>
      <c r="C8391" s="4"/>
    </row>
    <row r="8392" spans="1:3" ht="24" customHeight="1">
      <c r="A8392" s="4" t="str">
        <f ca="1">IFERROR(__xludf.DUMMYFUNCTION("""COMPUTED_VALUE"""),"द्यूनाम्बरे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२५॥")</f>
        <v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v>
      </c>
      <c r="B8392" s="4" t="s">
        <v>11</v>
      </c>
      <c r="C8392" s="4"/>
    </row>
    <row r="8393" spans="1:3" ht="24" customHeight="1">
      <c r="A8393" s="4" t="str">
        <f ca="1">IFERROR(__xludf.DUMMYFUNCTION("""COMPUTED_VALUE"""),"पुष्यध्रुवेन्दुहरिसर्पजलैः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२६॥")</f>
        <v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v>
      </c>
      <c r="B8393" s="4" t="s">
        <v>5</v>
      </c>
      <c r="C8393" s="4"/>
    </row>
    <row r="8394" spans="1:3" ht="24" customHeight="1">
      <c r="A8394" s="4" t="str">
        <f ca="1">IFERROR(__xludf.DUMMYFUNCTION("""COMPUTED_VALUE"""),"सारैः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२७॥")</f>
        <v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v>
      </c>
      <c r="B8394" s="4" t="s">
        <v>5</v>
      </c>
      <c r="C8394" s="4"/>
    </row>
    <row r="8395" spans="1:3" ht="24" customHeight="1">
      <c r="A8395" s="4" t="str">
        <f ca="1">IFERROR(__xludf.DUMMYFUNCTION("""COMPUTED_VALUE"""),"अजैकपादहिर्बुध्न्यशक्रमित्रानिलान्तकैः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२८॥")</f>
        <v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v>
      </c>
      <c r="B8395" s="4" t="s">
        <v>24</v>
      </c>
      <c r="C8395" s="4"/>
    </row>
    <row r="8396" spans="1:3" ht="24" customHeight="1">
      <c r="A8396" s="4" t="str">
        <f ca="1">IFERROR(__xludf.DUMMYFUNCTION("""COMPUTED_VALUE"""),"सूर्यर्क्षाद्युगभैः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२९॥")</f>
        <v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v>
      </c>
      <c r="B8396" s="4" t="s">
        <v>6</v>
      </c>
      <c r="C8396" s="4"/>
    </row>
    <row r="8397" spans="1:3" ht="24" customHeight="1">
      <c r="A8397" s="4" t="str">
        <f ca="1">IFERROR(__xludf.DUMMYFUNCTION("""COMPUTED_VALUE"""),"सौम्यायने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१॥")</f>
        <v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v>
      </c>
      <c r="B8397" s="4" t="s">
        <v>0</v>
      </c>
      <c r="C8397" s="4"/>
    </row>
    <row r="8398" spans="1:3" ht="24" customHeight="1">
      <c r="A8398" s="4" t="str">
        <f ca="1">IFERROR(__xludf.DUMMYFUNCTION("""COMPUTED_VALUE"""),"जीर्णे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२॥")</f>
        <v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v>
      </c>
      <c r="B8398" s="4" t="s">
        <v>0</v>
      </c>
      <c r="C8398" s="4"/>
    </row>
    <row r="8399" spans="1:3" ht="24" customHeight="1">
      <c r="A8399" s="4" t="str">
        <f ca="1">IFERROR(__xludf.DUMMYFUNCTION("""COMPUTED_VALUE"""),"मृदुध्रुवक्षिप्रचरेषु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३॥")</f>
        <v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v>
      </c>
      <c r="B8399" s="4" t="s">
        <v>19</v>
      </c>
      <c r="C8399" s="4"/>
    </row>
    <row r="8400" spans="1:3" ht="24" customHeight="1">
      <c r="A8400" s="4" t="str">
        <f ca="1">IFERROR(__xludf.DUMMYFUNCTION("""COMPUTED_VALUE"""),"शुद्धाम्बुरन्ध्रे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४॥")</f>
        <v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v>
      </c>
      <c r="B8400" s="4" t="s">
        <v>20</v>
      </c>
      <c r="C8400" s="4"/>
    </row>
    <row r="8401" spans="1:3" ht="24" customHeight="1">
      <c r="A8401" s="4" t="str">
        <f ca="1">IFERROR(__xludf.DUMMYFUNCTION("""COMPUTED_VALUE"""),"वामो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५॥")</f>
        <v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v>
      </c>
      <c r="B8401" s="4" t="s">
        <v>1</v>
      </c>
      <c r="C8401" s="4"/>
    </row>
    <row r="8402" spans="1:3" ht="24" customHeight="1">
      <c r="A8402" s="4" t="str">
        <f ca="1">IFERROR(__xludf.DUMMYFUNCTION("""COMPUTED_VALUE"""),"वक्त्रे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६॥")</f>
        <v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v>
      </c>
      <c r="B8402" s="4" t="s">
        <v>17</v>
      </c>
      <c r="C8402" s="4"/>
    </row>
    <row r="8403" spans="1:3" ht="24" customHeight="1">
      <c r="A8403" s="4" t="str">
        <f ca="1">IFERROR(__xludf.DUMMYFUNCTION("""COMPUTED_VALUE"""),"एवं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७॥")</f>
        <v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v>
      </c>
      <c r="B8403" s="4" t="s">
        <v>0</v>
      </c>
      <c r="C8403" s="4"/>
    </row>
    <row r="8404" spans="1:3" ht="24" customHeight="1">
      <c r="A8404" s="4" t="str">
        <f ca="1">IFERROR(__xludf.DUMMYFUNCTION("""COMPUTED_VALUE"""),"आसीद्धर्मपुरे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८॥")</f>
        <v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v>
      </c>
      <c r="B8404" s="4" t="s">
        <v>7</v>
      </c>
      <c r="C8404" s="4"/>
    </row>
    <row r="8405" spans="1:3" ht="24" customHeight="1">
      <c r="A8405" s="4" t="str">
        <f ca="1">IFERROR(__xludf.DUMMYFUNCTION("""COMPUTED_VALUE"""),"ज्योतिर्विद्गणवन्दिताङ्घ्निकमलस्तत्सूनुरासीत्कृती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९॥")</f>
        <v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v>
      </c>
      <c r="B8405" s="4" t="s">
        <v>5</v>
      </c>
      <c r="C8405" s="4"/>
    </row>
    <row r="8406" spans="1:3" ht="24" customHeight="1">
      <c r="A8406" s="4" t="str">
        <f ca="1">IFERROR(__xludf.DUMMYFUNCTION("""COMPUTED_VALUE"""),"तदात्मज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१०॥")</f>
        <v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v>
      </c>
      <c r="B8406" s="4" t="s">
        <v>7</v>
      </c>
      <c r="C8406" s="4"/>
    </row>
    <row r="8407" spans="1:3" ht="24" customHeight="1">
      <c r="A8407" s="4" t="str">
        <f ca="1">IFERROR(__xludf.DUMMYFUNCTION("""COMPUTED_VALUE"""),"सिद्धिः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॥")</f>
        <v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v>
      </c>
      <c r="B8407" s="4" t="s">
        <v>11</v>
      </c>
      <c r="C8407" s="4"/>
    </row>
    <row r="8408" spans="1:3" ht="24" customHeight="1">
      <c r="A8408" s="4" t="str">
        <f ca="1">IFERROR(__xludf.DUMMYFUNCTION("""COMPUTED_VALUE"""),"भारतीयार्यमर्यादां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॥")</f>
        <v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v>
      </c>
      <c r="B8408" s="4" t="s">
        <v>24</v>
      </c>
      <c r="C8408" s="4"/>
    </row>
    <row r="8409" spans="1:3" ht="24" customHeight="1">
      <c r="A8409" s="4" t="str">
        <f ca="1">IFERROR(__xludf.DUMMYFUNCTION("""COMPUTED_VALUE"""),"अजरामरवत्प्राज्ञो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॥")</f>
        <v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v>
      </c>
      <c r="B8409" s="4" t="s">
        <v>0</v>
      </c>
      <c r="C8409" s="4"/>
    </row>
    <row r="8410" spans="1:3" ht="24" customHeight="1">
      <c r="A8410" s="4" t="str">
        <f ca="1">IFERROR(__xludf.DUMMYFUNCTION("""COMPUTED_VALUE"""),"विद्या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॥")</f>
        <v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v>
      </c>
      <c r="B8410" s="4" t="s">
        <v>14</v>
      </c>
      <c r="C8410" s="4"/>
    </row>
    <row r="8411" spans="1:3" ht="24" customHeight="1">
      <c r="A8411" s="4" t="str">
        <f ca="1">IFERROR(__xludf.DUMMYFUNCTION("""COMPUTED_VALUE"""),"यन्नवे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॥")</f>
        <v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v>
      </c>
      <c r="B8411" s="4" t="s">
        <v>2</v>
      </c>
      <c r="C8411" s="4"/>
    </row>
    <row r="8412" spans="1:3" ht="24" customHeight="1">
      <c r="A8412" s="4" t="str">
        <f ca="1">IFERROR(__xludf.DUMMYFUNCTION("""COMPUTED_VALUE"""),"मित्रलाभः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॥")</f>
        <v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v>
      </c>
      <c r="B8412" s="4" t="s">
        <v>2</v>
      </c>
      <c r="C8412" s="4"/>
    </row>
    <row r="8413" spans="1:3" ht="24" customHeight="1">
      <c r="A8413" s="4" t="str">
        <f ca="1">IFERROR(__xludf.DUMMYFUNCTION("""COMPUTED_VALUE"""),"अनेकसंशयोच्छेदि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मित्र-०.7॥")</f>
        <v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v>
      </c>
      <c r="B8413" s="4" t="s">
        <v>18</v>
      </c>
      <c r="C8413" s="4"/>
    </row>
    <row r="8414" spans="1:3" ht="24" customHeight="1">
      <c r="A8414" s="4" t="str">
        <f ca="1">IFERROR(__xludf.DUMMYFUNCTION("""COMPUTED_VALUE"""),"यौवनं धनसम्पत्तिः प्रभुत्वमविवेकिता । एकैकमप्यनर्थाय किमु यत्र चतुष्टयम्  ॥ नीतिसंग्रहस्य मित्र-०.8 ॥")</f>
        <v>यौवनं धनसम्पत्तिः प्रभुत्वमविवेकिता । एकैकमप्यनर्थाय किमु यत्र चतुष्टयम्  ॥ नीतिसंग्रहस्य मित्र-०.8 ॥</v>
      </c>
      <c r="B8414" s="4" t="s">
        <v>5</v>
      </c>
      <c r="C8414" s="4"/>
    </row>
    <row r="8415" spans="1:3" ht="24" customHeight="1">
      <c r="A8415" s="4" t="str">
        <f ca="1">IFERROR(__xludf.DUMMYFUNCTION("""COMPUTED_VALUE"""),"कोऽर्थः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")</f>
        <v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v>
      </c>
      <c r="B8415" s="4" t="s">
        <v>19</v>
      </c>
      <c r="C8415" s="4"/>
    </row>
    <row r="8416" spans="1:3" ht="24" customHeight="1">
      <c r="A8416" s="4" t="str">
        <f ca="1">IFERROR(__xludf.DUMMYFUNCTION("""COMPUTED_VALUE"""),"अजातमृतमूर्खाणां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॥")</f>
        <v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v>
      </c>
      <c r="B8416" s="4" t="s">
        <v>17</v>
      </c>
      <c r="C8416" s="4"/>
    </row>
    <row r="8417" spans="1:3" ht="24" customHeight="1">
      <c r="A8417" s="4" t="str">
        <f ca="1">IFERROR(__xludf.DUMMYFUNCTION("""COMPUTED_VALUE"""),"देशवंशजनैकोऽपि कायवाकचेतसां चयैः। येन नोपकृतः पुंसा तस्य जन्म निरर्थकम् ||")</f>
        <v>देशवंशजनैकोऽपि कायवाकचेतसां चयैः। येन नोपकृतः पुंसा तस्य जन्म निरर्थकम् ||</v>
      </c>
      <c r="B8417" s="4" t="s">
        <v>19</v>
      </c>
      <c r="C8417" s="4"/>
    </row>
    <row r="8418" spans="1:3" ht="24" customHeight="1">
      <c r="A8418" s="4" t="str">
        <f ca="1">IFERROR(__xludf.DUMMYFUNCTION("""COMPUTED_VALUE"""),"दाने तपसि शौर्ये च यस्य न प्रथितं मनः । विद्यायामर्थलाभे च मातुरुच्चार एव सः  ॥ नीतिसंग्रहस्य मित्र-०.12 ॥")</f>
        <v>दाने तपसि शौर्ये च यस्य न प्रथितं मनः । विद्यायामर्थलाभे च मातुरुच्चार एव सः  ॥ नीतिसंग्रहस्य मित्र-०.12 ॥</v>
      </c>
      <c r="B8418" s="4" t="s">
        <v>18</v>
      </c>
      <c r="C8418" s="4"/>
    </row>
    <row r="8419" spans="1:3" ht="24" customHeight="1">
      <c r="A8419" s="4" t="str">
        <f ca="1">IFERROR(__xludf.DUMMYFUNCTION("""COMPUTED_VALUE"""),"पुण्यतीर्थे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॥")</f>
        <v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v>
      </c>
      <c r="B8419" s="4" t="s">
        <v>20</v>
      </c>
      <c r="C8419" s="4"/>
    </row>
    <row r="8420" spans="1:3" ht="24" customHeight="1">
      <c r="A8420" s="4" t="str">
        <f ca="1">IFERROR(__xludf.DUMMYFUNCTION("""COMPUTED_VALUE"""),"अर्थागमो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")</f>
        <v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v>
      </c>
      <c r="B8420" s="4" t="s">
        <v>3</v>
      </c>
      <c r="C8420" s="4"/>
    </row>
    <row r="8421" spans="1:3" ht="24" customHeight="1">
      <c r="A8421" s="4" t="str">
        <f ca="1">IFERROR(__xludf.DUMMYFUNCTION("""COMPUTED_VALUE"""),"यस्य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॥")</f>
        <v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v>
      </c>
      <c r="B8421" s="4" t="s">
        <v>2</v>
      </c>
      <c r="C8421" s="4"/>
    </row>
    <row r="8422" spans="1:3" ht="24" customHeight="1">
      <c r="A8422" s="4" t="str">
        <f ca="1">IFERROR(__xludf.DUMMYFUNCTION("""COMPUTED_VALUE"""),"आहारनिद्राभयमैथुनानि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मित्र-०.16॥")</f>
        <v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v>
      </c>
      <c r="B8422" s="4" t="s">
        <v>1</v>
      </c>
      <c r="C8422" s="4"/>
    </row>
    <row r="8423" spans="1:3" ht="24" customHeight="1">
      <c r="A8423" s="4" t="str">
        <f ca="1">IFERROR(__xludf.DUMMYFUNCTION("""COMPUTED_VALUE"""),"धर्मार्थकाममोक्षाणां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॥")</f>
        <v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v>
      </c>
      <c r="B8423" s="4" t="s">
        <v>19</v>
      </c>
      <c r="C8423" s="4"/>
    </row>
    <row r="8424" spans="1:3" ht="24" customHeight="1">
      <c r="A8424" s="4" t="str">
        <f ca="1">IFERROR(__xludf.DUMMYFUNCTION("""COMPUTED_VALUE"""),"आयुः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॥")</f>
        <v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v>
      </c>
      <c r="B8424" s="4" t="s">
        <v>1</v>
      </c>
      <c r="C8424" s="4"/>
    </row>
    <row r="8425" spans="1:3" ht="24" customHeight="1">
      <c r="A8425" s="4" t="str">
        <f ca="1">IFERROR(__xludf.DUMMYFUNCTION("""COMPUTED_VALUE"""),"उद्योगिनं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॥")</f>
        <v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v>
      </c>
      <c r="B8425" s="4" t="s">
        <v>13</v>
      </c>
      <c r="C8425" s="4"/>
    </row>
    <row r="8426" spans="1:3" ht="24" customHeight="1">
      <c r="A8426" s="4" t="str">
        <f ca="1">IFERROR(__xludf.DUMMYFUNCTION("""COMPUTED_VALUE"""),"यथा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॥")</f>
        <v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v>
      </c>
      <c r="B8426" s="4" t="s">
        <v>2</v>
      </c>
      <c r="C8426" s="4"/>
    </row>
    <row r="8427" spans="1:3" ht="24" customHeight="1">
      <c r="A8427" s="4" t="str">
        <f ca="1">IFERROR(__xludf.DUMMYFUNCTION("""COMPUTED_VALUE"""),"काकतालीयवत्प्राप्तं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॥")</f>
        <v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v>
      </c>
      <c r="B8427" s="4" t="s">
        <v>2</v>
      </c>
      <c r="C8427" s="4"/>
    </row>
    <row r="8428" spans="1:3" ht="24" customHeight="1">
      <c r="A8428" s="4" t="str">
        <f ca="1">IFERROR(__xludf.DUMMYFUNCTION("""COMPUTED_VALUE"""),"उद्यमेन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॥")</f>
        <v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v>
      </c>
      <c r="B8428" s="4" t="s">
        <v>15</v>
      </c>
      <c r="C8428" s="4"/>
    </row>
    <row r="8429" spans="1:3" ht="24" customHeight="1">
      <c r="A8429" s="4" t="str">
        <f ca="1">IFERROR(__xludf.DUMMYFUNCTION("""COMPUTED_VALUE"""),"माता शत्रुः पिता वैरी येन बालो न पाठितः । न शोभते सभामध्ये हंसमध्ये बको यथा  ॥ नीतिसंग्रहस्य मित्र-०.३७ ॥")</f>
        <v>माता शत्रुः पिता वैरी येन बालो न पाठितः । न शोभते सभामध्ये हंसमध्ये बको यथा  ॥ नीतिसंग्रहस्य मित्र-०.३७ ॥</v>
      </c>
      <c r="B8429" s="4" t="s">
        <v>10</v>
      </c>
      <c r="C8429" s="4"/>
    </row>
    <row r="8430" spans="1:3" ht="24" customHeight="1">
      <c r="A8430" s="4" t="str">
        <f ca="1">IFERROR(__xludf.DUMMYFUNCTION("""COMPUTED_VALUE"""),"रूपयौवनसम्पन्ना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॥")</f>
        <v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v>
      </c>
      <c r="B8430" s="4" t="s">
        <v>19</v>
      </c>
      <c r="C8430" s="4"/>
    </row>
    <row r="8431" spans="1:3" ht="24" customHeight="1">
      <c r="A8431" s="4" t="str">
        <f ca="1">IFERROR(__xludf.DUMMYFUNCTION("""COMPUTED_VALUE"""),"पुस्तकेषु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॥")</f>
        <v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v>
      </c>
      <c r="B8431" s="4" t="s">
        <v>5</v>
      </c>
      <c r="C8431" s="4"/>
    </row>
    <row r="8432" spans="1:3" ht="24" customHeight="1">
      <c r="A8432" s="4" t="str">
        <f ca="1">IFERROR(__xludf.DUMMYFUNCTION("""COMPUTED_VALUE"""),"काचः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॥")</f>
        <v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v>
      </c>
      <c r="B8432" s="4" t="s">
        <v>2</v>
      </c>
      <c r="C8432" s="4"/>
    </row>
    <row r="8433" spans="1:3" ht="24" customHeight="1">
      <c r="A8433" s="4" t="str">
        <f ca="1">IFERROR(__xludf.DUMMYFUNCTION("""COMPUTED_VALUE"""),"हीयते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॥")</f>
        <v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v>
      </c>
      <c r="B8433" s="4" t="s">
        <v>2</v>
      </c>
      <c r="C8433" s="4"/>
    </row>
    <row r="8434" spans="1:3" ht="24" customHeight="1">
      <c r="A8434" s="4" t="str">
        <f ca="1">IFERROR(__xludf.DUMMYFUNCTION("""COMPUTED_VALUE"""),"नाद्रव्ये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॥")</f>
        <v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v>
      </c>
      <c r="B8434" s="4" t="s">
        <v>19</v>
      </c>
      <c r="C8434" s="4"/>
    </row>
    <row r="8435" spans="1:3" ht="24" customHeight="1">
      <c r="A8435" s="4" t="str">
        <f ca="1">IFERROR(__xludf.DUMMYFUNCTION("""COMPUTED_VALUE"""),"अस्मिंस्तु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॥")</f>
        <v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v>
      </c>
      <c r="B8435" s="4" t="s">
        <v>2</v>
      </c>
      <c r="C8435" s="4"/>
    </row>
    <row r="8436" spans="1:3" ht="24" customHeight="1">
      <c r="A8436" s="4" t="str">
        <f ca="1">IFERROR(__xludf.DUMMYFUNCTION("""COMPUTED_VALUE"""),"कीटोऽपि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॥")</f>
        <v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v>
      </c>
      <c r="B8436" s="4" t="s">
        <v>2</v>
      </c>
      <c r="C8436" s="4"/>
    </row>
    <row r="8437" spans="1:3" ht="24" customHeight="1">
      <c r="A8437" s="4" t="str">
        <f ca="1">IFERROR(__xludf.DUMMYFUNCTION("""COMPUTED_VALUE"""),"यथोदयगिरेर्द्रव्यं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॥")</f>
        <v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v>
      </c>
      <c r="B8437" s="4" t="s">
        <v>2</v>
      </c>
      <c r="C8437" s="4"/>
    </row>
    <row r="8438" spans="1:3" ht="24" customHeight="1">
      <c r="A8438" s="4" t="str">
        <f ca="1">IFERROR(__xludf.DUMMYFUNCTION("""COMPUTED_VALUE"""),"गुणा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॥")</f>
        <v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v>
      </c>
      <c r="B8438" s="4" t="s">
        <v>5</v>
      </c>
      <c r="C8438" s="4"/>
    </row>
    <row r="8439" spans="1:3" ht="24" customHeight="1">
      <c r="A8439" s="4" t="str">
        <f ca="1">IFERROR(__xludf.DUMMYFUNCTION("""COMPUTED_VALUE"""),"काव्यशास्त्रविनोदेन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॥")</f>
        <v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v>
      </c>
      <c r="B8439" s="4" t="s">
        <v>4</v>
      </c>
      <c r="C8439" s="4"/>
    </row>
    <row r="8440" spans="1:3" ht="24" customHeight="1">
      <c r="A8440" s="4" t="str">
        <f ca="1">IFERROR(__xludf.DUMMYFUNCTION("""COMPUTED_VALUE"""),"असाधना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॥")</f>
        <v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v>
      </c>
      <c r="B8440" s="4" t="s">
        <v>4</v>
      </c>
      <c r="C8440" s="4"/>
    </row>
    <row r="8441" spans="1:3" ht="24" customHeight="1">
      <c r="A8441" s="4" t="str">
        <f ca="1">IFERROR(__xludf.DUMMYFUNCTION("""COMPUTED_VALUE"""),"शोकस्थानसहस्राणि भयस्थानशतानि च । दिवसे दिवसे मूढमाविशन्ति न पण्डितम्  ॥ नीतिसंग्रहस्य मित्र-१.३ ॥")</f>
        <v>शोकस्थानसहस्राणि भयस्थानशतानि च । दिवसे दिवसे मूढमाविशन्ति न पण्डितम्  ॥ नीतिसंग्रहस्य मित्र-१.३ ॥</v>
      </c>
      <c r="B8441" s="4" t="s">
        <v>2</v>
      </c>
      <c r="C8441" s="4"/>
    </row>
    <row r="8442" spans="1:3" ht="24" customHeight="1">
      <c r="A8442" s="4" t="str">
        <f ca="1">IFERROR(__xludf.DUMMYFUNCTION("""COMPUTED_VALUE"""),"उत्थायोत्थाय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॥")</f>
        <v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v>
      </c>
      <c r="B8442" s="4" t="s">
        <v>2</v>
      </c>
      <c r="C8442" s="4"/>
    </row>
    <row r="8443" spans="1:3" ht="24" customHeight="1">
      <c r="A8443" s="4" t="str">
        <f ca="1">IFERROR(__xludf.DUMMYFUNCTION("""COMPUTED_VALUE"""),"कङ्कणस्य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॥")</f>
        <v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v>
      </c>
      <c r="B8443" s="4" t="s">
        <v>2</v>
      </c>
      <c r="C8443" s="4"/>
    </row>
    <row r="8444" spans="1:3" ht="24" customHeight="1">
      <c r="A8444" s="4" t="str">
        <f ca="1">IFERROR(__xludf.DUMMYFUNCTION("""COMPUTED_VALUE"""),"अनिष्टादिष्टलाभेऽपि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॥")</f>
        <v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v>
      </c>
      <c r="B8444" s="4" t="s">
        <v>4</v>
      </c>
      <c r="C8444" s="4"/>
    </row>
    <row r="8445" spans="1:3" ht="24" customHeight="1">
      <c r="A8445" s="4" t="str">
        <f ca="1">IFERROR(__xludf.DUMMYFUNCTION("""COMPUTED_VALUE"""),"न संशयमनारुह्य नरो भद्राणि पश्यति । संशयं पुनरारुह्य यदि जीवति पश्यति  ॥ नीतिसंग्रहस्य मित्र-१.७ ॥")</f>
        <v>न संशयमनारुह्य नरो भद्राणि पश्यति । संशयं पुनरारुह्य यदि जीवति पश्यति  ॥ नीतिसंग्रहस्य मित्र-१.७ ॥</v>
      </c>
      <c r="B8445" s="4" t="s">
        <v>2</v>
      </c>
      <c r="C8445" s="4"/>
    </row>
    <row r="8446" spans="1:3" ht="24" customHeight="1">
      <c r="A8446" s="4" t="str">
        <f ca="1">IFERROR(__xludf.DUMMYFUNCTION("""COMPUTED_VALUE"""),"इज्याऽध्ययनदानानि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॥")</f>
        <v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v>
      </c>
      <c r="B8446" s="4" t="s">
        <v>2</v>
      </c>
      <c r="C8446" s="4"/>
    </row>
    <row r="8447" spans="1:3" ht="24" customHeight="1">
      <c r="A8447" s="4" t="str">
        <f ca="1">IFERROR(__xludf.DUMMYFUNCTION("""COMPUTED_VALUE"""),"तत्र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॥")</f>
        <v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v>
      </c>
      <c r="B8447" s="4" t="s">
        <v>2</v>
      </c>
      <c r="C8447" s="4"/>
    </row>
    <row r="8448" spans="1:3" ht="24" customHeight="1">
      <c r="A8448" s="4" t="str">
        <f ca="1">IFERROR(__xludf.DUMMYFUNCTION("""COMPUTED_VALUE"""),"गतानुगतिको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॥")</f>
        <v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v>
      </c>
      <c r="B8448" s="4" t="s">
        <v>3</v>
      </c>
      <c r="C8448" s="4"/>
    </row>
    <row r="8449" spans="1:3" ht="24" customHeight="1">
      <c r="A8449" s="4" t="str">
        <f ca="1">IFERROR(__xludf.DUMMYFUNCTION("""COMPUTED_VALUE"""),"मरुस्थल्यां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॥")</f>
        <v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v>
      </c>
      <c r="B8449" s="4" t="s">
        <v>1</v>
      </c>
      <c r="C8449" s="4"/>
    </row>
    <row r="8450" spans="1:3" ht="24" customHeight="1">
      <c r="A8450" s="4" t="str">
        <f ca="1">IFERROR(__xludf.DUMMYFUNCTION("""COMPUTED_VALUE"""),"प्राणा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॥")</f>
        <v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v>
      </c>
      <c r="B8450" s="4" t="s">
        <v>4</v>
      </c>
      <c r="C8450" s="4"/>
    </row>
    <row r="8451" spans="1:3" ht="24" customHeight="1">
      <c r="A8451" s="4" t="str">
        <f ca="1">IFERROR(__xludf.DUMMYFUNCTION("""COMPUTED_VALUE"""),"प्रत्याख्याने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॥")</f>
        <v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v>
      </c>
      <c r="B8451" s="4" t="s">
        <v>2</v>
      </c>
      <c r="C8451" s="4"/>
    </row>
    <row r="8452" spans="1:3" ht="24" customHeight="1">
      <c r="A8452" s="4" t="str">
        <f ca="1">IFERROR(__xludf.DUMMYFUNCTION("""COMPUTED_VALUE"""),"मातृवत्परदारेषु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॥")</f>
        <v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v>
      </c>
      <c r="B8452" s="4" t="s">
        <v>2</v>
      </c>
      <c r="C8452" s="4"/>
    </row>
    <row r="8453" spans="1:3" ht="24" customHeight="1">
      <c r="A8453" s="4" t="str">
        <f ca="1">IFERROR(__xludf.DUMMYFUNCTION("""COMPUTED_VALUE"""),"दरिद्रान्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॥")</f>
        <v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v>
      </c>
      <c r="B8453" s="4" t="s">
        <v>20</v>
      </c>
      <c r="C8453" s="4"/>
    </row>
    <row r="8454" spans="1:3" ht="24" customHeight="1">
      <c r="A8454" s="4" t="str">
        <f ca="1">IFERROR(__xludf.DUMMYFUNCTION("""COMPUTED_VALUE"""),"दातव्यमिति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॥")</f>
        <v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v>
      </c>
      <c r="B8454" s="4" t="s">
        <v>17</v>
      </c>
      <c r="C8454" s="4"/>
    </row>
    <row r="8455" spans="1:3" ht="24" customHeight="1">
      <c r="A8455" s="4" t="str">
        <f ca="1">IFERROR(__xludf.DUMMYFUNCTION("""COMPUTED_VALUE"""),"न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॥")</f>
        <v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v>
      </c>
      <c r="B8455" s="4" t="s">
        <v>5</v>
      </c>
      <c r="C8455" s="4"/>
    </row>
    <row r="8456" spans="1:3" ht="24" customHeight="1">
      <c r="A8456" s="4" t="str">
        <f ca="1">IFERROR(__xludf.DUMMYFUNCTION("""COMPUTED_VALUE"""),"अवशेन्द्रियचित्तानां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॥")</f>
        <v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v>
      </c>
      <c r="B8456" s="4" t="s">
        <v>1</v>
      </c>
      <c r="C8456" s="4"/>
    </row>
    <row r="8457" spans="1:3" ht="24" customHeight="1">
      <c r="A8457" s="4" t="str">
        <f ca="1">IFERROR(__xludf.DUMMYFUNCTION("""COMPUTED_VALUE"""),"नदीनां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॥")</f>
        <v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v>
      </c>
      <c r="B8457" s="4" t="s">
        <v>16</v>
      </c>
      <c r="C8457" s="4"/>
    </row>
    <row r="8458" spans="1:3" ht="24" customHeight="1">
      <c r="A8458" s="4" t="str">
        <f ca="1">IFERROR(__xludf.DUMMYFUNCTION("""COMPUTED_VALUE"""),"सर्वस्य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॥")</f>
        <v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v>
      </c>
      <c r="B8458" s="4" t="s">
        <v>2</v>
      </c>
      <c r="C8458" s="4"/>
    </row>
    <row r="8459" spans="1:3" ht="24" customHeight="1">
      <c r="A8459" s="4" t="str">
        <f ca="1">IFERROR(__xludf.DUMMYFUNCTION("""COMPUTED_VALUE"""),"स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॥")</f>
        <v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v>
      </c>
      <c r="B8459" s="4" t="s">
        <v>10</v>
      </c>
      <c r="C8459" s="4"/>
    </row>
    <row r="8460" spans="1:3" ht="24" customHeight="1">
      <c r="A8460" s="4" t="str">
        <f ca="1">IFERROR(__xludf.DUMMYFUNCTION("""COMPUTED_VALUE"""),"सुजीर्णमन्नं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॥")</f>
        <v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v>
      </c>
      <c r="B8460" s="4" t="s">
        <v>5</v>
      </c>
      <c r="C8460" s="4"/>
    </row>
    <row r="8461" spans="1:3" ht="24" customHeight="1">
      <c r="A8461" s="4" t="str">
        <f ca="1">IFERROR(__xludf.DUMMYFUNCTION("""COMPUTED_VALUE"""),"वृद्धस्य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॥")</f>
        <v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v>
      </c>
      <c r="B8461" s="4" t="s">
        <v>2</v>
      </c>
      <c r="C8461" s="4"/>
    </row>
    <row r="8462" spans="1:3" ht="24" customHeight="1">
      <c r="A8462" s="4" t="str">
        <f ca="1">IFERROR(__xludf.DUMMYFUNCTION("""COMPUTED_VALUE"""),"शङ्काभिः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॥")</f>
        <v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v>
      </c>
      <c r="B8462" s="4" t="s">
        <v>4</v>
      </c>
      <c r="C8462" s="4"/>
    </row>
    <row r="8463" spans="1:3" ht="24" customHeight="1">
      <c r="A8463" s="4" t="str">
        <f ca="1">IFERROR(__xludf.DUMMYFUNCTION("""COMPUTED_VALUE"""),"ईर्ष्यी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॥")</f>
        <v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v>
      </c>
      <c r="B8463" s="4" t="s">
        <v>2</v>
      </c>
      <c r="C8463" s="4"/>
    </row>
    <row r="8464" spans="1:3" ht="24" customHeight="1">
      <c r="A8464" s="4" t="str">
        <f ca="1">IFERROR(__xludf.DUMMYFUNCTION("""COMPUTED_VALUE"""),"सुमहान्त्यपि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॥")</f>
        <v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v>
      </c>
      <c r="B8464" s="4" t="s">
        <v>2</v>
      </c>
      <c r="C8464" s="4"/>
    </row>
    <row r="8465" spans="1:3" ht="24" customHeight="1">
      <c r="A8465" s="4" t="str">
        <f ca="1">IFERROR(__xludf.DUMMYFUNCTION("""COMPUTED_VALUE"""),"लोभात्क्रोधः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॥")</f>
        <v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v>
      </c>
      <c r="B8465" s="4" t="s">
        <v>7</v>
      </c>
      <c r="C8465" s="4"/>
    </row>
    <row r="8466" spans="1:3" ht="24" customHeight="1">
      <c r="A8466" s="4" t="str">
        <f ca="1">IFERROR(__xludf.DUMMYFUNCTION("""COMPUTED_VALUE"""),"असंभवं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॥")</f>
        <v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v>
      </c>
      <c r="B8466" s="4" t="s">
        <v>2</v>
      </c>
      <c r="C8466" s="4"/>
    </row>
    <row r="8467" spans="1:3" ht="24" customHeight="1">
      <c r="A8467" s="4" t="str">
        <f ca="1">IFERROR(__xludf.DUMMYFUNCTION("""COMPUTED_VALUE"""),"न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॥")</f>
        <v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v>
      </c>
      <c r="B8467" s="4" t="s">
        <v>2</v>
      </c>
      <c r="C8467" s="4"/>
    </row>
    <row r="8468" spans="1:3" ht="24" customHeight="1">
      <c r="A8468" s="4" t="str">
        <f ca="1">IFERROR(__xludf.DUMMYFUNCTION("""COMPUTED_VALUE"""),"आपदामापतन्तीनां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॥")</f>
        <v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v>
      </c>
      <c r="B8468" s="4" t="s">
        <v>1</v>
      </c>
      <c r="C8468" s="4"/>
    </row>
    <row r="8469" spans="1:3" ht="24" customHeight="1">
      <c r="A8469" s="4" t="str">
        <f ca="1">IFERROR(__xludf.DUMMYFUNCTION("""COMPUTED_VALUE"""),"स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॥")</f>
        <v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v>
      </c>
      <c r="B8469" s="4" t="s">
        <v>2</v>
      </c>
      <c r="C8469" s="4"/>
    </row>
    <row r="8470" spans="1:3" ht="24" customHeight="1">
      <c r="A8470" s="4" t="str">
        <f ca="1">IFERROR(__xludf.DUMMYFUNCTION("""COMPUTED_VALUE"""),"विपदि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॥")</f>
        <v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v>
      </c>
      <c r="B8470" s="4" t="s">
        <v>1</v>
      </c>
      <c r="C8470" s="4"/>
    </row>
    <row r="8471" spans="1:3" ht="24" customHeight="1">
      <c r="A8471" s="4" t="str">
        <f ca="1">IFERROR(__xludf.DUMMYFUNCTION("""COMPUTED_VALUE"""),"सम्पदि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")</f>
        <v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v>
      </c>
      <c r="B8471" s="4" t="s">
        <v>11</v>
      </c>
      <c r="C8471" s="4"/>
    </row>
    <row r="8472" spans="1:3" ht="24" customHeight="1">
      <c r="A8472" s="4" t="str">
        <f ca="1">IFERROR(__xludf.DUMMYFUNCTION("""COMPUTED_VALUE"""),"षड्दोषाः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॥")</f>
        <v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v>
      </c>
      <c r="B8472" s="4" t="s">
        <v>2</v>
      </c>
      <c r="C8472" s="4"/>
    </row>
    <row r="8473" spans="1:3" ht="24" customHeight="1">
      <c r="A8473" s="4" t="str">
        <f ca="1">IFERROR(__xludf.DUMMYFUNCTION("""COMPUTED_VALUE"""),"अल्पानामपि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॥")</f>
        <v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v>
      </c>
      <c r="B8473" s="4" t="s">
        <v>1</v>
      </c>
      <c r="C8473" s="4"/>
    </row>
    <row r="8474" spans="1:3" ht="24" customHeight="1">
      <c r="A8474" s="4" t="str">
        <f ca="1">IFERROR(__xludf.DUMMYFUNCTION("""COMPUTED_VALUE"""),"संहतिः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॥")</f>
        <v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v>
      </c>
      <c r="B8474" s="4" t="s">
        <v>11</v>
      </c>
      <c r="C8474" s="4"/>
    </row>
    <row r="8475" spans="1:3" ht="24" customHeight="1">
      <c r="A8475" s="4" t="str">
        <f ca="1">IFERROR(__xludf.DUMMYFUNCTION("""COMPUTED_VALUE"""),"संहतास्तु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॥")</f>
        <v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v>
      </c>
      <c r="B8475" s="4" t="s">
        <v>17</v>
      </c>
      <c r="C8475" s="4"/>
    </row>
    <row r="8476" spans="1:3" ht="24" customHeight="1">
      <c r="A8476" s="4" t="str">
        <f ca="1">IFERROR(__xludf.DUMMYFUNCTION("""COMPUTED_VALUE"""),"माता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॥")</f>
        <v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v>
      </c>
      <c r="B8476" s="4" t="s">
        <v>5</v>
      </c>
      <c r="C8476" s="4"/>
    </row>
    <row r="8477" spans="1:3" ht="24" customHeight="1">
      <c r="A8477" s="4" t="str">
        <f ca="1">IFERROR(__xludf.DUMMYFUNCTION("""COMPUTED_VALUE"""),"यस्य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॥")</f>
        <v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v>
      </c>
      <c r="B8477" s="4" t="s">
        <v>4</v>
      </c>
      <c r="C8477" s="4"/>
    </row>
    <row r="8478" spans="1:3" ht="24" customHeight="1">
      <c r="A8478" s="4" t="str">
        <f ca="1">IFERROR(__xludf.DUMMYFUNCTION("""COMPUTED_VALUE"""),"यस्माच्च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॥")</f>
        <v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v>
      </c>
      <c r="B8478" s="4" t="s">
        <v>2</v>
      </c>
      <c r="C8478" s="4"/>
    </row>
    <row r="8479" spans="1:3" ht="24" customHeight="1">
      <c r="A8479" s="4" t="str">
        <f ca="1">IFERROR(__xludf.DUMMYFUNCTION("""COMPUTED_VALUE"""),"रागशोकपरीतापबन्धनव्यसनानि च । आत्मापराधवृक्षाणां फलान्येतानि देहिनाम्  ॥ नीतिसंग्रहस्य मित्र-१.४१ ॥")</f>
        <v>रागशोकपरीतापबन्धनव्यसनानि च । आत्मापराधवृक्षाणां फलान्येतानि देहिनाम्  ॥ नीतिसंग्रहस्य मित्र-१.४१ ॥</v>
      </c>
      <c r="B8479" s="4" t="s">
        <v>1</v>
      </c>
      <c r="C8479" s="4"/>
    </row>
    <row r="8480" spans="1:3" ht="24" customHeight="1">
      <c r="A8480" s="4" t="str">
        <f ca="1">IFERROR(__xludf.DUMMYFUNCTION("""COMPUTED_VALUE"""),"आपदर्थे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॥")</f>
        <v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v>
      </c>
      <c r="B8480" s="4" t="s">
        <v>9</v>
      </c>
      <c r="C8480" s="4"/>
    </row>
    <row r="8481" spans="1:3" ht="24" customHeight="1">
      <c r="A8481" s="4" t="str">
        <f ca="1">IFERROR(__xludf.DUMMYFUNCTION("""COMPUTED_VALUE"""),"धर्मार्थकाममोक्षाणां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॥")</f>
        <v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v>
      </c>
      <c r="B8481" s="4" t="s">
        <v>2</v>
      </c>
      <c r="C8481" s="4"/>
    </row>
    <row r="8482" spans="1:3" ht="24" customHeight="1">
      <c r="A8482" s="4" t="str">
        <f ca="1">IFERROR(__xludf.DUMMYFUNCTION("""COMPUTED_VALUE"""),"धनानि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॥")</f>
        <v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v>
      </c>
      <c r="B8482" s="4" t="s">
        <v>2</v>
      </c>
      <c r="C8482" s="4"/>
    </row>
    <row r="8483" spans="1:3" ht="24" customHeight="1">
      <c r="A8483" s="4" t="str">
        <f ca="1">IFERROR(__xludf.DUMMYFUNCTION("""COMPUTED_VALUE"""),"जातिद्रव्यबलानां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॥")</f>
        <v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v>
      </c>
      <c r="B8483" s="4" t="s">
        <v>2</v>
      </c>
      <c r="C8483" s="4"/>
    </row>
    <row r="8484" spans="1:3" ht="24" customHeight="1">
      <c r="A8484" s="4" t="str">
        <f ca="1">IFERROR(__xludf.DUMMYFUNCTION("""COMPUTED_VALUE"""),"विना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॥")</f>
        <v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v>
      </c>
      <c r="B8484" s="4" t="s">
        <v>2</v>
      </c>
      <c r="C8484" s="4"/>
    </row>
    <row r="8485" spans="1:3" ht="24" customHeight="1">
      <c r="A8485" s="4" t="str">
        <f ca="1">IFERROR(__xludf.DUMMYFUNCTION("""COMPUTED_VALUE"""),"मांसमूत्रपुरीषास्थिपूरितेऽत्र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॥")</f>
        <v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v>
      </c>
      <c r="B8485" s="4" t="s">
        <v>12</v>
      </c>
      <c r="C8485" s="4"/>
    </row>
    <row r="8486" spans="1:3" ht="24" customHeight="1">
      <c r="A8486" s="4" t="str">
        <f ca="1">IFERROR(__xludf.DUMMYFUNCTION("""COMPUTED_VALUE"""),"यदि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॥")</f>
        <v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v>
      </c>
      <c r="B8486" s="4" t="s">
        <v>19</v>
      </c>
      <c r="C8486" s="4"/>
    </row>
    <row r="8487" spans="1:3" ht="24" customHeight="1">
      <c r="A8487" s="4" t="str">
        <f ca="1">IFERROR(__xludf.DUMMYFUNCTION("""COMPUTED_VALUE"""),"शरीरस्य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॥")</f>
        <v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v>
      </c>
      <c r="B8487" s="4" t="s">
        <v>7</v>
      </c>
      <c r="C8487" s="4"/>
    </row>
    <row r="8488" spans="1:3" ht="24" customHeight="1">
      <c r="A8488" s="4" t="str">
        <f ca="1">IFERROR(__xludf.DUMMYFUNCTION("""COMPUTED_VALUE"""),"योऽधिकाद्योजनशतान्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॥")</f>
        <v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v>
      </c>
      <c r="B8488" s="4" t="s">
        <v>2</v>
      </c>
      <c r="C8488" s="4"/>
    </row>
    <row r="8489" spans="1:3" ht="24" customHeight="1">
      <c r="A8489" s="4" t="str">
        <f ca="1">IFERROR(__xludf.DUMMYFUNCTION("""COMPUTED_VALUE"""),"शशिदिवाकरयोर्ग्रहपीडनं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")</f>
        <v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v>
      </c>
      <c r="B8489" s="4" t="s">
        <v>2</v>
      </c>
      <c r="C8489" s="4"/>
    </row>
    <row r="8490" spans="1:3" ht="24" customHeight="1">
      <c r="A8490" s="4" t="str">
        <f ca="1">IFERROR(__xludf.DUMMYFUNCTION("""COMPUTED_VALUE"""),"व्योमैकान्तविहारिणोऽपि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॥")</f>
        <v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v>
      </c>
      <c r="B8490" s="4" t="s">
        <v>9</v>
      </c>
      <c r="C8490" s="4"/>
    </row>
    <row r="8491" spans="1:3" ht="24" customHeight="1">
      <c r="A8491" s="4" t="str">
        <f ca="1">IFERROR(__xludf.DUMMYFUNCTION("""COMPUTED_VALUE"""),"यानि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॥")</f>
        <v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v>
      </c>
      <c r="B8491" s="4" t="s">
        <v>1</v>
      </c>
      <c r="C8491" s="4"/>
    </row>
    <row r="8492" spans="1:3" ht="24" customHeight="1">
      <c r="A8492" s="4" t="str">
        <f ca="1">IFERROR(__xludf.DUMMYFUNCTION("""COMPUTED_VALUE"""),"यद्येन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॥")</f>
        <v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v>
      </c>
      <c r="B8492" s="4" t="s">
        <v>2</v>
      </c>
      <c r="C8492" s="4"/>
    </row>
    <row r="8493" spans="1:3" ht="24" customHeight="1">
      <c r="A8493" s="4" t="str">
        <f ca="1">IFERROR(__xludf.DUMMYFUNCTION("""COMPUTED_VALUE"""),"भक्ष्यभक्षयोः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॥")</f>
        <v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v>
      </c>
      <c r="B8493" s="4" t="s">
        <v>2</v>
      </c>
      <c r="C8493" s="4"/>
    </row>
    <row r="8494" spans="1:3" ht="24" customHeight="1">
      <c r="A8494" s="4" t="str">
        <f ca="1">IFERROR(__xludf.DUMMYFUNCTION("""COMPUTED_VALUE"""),"अज्ञातकुलशीलस्य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॥")</f>
        <v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v>
      </c>
      <c r="B8494" s="4" t="s">
        <v>4</v>
      </c>
      <c r="C8494" s="4"/>
    </row>
    <row r="8495" spans="1:3" ht="24" customHeight="1">
      <c r="A8495" s="4" t="str">
        <f ca="1">IFERROR(__xludf.DUMMYFUNCTION("""COMPUTED_VALUE"""),"तावद्भयस्य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॥")</f>
        <v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v>
      </c>
      <c r="B8495" s="4" t="s">
        <v>2</v>
      </c>
      <c r="C8495" s="4"/>
    </row>
    <row r="8496" spans="1:3" ht="24" customHeight="1">
      <c r="A8496" s="4" t="str">
        <f ca="1">IFERROR(__xludf.DUMMYFUNCTION("""COMPUTED_VALUE"""),"जातिमात्रेण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॥")</f>
        <v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v>
      </c>
      <c r="B8496" s="4" t="s">
        <v>4</v>
      </c>
      <c r="C8496" s="4"/>
    </row>
    <row r="8497" spans="1:3" ht="24" customHeight="1">
      <c r="A8497" s="4" t="str">
        <f ca="1">IFERROR(__xludf.DUMMYFUNCTION("""COMPUTED_VALUE"""),"अरावप्युचितं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॥")</f>
        <v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v>
      </c>
      <c r="B8497" s="4" t="s">
        <v>12</v>
      </c>
      <c r="C8497" s="4"/>
    </row>
    <row r="8498" spans="1:3" ht="24" customHeight="1">
      <c r="A8498" s="4" t="str">
        <f ca="1">IFERROR(__xludf.DUMMYFUNCTION("""COMPUTED_VALUE"""),"तृणानि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॥")</f>
        <v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v>
      </c>
      <c r="B8498" s="4" t="s">
        <v>1</v>
      </c>
      <c r="C8498" s="4"/>
    </row>
    <row r="8499" spans="1:3" ht="24" customHeight="1">
      <c r="A8499" s="4" t="str">
        <f ca="1">IFERROR(__xludf.DUMMYFUNCTION("""COMPUTED_VALUE"""),"बालो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॥")</f>
        <v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v>
      </c>
      <c r="B8499" s="4" t="s">
        <v>0</v>
      </c>
      <c r="C8499" s="4"/>
    </row>
    <row r="8500" spans="1:3" ht="24" customHeight="1">
      <c r="A8500" s="4" t="str">
        <f ca="1">IFERROR(__xludf.DUMMYFUNCTION("""COMPUTED_VALUE"""),"निर्गुणेष्वपि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॥")</f>
        <v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v>
      </c>
      <c r="B8500" s="4" t="s">
        <v>1</v>
      </c>
      <c r="C8500" s="4"/>
    </row>
    <row r="8501" spans="1:3" ht="24" customHeight="1">
      <c r="A8501" s="4" t="str">
        <f ca="1">IFERROR(__xludf.DUMMYFUNCTION("""COMPUTED_VALUE"""),"अतिथिर्यस्य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॥")</f>
        <v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v>
      </c>
      <c r="B8501" s="4" t="s">
        <v>2</v>
      </c>
      <c r="C8501" s="4"/>
    </row>
    <row r="8502" spans="1:3" ht="24" customHeight="1">
      <c r="A8502" s="4" t="str">
        <f ca="1">IFERROR(__xludf.DUMMYFUNCTION("""COMPUTED_VALUE"""),"उत्तमस्यापि वर्णस्य नीचोऽपि गृहमागतः । पूजनीयो यथायोग्यं सर्वदेवमयोऽतिथिः  ॥ नीतिसंग्रहस्य मित्र-१.६४ ॥")</f>
        <v>उत्तमस्यापि वर्णस्य नीचोऽपि गृहमागतः । पूजनीयो यथायोग्यं सर्वदेवमयोऽतिथिः  ॥ नीतिसंग्रहस्य मित्र-१.६४ ॥</v>
      </c>
      <c r="B8502" s="4" t="s">
        <v>10</v>
      </c>
      <c r="C8502" s="4"/>
    </row>
    <row r="8503" spans="1:3" ht="24" customHeight="1">
      <c r="A8503" s="4" t="str">
        <f ca="1">IFERROR(__xludf.DUMMYFUNCTION("""COMPUTED_VALUE"""),"सर्वहिंसानिवृत्ता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॥")</f>
        <v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v>
      </c>
      <c r="B8503" s="4" t="s">
        <v>1</v>
      </c>
      <c r="C8503" s="4"/>
    </row>
    <row r="8504" spans="1:3" ht="24" customHeight="1">
      <c r="A8504" s="4" t="str">
        <f ca="1">IFERROR(__xludf.DUMMYFUNCTION("""COMPUTED_VALUE"""),"एक एव सुहृद्धर्मो निधनेऽप्यनुयाति यः । शरीरेण समं नाशं सर्वमन्यधि गच्छति  ॥ नीतिसंग्रहस्य मित्र-१.६६ ॥")</f>
        <v>एक एव सुहृद्धर्मो निधनेऽप्यनुयाति यः । शरीरेण समं नाशं सर्वमन्यधि गच्छति  ॥ नीतिसंग्रहस्य मित्र-१.६६ ॥</v>
      </c>
      <c r="B8504" s="4" t="s">
        <v>2</v>
      </c>
      <c r="C8504" s="4"/>
    </row>
    <row r="8505" spans="1:3" ht="24" customHeight="1">
      <c r="A8505" s="4" t="str">
        <f ca="1">IFERROR(__xludf.DUMMYFUNCTION("""COMPUTED_VALUE"""),"योऽत्ति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॥")</f>
        <v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v>
      </c>
      <c r="B8505" s="4" t="s">
        <v>2</v>
      </c>
      <c r="C8505" s="4"/>
    </row>
    <row r="8506" spans="1:3" ht="24" customHeight="1">
      <c r="A8506" s="4" t="str">
        <f ca="1">IFERROR(__xludf.DUMMYFUNCTION("""COMPUTED_VALUE"""),"मर्तव्यमिति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॥")</f>
        <v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v>
      </c>
      <c r="B8506" s="4" t="s">
        <v>2</v>
      </c>
      <c r="C8506" s="4"/>
    </row>
    <row r="8507" spans="1:3" ht="24" customHeight="1">
      <c r="A8507" s="4" t="str">
        <f ca="1">IFERROR(__xludf.DUMMYFUNCTION("""COMPUTED_VALUE"""),"स्वच्छन्दवनजातेन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॥")</f>
        <v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v>
      </c>
      <c r="B8507" s="4" t="s">
        <v>24</v>
      </c>
      <c r="C8507" s="4"/>
    </row>
    <row r="8508" spans="1:3" ht="24" customHeight="1">
      <c r="A8508" s="4" t="str">
        <f ca="1">IFERROR(__xludf.DUMMYFUNCTION("""COMPUTED_VALUE"""),"यत्र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॥")</f>
        <v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v>
      </c>
      <c r="B8508" s="4" t="s">
        <v>2</v>
      </c>
      <c r="C8508" s="4"/>
    </row>
    <row r="8509" spans="1:3" ht="24" customHeight="1">
      <c r="A8509" s="4" t="str">
        <f ca="1">IFERROR(__xludf.DUMMYFUNCTION("""COMPUTED_VALUE"""),"अयं निजः परो वेति गणना लघुचेतसाम् । उदारचरितानां तु वसुधैव कुटुम्बकम्  ॥ नीतिसंग्रहस्य मित्र-१.७१ ॥")</f>
        <v>अयं निजः परो वेति गणना लघुचेतसाम् । उदारचरितानां तु वसुधैव कुटुम्बकम्  ॥ नीतिसंग्रहस्य मित्र-१.७१ ॥</v>
      </c>
      <c r="B8509" s="4" t="s">
        <v>19</v>
      </c>
      <c r="C8509" s="4"/>
    </row>
    <row r="8510" spans="1:3" ht="24" customHeight="1">
      <c r="A8510" s="4" t="str">
        <f ca="1">IFERROR(__xludf.DUMMYFUNCTION("""COMPUTED_VALUE"""),"न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॥")</f>
        <v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v>
      </c>
      <c r="B8510" s="4" t="s">
        <v>10</v>
      </c>
      <c r="C8510" s="4"/>
    </row>
    <row r="8511" spans="1:3" ht="24" customHeight="1">
      <c r="A8511" s="4" t="str">
        <f ca="1">IFERROR(__xludf.DUMMYFUNCTION("""COMPUTED_VALUE"""),"आपत्सु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॥")</f>
        <v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v>
      </c>
      <c r="B8511" s="4" t="s">
        <v>4</v>
      </c>
      <c r="C8511" s="4"/>
    </row>
    <row r="8512" spans="1:3" ht="24" customHeight="1">
      <c r="A8512" s="4" t="str">
        <f ca="1">IFERROR(__xludf.DUMMYFUNCTION("""COMPUTED_VALUE"""),"उत्सवे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॥")</f>
        <v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v>
      </c>
      <c r="B8512" s="4" t="s">
        <v>4</v>
      </c>
      <c r="C8512" s="4"/>
    </row>
    <row r="8513" spans="1:3" ht="24" customHeight="1">
      <c r="A8513" s="4" t="str">
        <f ca="1">IFERROR(__xludf.DUMMYFUNCTION("""COMPUTED_VALUE"""),"सुहृदां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॥")</f>
        <v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v>
      </c>
      <c r="B8513" s="4" t="s">
        <v>1</v>
      </c>
      <c r="C8513" s="4"/>
    </row>
    <row r="8514" spans="1:3" ht="24" customHeight="1">
      <c r="A8514" s="4" t="str">
        <f ca="1">IFERROR(__xludf.DUMMYFUNCTION("""COMPUTED_VALUE"""),"अपराधो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॥")</f>
        <v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v>
      </c>
      <c r="B8514" s="4" t="s">
        <v>9</v>
      </c>
      <c r="C8514" s="4"/>
    </row>
    <row r="8515" spans="1:3" ht="24" customHeight="1">
      <c r="A8515" s="4" t="str">
        <f ca="1">IFERROR(__xludf.DUMMYFUNCTION("""COMPUTED_VALUE"""),"दीपनिर्वाणगन्धं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॥")</f>
        <v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v>
      </c>
      <c r="B8515" s="4" t="s">
        <v>13</v>
      </c>
      <c r="C8515" s="4"/>
    </row>
    <row r="8516" spans="1:3" ht="24" customHeight="1">
      <c r="A8516" s="4" t="str">
        <f ca="1">IFERROR(__xludf.DUMMYFUNCTION("""COMPUTED_VALUE"""),"परोक्षे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॥")</f>
        <v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v>
      </c>
      <c r="B8516" s="4" t="s">
        <v>14</v>
      </c>
      <c r="C8516" s="4"/>
    </row>
    <row r="8517" spans="1:3" ht="24" customHeight="1">
      <c r="A8517" s="4" t="str">
        <f ca="1">IFERROR(__xludf.DUMMYFUNCTION("""COMPUTED_VALUE"""),"संलापितानां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॥")</f>
        <v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v>
      </c>
      <c r="B8517" s="4" t="s">
        <v>2</v>
      </c>
      <c r="C8517" s="4"/>
    </row>
    <row r="8518" spans="1:3" ht="24" customHeight="1">
      <c r="A8518" s="4" t="str">
        <f ca="1">IFERROR(__xludf.DUMMYFUNCTION("""COMPUTED_VALUE"""),"उपकारिणि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॥")</f>
        <v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v>
      </c>
      <c r="B8518" s="4" t="s">
        <v>18</v>
      </c>
      <c r="C8518" s="4"/>
    </row>
    <row r="8519" spans="1:3" ht="24" customHeight="1">
      <c r="A8519" s="4" t="str">
        <f ca="1">IFERROR(__xludf.DUMMYFUNCTION("""COMPUTED_VALUE"""),"दुर्जनेन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॥")</f>
        <v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v>
      </c>
      <c r="B8519" s="4" t="s">
        <v>0</v>
      </c>
      <c r="C8519" s="4"/>
    </row>
    <row r="8520" spans="1:3" ht="24" customHeight="1">
      <c r="A8520" s="4" t="str">
        <f ca="1">IFERROR(__xludf.DUMMYFUNCTION("""COMPUTED_VALUE"""),"प्राक्पादयोः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॥")</f>
        <v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v>
      </c>
      <c r="B8520" s="4" t="s">
        <v>2</v>
      </c>
      <c r="C8520" s="4"/>
    </row>
    <row r="8521" spans="1:3" ht="24" customHeight="1">
      <c r="A8521" s="4" t="str">
        <f ca="1">IFERROR(__xludf.DUMMYFUNCTION("""COMPUTED_VALUE"""),"दुर्जनः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॥")</f>
        <v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v>
      </c>
      <c r="B8521" s="4" t="s">
        <v>13</v>
      </c>
      <c r="C8521" s="4"/>
    </row>
    <row r="8522" spans="1:3" ht="24" customHeight="1">
      <c r="A8522" s="4" t="str">
        <f ca="1">IFERROR(__xludf.DUMMYFUNCTION("""COMPUTED_VALUE"""),"त्रिभिर्वर्षैस्त्रिभिर्मासैस्त्रिभिः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॥")</f>
        <v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v>
      </c>
      <c r="B8522" s="4" t="s">
        <v>2</v>
      </c>
      <c r="C8522" s="4"/>
    </row>
    <row r="8523" spans="1:3" ht="24" customHeight="1">
      <c r="A8523" s="4" t="str">
        <f ca="1">IFERROR(__xludf.DUMMYFUNCTION("""COMPUTED_VALUE"""),"भक्षितेनापि भवता नाहारो मम पुष्कलः । त्वयि जीवति जीवामि चित्रग्रीव इवानघ  ॥ नीतिसंग्रहस्य मित्र-१.८५ ॥")</f>
        <v>भक्षितेनापि भवता नाहारो मम पुष्कलः । त्वयि जीवति जीवामि चित्रग्रीव इवानघ  ॥ नीतिसंग्रहस्य मित्र-१.८५ ॥</v>
      </c>
      <c r="B8523" s="4" t="s">
        <v>28</v>
      </c>
      <c r="C8523" s="4"/>
    </row>
    <row r="8524" spans="1:3" ht="24" customHeight="1">
      <c r="A8524" s="4" t="str">
        <f ca="1">IFERROR(__xludf.DUMMYFUNCTION("""COMPUTED_VALUE"""),"तिरश्चामपि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॥")</f>
        <v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v>
      </c>
      <c r="B8524" s="4" t="s">
        <v>2</v>
      </c>
      <c r="C8524" s="4"/>
    </row>
    <row r="8525" spans="1:3" ht="24" customHeight="1">
      <c r="A8525" s="4" t="str">
        <f ca="1">IFERROR(__xludf.DUMMYFUNCTION("""COMPUTED_VALUE"""),"साधोः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॥")</f>
        <v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v>
      </c>
      <c r="B8525" s="4" t="s">
        <v>5</v>
      </c>
      <c r="C8525" s="4"/>
    </row>
    <row r="8526" spans="1:3" ht="24" customHeight="1">
      <c r="A8526" s="4" t="str">
        <f ca="1">IFERROR(__xludf.DUMMYFUNCTION("""COMPUTED_VALUE"""),"मार्जारो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॥")</f>
        <v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v>
      </c>
      <c r="B8526" s="4" t="s">
        <v>2</v>
      </c>
      <c r="C8526" s="4"/>
    </row>
    <row r="8527" spans="1:3" ht="24" customHeight="1">
      <c r="A8527" s="4" t="str">
        <f ca="1">IFERROR(__xludf.DUMMYFUNCTION("""COMPUTED_VALUE"""),"शत्रुणा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॥")</f>
        <v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v>
      </c>
      <c r="B8527" s="4" t="s">
        <v>19</v>
      </c>
      <c r="C8527" s="4"/>
    </row>
    <row r="8528" spans="1:3" ht="24" customHeight="1">
      <c r="A8528" s="4" t="str">
        <f ca="1">IFERROR(__xludf.DUMMYFUNCTION("""COMPUTED_VALUE"""),"दुर्जनः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॥")</f>
        <v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v>
      </c>
      <c r="B8528" s="4" t="s">
        <v>0</v>
      </c>
      <c r="C8528" s="4"/>
    </row>
    <row r="8529" spans="1:3" ht="24" customHeight="1">
      <c r="A8529" s="4" t="str">
        <f ca="1">IFERROR(__xludf.DUMMYFUNCTION("""COMPUTED_VALUE"""),"यदशक्यं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॥")</f>
        <v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v>
      </c>
      <c r="B8529" s="4" t="s">
        <v>11</v>
      </c>
      <c r="C8529" s="4"/>
    </row>
    <row r="8530" spans="1:3" ht="24" customHeight="1">
      <c r="A8530" s="4" t="str">
        <f ca="1">IFERROR(__xludf.DUMMYFUNCTION("""COMPUTED_VALUE"""),"महताप्यर्थसारेण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॥")</f>
        <v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v>
      </c>
      <c r="B8530" s="4" t="s">
        <v>1</v>
      </c>
      <c r="C8530" s="4"/>
    </row>
    <row r="8531" spans="1:3" ht="24" customHeight="1">
      <c r="A8531" s="4" t="str">
        <f ca="1">IFERROR(__xludf.DUMMYFUNCTION("""COMPUTED_VALUE"""),"मृद्घटवत्सुखभेद्यो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॥")</f>
        <v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v>
      </c>
      <c r="B8531" s="4" t="s">
        <v>5</v>
      </c>
      <c r="C8531" s="4"/>
    </row>
    <row r="8532" spans="1:3" ht="24" customHeight="1">
      <c r="A8532" s="4" t="str">
        <f ca="1">IFERROR(__xludf.DUMMYFUNCTION("""COMPUTED_VALUE"""),"द्रवत्वात्सर्वलोहानां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॥")</f>
        <v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v>
      </c>
      <c r="B8532" s="4" t="s">
        <v>2</v>
      </c>
      <c r="C8532" s="4"/>
    </row>
    <row r="8533" spans="1:3" ht="24" customHeight="1">
      <c r="A8533" s="4" t="str">
        <f ca="1">IFERROR(__xludf.DUMMYFUNCTION("""COMPUTED_VALUE"""),"नारिकेलसमाकारा दृश्यन्ते हि सुहृज्जनाः । अन्ये बदरिकाकारा बहिरेव मनोहराः  ॥ नीतिसंग्रहस्य मित्र-१.९५ ॥")</f>
        <v>नारिकेलसमाकारा दृश्यन्ते हि सुहृज्जनाः । अन्ये बदरिकाकारा बहिरेव मनोहराः  ॥ नीतिसंग्रहस्य मित्र-१.९५ ॥</v>
      </c>
      <c r="B8533" s="4" t="s">
        <v>0</v>
      </c>
      <c r="C8533" s="4"/>
    </row>
    <row r="8534" spans="1:3" ht="24" customHeight="1">
      <c r="A8534" s="4" t="str">
        <f ca="1">IFERROR(__xludf.DUMMYFUNCTION("""COMPUTED_VALUE"""),"स्नेहच्छेदेऽपि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॥")</f>
        <v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v>
      </c>
      <c r="B8534" s="4" t="s">
        <v>4</v>
      </c>
      <c r="C8534" s="4"/>
    </row>
    <row r="8535" spans="1:3" ht="24" customHeight="1">
      <c r="A8535" s="4" t="str">
        <f ca="1">IFERROR(__xludf.DUMMYFUNCTION("""COMPUTED_VALUE"""),"शुचित्वं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॥")</f>
        <v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v>
      </c>
      <c r="B8535" s="4" t="s">
        <v>7</v>
      </c>
      <c r="C8535" s="4"/>
    </row>
    <row r="8536" spans="1:3" ht="24" customHeight="1">
      <c r="A8536" s="4" t="str">
        <f ca="1">IFERROR(__xludf.DUMMYFUNCTION("""COMPUTED_VALUE"""),"घर्मार्तं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॥")</f>
        <v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v>
      </c>
      <c r="B8536" s="4" t="s">
        <v>12</v>
      </c>
      <c r="C8536" s="4"/>
    </row>
    <row r="8537" spans="1:3" ht="24" customHeight="1">
      <c r="A8537" s="4" t="str">
        <f ca="1">IFERROR(__xludf.DUMMYFUNCTION("""COMPUTED_VALUE"""),"रहस्यभेदो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॥")</f>
        <v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v>
      </c>
      <c r="B8537" s="4" t="s">
        <v>7</v>
      </c>
      <c r="C8537" s="4"/>
    </row>
    <row r="8538" spans="1:3" ht="24" customHeight="1">
      <c r="A8538" s="4" t="str">
        <f ca="1">IFERROR(__xludf.DUMMYFUNCTION("""COMPUTED_VALUE"""),"पटुत्वं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॥")</f>
        <v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v>
      </c>
      <c r="B8538" s="4" t="s">
        <v>2</v>
      </c>
      <c r="C8538" s="4"/>
    </row>
    <row r="8539" spans="1:3" ht="24" customHeight="1">
      <c r="A8539" s="4" t="str">
        <f ca="1">IFERROR(__xludf.DUMMYFUNCTION("""COMPUTED_VALUE"""),"अन्यथैव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॥")</f>
        <v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v>
      </c>
      <c r="B8539" s="4" t="s">
        <v>18</v>
      </c>
      <c r="C8539" s="4"/>
    </row>
    <row r="8540" spans="1:3" ht="24" customHeight="1">
      <c r="A8540" s="4" t="str">
        <f ca="1">IFERROR(__xludf.DUMMYFUNCTION("""COMPUTED_VALUE"""),"मनस्यन्यद्वचस्यन्यत्कर्मण्यन्यद्दुरात्मनाम्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॥")</f>
        <v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v>
      </c>
      <c r="B8540" s="4" t="s">
        <v>1</v>
      </c>
      <c r="C8540" s="4"/>
    </row>
    <row r="8541" spans="1:3" ht="24" customHeight="1">
      <c r="A8541" s="4" t="str">
        <f ca="1">IFERROR(__xludf.DUMMYFUNCTION("""COMPUTED_VALUE"""),"स्थानभ्रष्टा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॥")</f>
        <v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v>
      </c>
      <c r="B8541" s="4" t="s">
        <v>3</v>
      </c>
      <c r="C8541" s="4"/>
    </row>
    <row r="8542" spans="1:3" ht="24" customHeight="1">
      <c r="A8542" s="4" t="str">
        <f ca="1">IFERROR(__xludf.DUMMYFUNCTION("""COMPUTED_VALUE"""),"स्थानमुत्सृज्य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॥")</f>
        <v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v>
      </c>
      <c r="B8542" s="4" t="s">
        <v>15</v>
      </c>
      <c r="C8542" s="4"/>
    </row>
    <row r="8543" spans="1:3" ht="24" customHeight="1">
      <c r="A8543" s="4" t="str">
        <f ca="1">IFERROR(__xludf.DUMMYFUNCTION("""COMPUTED_VALUE"""),"को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॥")</f>
        <v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v>
      </c>
      <c r="B8543" s="4" t="s">
        <v>1</v>
      </c>
      <c r="C8543" s="4"/>
    </row>
    <row r="8544" spans="1:3" ht="24" customHeight="1">
      <c r="A8544" s="4" t="str">
        <f ca="1">IFERROR(__xludf.DUMMYFUNCTION("""COMPUTED_VALUE"""),"चलत्येकेन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॥")</f>
        <v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v>
      </c>
      <c r="B8544" s="4" t="s">
        <v>3</v>
      </c>
      <c r="C8544" s="4"/>
    </row>
    <row r="8545" spans="1:3" ht="24" customHeight="1">
      <c r="A8545" s="4" t="str">
        <f ca="1">IFERROR(__xludf.DUMMYFUNCTION("""COMPUTED_VALUE"""),"वायसो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॥")</f>
        <v>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v>
      </c>
      <c r="B8545" s="4" t="s">
        <v>1</v>
      </c>
      <c r="C8545" s="4"/>
    </row>
    <row r="8546" spans="1:3" ht="24" customHeight="1">
      <c r="A8546" s="4" t="str">
        <f ca="1">IFERROR(__xludf.DUMMYFUNCTION("""COMPUTED_VALUE"""),"यस्मिन्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॥")</f>
        <v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v>
      </c>
      <c r="B8546" s="4" t="s">
        <v>5</v>
      </c>
      <c r="C8546" s="4"/>
    </row>
    <row r="8547" spans="1:3" ht="24" customHeight="1">
      <c r="A8547" s="4" t="str">
        <f ca="1">IFERROR(__xludf.DUMMYFUNCTION("""COMPUTED_VALUE"""),"धनिकः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॥")</f>
        <v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v>
      </c>
      <c r="B8547" s="4" t="s">
        <v>5</v>
      </c>
      <c r="C8547" s="4"/>
    </row>
    <row r="8548" spans="1:3" ht="24" customHeight="1">
      <c r="A8548" s="4" t="str">
        <f ca="1">IFERROR(__xludf.DUMMYFUNCTION("""COMPUTED_VALUE"""),"लोकयात्रा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॥")</f>
        <v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v>
      </c>
      <c r="B8548" s="4" t="s">
        <v>2</v>
      </c>
      <c r="C8548" s="4"/>
    </row>
    <row r="8549" spans="1:3" ht="24" customHeight="1">
      <c r="A8549" s="4" t="str">
        <f ca="1">IFERROR(__xludf.DUMMYFUNCTION("""COMPUTED_VALUE"""),"तत्र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॥")</f>
        <v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v>
      </c>
      <c r="B8549" s="4" t="s">
        <v>17</v>
      </c>
      <c r="C8549" s="4"/>
    </row>
    <row r="8550" spans="1:3" ht="24" customHeight="1">
      <c r="A8550" s="4" t="str">
        <f ca="1">IFERROR(__xludf.DUMMYFUNCTION("""COMPUTED_VALUE"""),"बालो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॥")</f>
        <v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v>
      </c>
      <c r="B8550" s="4" t="s">
        <v>0</v>
      </c>
      <c r="C8550" s="4"/>
    </row>
    <row r="8551" spans="1:3" ht="24" customHeight="1">
      <c r="A8551" s="4" t="str">
        <f ca="1">IFERROR(__xludf.DUMMYFUNCTION("""COMPUTED_VALUE"""),"गुरुरग्निर्द्विजातीनां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॥")</f>
        <v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v>
      </c>
      <c r="B8551" s="4" t="s">
        <v>0</v>
      </c>
      <c r="C8551" s="4"/>
    </row>
    <row r="8552" spans="1:3" ht="24" customHeight="1">
      <c r="A8552" s="4" t="str">
        <f ca="1">IFERROR(__xludf.DUMMYFUNCTION("""COMPUTED_VALUE"""),"उत्तमस्यापि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॥")</f>
        <v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v>
      </c>
      <c r="B8552" s="4" t="s">
        <v>10</v>
      </c>
      <c r="C8552" s="4"/>
    </row>
    <row r="8553" spans="1:3" ht="24" customHeight="1">
      <c r="A8553" s="4" t="str">
        <f ca="1">IFERROR(__xludf.DUMMYFUNCTION("""COMPUTED_VALUE"""),"मुखं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॥")</f>
        <v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v>
      </c>
      <c r="B8553" s="4" t="s">
        <v>12</v>
      </c>
      <c r="C8553" s="4"/>
    </row>
    <row r="8554" spans="1:3" ht="24" customHeight="1">
      <c r="A8554" s="4" t="str">
        <f ca="1">IFERROR(__xludf.DUMMYFUNCTION("""COMPUTED_VALUE"""),"अदृष्टिदानं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॥")</f>
        <v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v>
      </c>
      <c r="B8554" s="4" t="s">
        <v>7</v>
      </c>
      <c r="C8554" s="4"/>
    </row>
    <row r="8555" spans="1:3" ht="24" customHeight="1">
      <c r="A8555" s="4" t="str">
        <f ca="1">IFERROR(__xludf.DUMMYFUNCTION("""COMPUTED_VALUE"""),"धनवान्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॥")</f>
        <v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v>
      </c>
      <c r="B8555" s="4" t="s">
        <v>2</v>
      </c>
      <c r="C8555" s="4"/>
    </row>
    <row r="8556" spans="1:3" ht="24" customHeight="1">
      <c r="A8556" s="4" t="str">
        <f ca="1">IFERROR(__xludf.DUMMYFUNCTION("""COMPUTED_VALUE"""),"धनेन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॥")</f>
        <v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v>
      </c>
      <c r="B8556" s="4" t="s">
        <v>2</v>
      </c>
      <c r="C8556" s="4"/>
    </row>
    <row r="8557" spans="1:3" ht="24" customHeight="1">
      <c r="A8557" s="4" t="str">
        <f ca="1">IFERROR(__xludf.DUMMYFUNCTION("""COMPUTED_VALUE"""),"अर्थेन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॥")</f>
        <v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v>
      </c>
      <c r="B8557" s="4" t="s">
        <v>10</v>
      </c>
      <c r="C8557" s="4"/>
    </row>
    <row r="8558" spans="1:3" ht="24" customHeight="1">
      <c r="A8558" s="4" t="str">
        <f ca="1">IFERROR(__xludf.DUMMYFUNCTION("""COMPUTED_VALUE"""),"यस्यार्थास्तस्य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॥")</f>
        <v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v>
      </c>
      <c r="B8558" s="4" t="s">
        <v>2</v>
      </c>
      <c r="C8558" s="4"/>
    </row>
    <row r="8559" spans="1:3" ht="24" customHeight="1">
      <c r="A8559" s="4" t="str">
        <f ca="1">IFERROR(__xludf.DUMMYFUNCTION("""COMPUTED_VALUE"""),"अपुत्रस्य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॥")</f>
        <v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v>
      </c>
      <c r="B8559" s="4" t="s">
        <v>2</v>
      </c>
      <c r="C8559" s="4"/>
    </row>
    <row r="8560" spans="1:3" ht="24" customHeight="1">
      <c r="A8560" s="4" t="str">
        <f ca="1">IFERROR(__xludf.DUMMYFUNCTION("""COMPUTED_VALUE"""),"दारिद्र्यान्मरणाद्वापि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॥")</f>
        <v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v>
      </c>
      <c r="B8560" s="4" t="s">
        <v>24</v>
      </c>
      <c r="C8560" s="4"/>
    </row>
    <row r="8561" spans="1:3" ht="24" customHeight="1">
      <c r="A8561" s="4" t="str">
        <f ca="1">IFERROR(__xludf.DUMMYFUNCTION("""COMPUTED_VALUE"""),"तानीन्द्रियाण्यविकलानि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॥")</f>
        <v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v>
      </c>
      <c r="B8561" s="4" t="s">
        <v>2</v>
      </c>
      <c r="C8561" s="4"/>
    </row>
    <row r="8562" spans="1:3" ht="24" customHeight="1">
      <c r="A8562" s="4" t="str">
        <f ca="1">IFERROR(__xludf.DUMMYFUNCTION("""COMPUTED_VALUE"""),"अत्यन्तविमुखे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॥")</f>
        <v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v>
      </c>
      <c r="B8562" s="4" t="s">
        <v>14</v>
      </c>
      <c r="C8562" s="4"/>
    </row>
    <row r="8563" spans="1:3" ht="24" customHeight="1">
      <c r="A8563" s="4" t="str">
        <f ca="1">IFERROR(__xludf.DUMMYFUNCTION("""COMPUTED_VALUE"""),"मनस्वी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॥")</f>
        <v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v>
      </c>
      <c r="B8563" s="4" t="s">
        <v>2</v>
      </c>
      <c r="C8563" s="4"/>
    </row>
    <row r="8564" spans="1:3" ht="24" customHeight="1">
      <c r="A8564" s="4" t="str">
        <f ca="1">IFERROR(__xludf.DUMMYFUNCTION("""COMPUTED_VALUE"""),"कुसुमस्तवकस्येव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॥")</f>
        <v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v>
      </c>
      <c r="B8564" s="4" t="s">
        <v>4</v>
      </c>
      <c r="C8564" s="4"/>
    </row>
    <row r="8565" spans="1:3" ht="24" customHeight="1">
      <c r="A8565" s="4" t="str">
        <f ca="1">IFERROR(__xludf.DUMMYFUNCTION("""COMPUTED_VALUE"""),"अर्थनाशं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॥")</f>
        <v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v>
      </c>
      <c r="B8565" s="4" t="s">
        <v>5</v>
      </c>
      <c r="C8565" s="4"/>
    </row>
    <row r="8566" spans="1:3" ht="24" customHeight="1">
      <c r="A8566" s="4" t="str">
        <f ca="1">IFERROR(__xludf.DUMMYFUNCTION("""COMPUTED_VALUE"""),"वरं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॥")</f>
        <v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v>
      </c>
      <c r="B8566" s="4" t="s">
        <v>1</v>
      </c>
      <c r="C8566" s="4"/>
    </row>
    <row r="8567" spans="1:3" ht="24" customHeight="1">
      <c r="A8567" s="4" t="str">
        <f ca="1">IFERROR(__xludf.DUMMYFUNCTION("""COMPUTED_VALUE"""),"दारिद्र्याद्ध्रियमेति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॥")</f>
        <v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v>
      </c>
      <c r="B8567" s="4" t="s">
        <v>17</v>
      </c>
      <c r="C8567" s="4"/>
    </row>
    <row r="8568" spans="1:3" ht="24" customHeight="1">
      <c r="A8568" s="4" t="str">
        <f ca="1">IFERROR(__xludf.DUMMYFUNCTION("""COMPUTED_VALUE"""),"वरं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॥")</f>
        <v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v>
      </c>
      <c r="B8568" s="4" t="s">
        <v>14</v>
      </c>
      <c r="C8568" s="4"/>
    </row>
    <row r="8569" spans="1:3" ht="24" customHeight="1">
      <c r="A8569" s="4" t="str">
        <f ca="1">IFERROR(__xludf.DUMMYFUNCTION("""COMPUTED_VALUE"""),"वरं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॥")</f>
        <v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v>
      </c>
      <c r="B8569" s="4" t="s">
        <v>12</v>
      </c>
      <c r="C8569" s="4"/>
    </row>
    <row r="8570" spans="1:3" ht="24" customHeight="1">
      <c r="A8570" s="4" t="str">
        <f ca="1">IFERROR(__xludf.DUMMYFUNCTION("""COMPUTED_VALUE"""),"सेवेव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॥")</f>
        <v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v>
      </c>
      <c r="B8570" s="4" t="s">
        <v>2</v>
      </c>
      <c r="C8570" s="4"/>
    </row>
    <row r="8571" spans="1:3" ht="24" customHeight="1">
      <c r="A8571" s="4" t="str">
        <f ca="1">IFERROR(__xludf.DUMMYFUNCTION("""COMPUTED_VALUE"""),"रोगी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॥")</f>
        <v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v>
      </c>
      <c r="B8571" s="4" t="s">
        <v>12</v>
      </c>
      <c r="C8571" s="4"/>
    </row>
    <row r="8572" spans="1:3" ht="24" customHeight="1">
      <c r="A8572" s="4" t="str">
        <f ca="1">IFERROR(__xludf.DUMMYFUNCTION("""COMPUTED_VALUE"""),"लोभेन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॥")</f>
        <v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v>
      </c>
      <c r="B8572" s="4" t="s">
        <v>4</v>
      </c>
      <c r="C8572" s="4"/>
    </row>
    <row r="8573" spans="1:3" ht="24" customHeight="1">
      <c r="A8573" s="4" t="str">
        <f ca="1">IFERROR(__xludf.DUMMYFUNCTION("""COMPUTED_VALUE"""),"धनलुब्धो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॥")</f>
        <v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v>
      </c>
      <c r="B8573" s="4" t="s">
        <v>18</v>
      </c>
      <c r="C8573" s="4"/>
    </row>
    <row r="8574" spans="1:3" ht="24" customHeight="1">
      <c r="A8574" s="4" t="str">
        <f ca="1">IFERROR(__xludf.DUMMYFUNCTION("""COMPUTED_VALUE"""),"सर्वाः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॥")</f>
        <v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v>
      </c>
      <c r="B8574" s="4" t="s">
        <v>6</v>
      </c>
      <c r="C8574" s="4"/>
    </row>
    <row r="8575" spans="1:3" ht="24" customHeight="1">
      <c r="A8575" s="4" t="str">
        <f ca="1">IFERROR(__xludf.DUMMYFUNCTION("""COMPUTED_VALUE"""),"सन्तोषामृततृप्तानां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॥")</f>
        <v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v>
      </c>
      <c r="B8575" s="4" t="s">
        <v>2</v>
      </c>
      <c r="C8575" s="4"/>
    </row>
    <row r="8576" spans="1:3" ht="24" customHeight="1">
      <c r="A8576" s="4" t="str">
        <f ca="1">IFERROR(__xludf.DUMMYFUNCTION("""COMPUTED_VALUE"""),"तेनाधीतं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॥")</f>
        <v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v>
      </c>
      <c r="B8576" s="4" t="s">
        <v>2</v>
      </c>
      <c r="C8576" s="4"/>
    </row>
    <row r="8577" spans="1:3" ht="24" customHeight="1">
      <c r="A8577" s="4" t="str">
        <f ca="1">IFERROR(__xludf.DUMMYFUNCTION("""COMPUTED_VALUE"""),"असेवितेश्वरद्वारमदृष्टविरहव्यथम्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॥")</f>
        <v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v>
      </c>
      <c r="B8577" s="4" t="s">
        <v>1</v>
      </c>
      <c r="C8577" s="4"/>
    </row>
    <row r="8578" spans="1:3" ht="24" customHeight="1">
      <c r="A8578" s="4" t="str">
        <f ca="1">IFERROR(__xludf.DUMMYFUNCTION("""COMPUTED_VALUE"""),"न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॥")</f>
        <v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v>
      </c>
      <c r="B8578" s="4" t="s">
        <v>0</v>
      </c>
      <c r="C8578" s="4"/>
    </row>
    <row r="8579" spans="1:3" ht="24" customHeight="1">
      <c r="A8579" s="4" t="str">
        <f ca="1">IFERROR(__xludf.DUMMYFUNCTION("""COMPUTED_VALUE"""),"को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॥")</f>
        <v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v>
      </c>
      <c r="B8579" s="4" t="s">
        <v>17</v>
      </c>
      <c r="C8579" s="4"/>
    </row>
    <row r="8580" spans="1:3" ht="24" customHeight="1">
      <c r="A8580" s="4" t="str">
        <f ca="1">IFERROR(__xludf.DUMMYFUNCTION("""COMPUTED_VALUE"""),"परिच्छेदो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॥")</f>
        <v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v>
      </c>
      <c r="B8580" s="4" t="s">
        <v>17</v>
      </c>
      <c r="C8580" s="4"/>
    </row>
    <row r="8581" spans="1:3" ht="24" customHeight="1">
      <c r="A8581" s="4" t="str">
        <f ca="1">IFERROR(__xludf.DUMMYFUNCTION("""COMPUTED_VALUE"""),"त्यजेदेकं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॥")</f>
        <v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v>
      </c>
      <c r="B8581" s="4" t="s">
        <v>3</v>
      </c>
      <c r="C8581" s="4"/>
    </row>
    <row r="8582" spans="1:3" ht="24" customHeight="1">
      <c r="A8582" s="4" t="str">
        <f ca="1">IFERROR(__xludf.DUMMYFUNCTION("""COMPUTED_VALUE"""),"पानीयं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॥")</f>
        <v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v>
      </c>
      <c r="B8582" s="4" t="s">
        <v>2</v>
      </c>
      <c r="C8582" s="4"/>
    </row>
    <row r="8583" spans="1:3" ht="24" customHeight="1">
      <c r="A8583" s="4" t="str">
        <f ca="1">IFERROR(__xludf.DUMMYFUNCTION("""COMPUTED_VALUE"""),"वरं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॥")</f>
        <v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v>
      </c>
      <c r="B8583" s="4" t="s">
        <v>1</v>
      </c>
      <c r="C8583" s="4"/>
    </row>
    <row r="8584" spans="1:3" ht="24" customHeight="1">
      <c r="A8584" s="4" t="str">
        <f ca="1">IFERROR(__xludf.DUMMYFUNCTION("""COMPUTED_VALUE"""),"संसारविषयवृक्षस्य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॥")</f>
        <v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v>
      </c>
      <c r="B8584" s="4" t="s">
        <v>24</v>
      </c>
      <c r="C8584" s="4"/>
    </row>
    <row r="8585" spans="1:3" ht="24" customHeight="1">
      <c r="A8585" s="4" t="str">
        <f ca="1">IFERROR(__xludf.DUMMYFUNCTION("""COMPUTED_VALUE"""),"सत्सङ्गः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॥")</f>
        <v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v>
      </c>
      <c r="B8585" s="4" t="s">
        <v>5</v>
      </c>
      <c r="C8585" s="4"/>
    </row>
    <row r="8586" spans="1:3" ht="24" customHeight="1">
      <c r="A8586" s="4" t="str">
        <f ca="1">IFERROR(__xludf.DUMMYFUNCTION("""COMPUTED_VALUE"""),"अर्थाः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॥")</f>
        <v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v>
      </c>
      <c r="B8586" s="4" t="s">
        <v>2</v>
      </c>
      <c r="C8586" s="4"/>
    </row>
    <row r="8587" spans="1:3" ht="24" customHeight="1">
      <c r="A8587" s="4" t="str">
        <f ca="1">IFERROR(__xludf.DUMMYFUNCTION("""COMPUTED_VALUE"""),"शृणु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॥")</f>
        <v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v>
      </c>
      <c r="B8587" s="4" t="s">
        <v>18</v>
      </c>
      <c r="C8587" s="4"/>
    </row>
    <row r="8588" spans="1:3" ht="24" customHeight="1">
      <c r="A8588" s="4" t="str">
        <f ca="1">IFERROR(__xludf.DUMMYFUNCTION("""COMPUTED_VALUE"""),"यदधोऽधः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॥")</f>
        <v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v>
      </c>
      <c r="B8588" s="4" t="s">
        <v>2</v>
      </c>
      <c r="C8588" s="4"/>
    </row>
    <row r="8589" spans="1:3" ht="24" customHeight="1">
      <c r="A8589" s="4" t="str">
        <f ca="1">IFERROR(__xludf.DUMMYFUNCTION("""COMPUTED_VALUE"""),"निजसौख्यं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॥")</f>
        <v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v>
      </c>
      <c r="B8589" s="4" t="s">
        <v>1</v>
      </c>
      <c r="C8589" s="4"/>
    </row>
    <row r="8590" spans="1:3" ht="24" customHeight="1">
      <c r="A8590" s="4" t="str">
        <f ca="1">IFERROR(__xludf.DUMMYFUNCTION("""COMPUTED_VALUE"""),"दानोपभोगहीनेन धनेन धनिनो यदि । भवामः किं न तेनैव धनेन धनिनो वयम्  ॥ नीतिसंग्रहस्य मित्र-१.१५२ ॥")</f>
        <v>दानोपभोगहीनेन धनेन धनिनो यदि । भवामः किं न तेनैव धनेन धनिनो वयम्  ॥ नीतिसंग्रहस्य मित्र-१.१५२ ॥</v>
      </c>
      <c r="B8590" s="4" t="s">
        <v>5</v>
      </c>
      <c r="C8590" s="4"/>
    </row>
    <row r="8591" spans="1:3" ht="24" customHeight="1">
      <c r="A8591" s="4" t="str">
        <f ca="1">IFERROR(__xludf.DUMMYFUNCTION("""COMPUTED_VALUE"""),"धनेन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॥")</f>
        <v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v>
      </c>
      <c r="B8591" s="4" t="s">
        <v>4</v>
      </c>
      <c r="C8591" s="4"/>
    </row>
    <row r="8592" spans="1:3" ht="24" customHeight="1">
      <c r="A8592" s="4" t="str">
        <f ca="1">IFERROR(__xludf.DUMMYFUNCTION("""COMPUTED_VALUE"""),"असम्भोगेन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॥")</f>
        <v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v>
      </c>
      <c r="B8592" s="4" t="s">
        <v>2</v>
      </c>
      <c r="C8592" s="4"/>
    </row>
    <row r="8593" spans="1:3" ht="24" customHeight="1">
      <c r="A8593" s="4" t="str">
        <f ca="1">IFERROR(__xludf.DUMMYFUNCTION("""COMPUTED_VALUE"""),"न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॥")</f>
        <v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v>
      </c>
      <c r="B8593" s="4" t="s">
        <v>4</v>
      </c>
      <c r="C8593" s="4"/>
    </row>
    <row r="8594" spans="1:3" ht="24" customHeight="1">
      <c r="A8594" s="4" t="str">
        <f ca="1">IFERROR(__xludf.DUMMYFUNCTION("""COMPUTED_VALUE"""),"दानं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॥")</f>
        <v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v>
      </c>
      <c r="B8594" s="4" t="s">
        <v>0</v>
      </c>
      <c r="C8594" s="4"/>
    </row>
    <row r="8595" spans="1:3" ht="24" customHeight="1">
      <c r="A8595" s="4" t="str">
        <f ca="1">IFERROR(__xludf.DUMMYFUNCTION("""COMPUTED_VALUE"""),"कर्तव्यः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॥")</f>
        <v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v>
      </c>
      <c r="B8595" s="4" t="s">
        <v>2</v>
      </c>
      <c r="C8595" s="4"/>
    </row>
    <row r="8596" spans="1:3" ht="24" customHeight="1">
      <c r="A8596" s="4" t="str">
        <f ca="1">IFERROR(__xludf.DUMMYFUNCTION("""COMPUTED_VALUE"""),"जलमग्निर्विषं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॥")</f>
        <v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v>
      </c>
      <c r="B8596" s="4" t="s">
        <v>2</v>
      </c>
      <c r="C8596" s="4"/>
    </row>
    <row r="8597" spans="1:3" ht="24" customHeight="1">
      <c r="A8597" s="4" t="str">
        <f ca="1">IFERROR(__xludf.DUMMYFUNCTION("""COMPUTED_VALUE"""),"अचिन्तितानि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॥")</f>
        <v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v>
      </c>
      <c r="B8597" s="4" t="s">
        <v>2</v>
      </c>
      <c r="C8597" s="4"/>
    </row>
    <row r="8598" spans="1:3" ht="24" customHeight="1">
      <c r="A8598" s="4" t="str">
        <f ca="1">IFERROR(__xludf.DUMMYFUNCTION("""COMPUTED_VALUE"""),"मासमेकं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॥")</f>
        <v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v>
      </c>
      <c r="B8598" s="4" t="s">
        <v>7</v>
      </c>
      <c r="C8598" s="4"/>
    </row>
    <row r="8599" spans="1:3" ht="24" customHeight="1">
      <c r="A8599" s="4" t="str">
        <f ca="1">IFERROR(__xludf.DUMMYFUNCTION("""COMPUTED_VALUE"""),"यद्ददाति यदश्नाति तदेव धनिनो धनम् । अन्ये मृतस्य क्रीडन्ति दारैरपि धनैरपि  ॥ नीतिसंग्रहस्य मित्र-१.१६१ ॥")</f>
        <v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v>
      </c>
      <c r="B8599" s="4" t="s">
        <v>9</v>
      </c>
      <c r="C8599" s="4"/>
    </row>
    <row r="8600" spans="1:3" ht="24" customHeight="1">
      <c r="A8600" s="4" t="str">
        <f ca="1">IFERROR(__xludf.DUMMYFUNCTION("""COMPUTED_VALUE"""),"यद्ददासि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॥")</f>
        <v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v>
      </c>
      <c r="B8600" s="4" t="s">
        <v>18</v>
      </c>
      <c r="C8600" s="4"/>
    </row>
    <row r="8601" spans="1:3" ht="24" customHeight="1">
      <c r="A8601" s="4" t="str">
        <f ca="1">IFERROR(__xludf.DUMMYFUNCTION("""COMPUTED_VALUE"""),"नाप्रायमभिवाञ्छन्ति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॥")</f>
        <v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v>
      </c>
      <c r="B8601" s="4" t="s">
        <v>5</v>
      </c>
      <c r="C8601" s="4"/>
    </row>
    <row r="8602" spans="1:3" ht="24" customHeight="1">
      <c r="A8602" s="4" t="str">
        <f ca="1">IFERROR(__xludf.DUMMYFUNCTION("""COMPUTED_VALUE"""),"शास्त्राण्यधीत्यापि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॥")</f>
        <v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v>
      </c>
      <c r="B8602" s="4" t="s">
        <v>15</v>
      </c>
      <c r="C8602" s="4"/>
    </row>
    <row r="8603" spans="1:3" ht="24" customHeight="1">
      <c r="A8603" s="4" t="str">
        <f ca="1">IFERROR(__xludf.DUMMYFUNCTION("""COMPUTED_VALUE"""),"न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॥")</f>
        <v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v>
      </c>
      <c r="B8603" s="4" t="s">
        <v>9</v>
      </c>
      <c r="C8603" s="4"/>
    </row>
    <row r="8604" spans="1:3" ht="24" customHeight="1">
      <c r="A8604" s="4" t="str">
        <f ca="1">IFERROR(__xludf.DUMMYFUNCTION("""COMPUTED_VALUE"""),"सुखमापतितं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॥")</f>
        <v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v>
      </c>
      <c r="B8604" s="4" t="s">
        <v>16</v>
      </c>
      <c r="C8604" s="4"/>
    </row>
    <row r="8605" spans="1:3" ht="24" customHeight="1">
      <c r="A8605" s="4" t="str">
        <f ca="1">IFERROR(__xludf.DUMMYFUNCTION("""COMPUTED_VALUE"""),"निपानमिव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॥")</f>
        <v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v>
      </c>
      <c r="B8605" s="4" t="s">
        <v>17</v>
      </c>
      <c r="C8605" s="4"/>
    </row>
    <row r="8606" spans="1:3" ht="24" customHeight="1">
      <c r="A8606" s="4" t="str">
        <f ca="1">IFERROR(__xludf.DUMMYFUNCTION("""COMPUTED_VALUE"""),"उत्साहसंपन्नमदीर्घसूत्रं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॥")</f>
        <v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v>
      </c>
      <c r="B8606" s="4" t="s">
        <v>2</v>
      </c>
      <c r="C8606" s="4"/>
    </row>
    <row r="8607" spans="1:3" ht="24" customHeight="1">
      <c r="A8607" s="4" t="str">
        <f ca="1">IFERROR(__xludf.DUMMYFUNCTION("""COMPUTED_VALUE"""),"विनाप्यर्थैर्धीरः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॥")</f>
        <v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v>
      </c>
      <c r="B8607" s="4" t="s">
        <v>2</v>
      </c>
      <c r="C8607" s="4"/>
    </row>
    <row r="8608" spans="1:3" ht="24" customHeight="1">
      <c r="A8608" s="4" t="str">
        <f ca="1">IFERROR(__xludf.DUMMYFUNCTION("""COMPUTED_VALUE"""),"धनवानिति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॥")</f>
        <v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v>
      </c>
      <c r="B8608" s="4" t="s">
        <v>7</v>
      </c>
      <c r="C8608" s="4"/>
    </row>
    <row r="8609" spans="1:3" ht="24" customHeight="1">
      <c r="A8609" s="4" t="str">
        <f ca="1">IFERROR(__xludf.DUMMYFUNCTION("""COMPUTED_VALUE"""),"वृत्त्यर्थं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॥")</f>
        <v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v>
      </c>
      <c r="B8609" s="4" t="s">
        <v>1</v>
      </c>
      <c r="C8609" s="4"/>
    </row>
    <row r="8610" spans="1:3" ht="24" customHeight="1">
      <c r="A8610" s="4" t="str">
        <f ca="1">IFERROR(__xludf.DUMMYFUNCTION("""COMPUTED_VALUE"""),"येन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॥")</f>
        <v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v>
      </c>
      <c r="B8610" s="4" t="s">
        <v>2</v>
      </c>
      <c r="C8610" s="4"/>
    </row>
    <row r="8611" spans="1:3" ht="24" customHeight="1">
      <c r="A8611" s="4" t="str">
        <f ca="1">IFERROR(__xludf.DUMMYFUNCTION("""COMPUTED_VALUE"""),"जनयन्त्यर्जने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॥")</f>
        <v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v>
      </c>
      <c r="B8611" s="4" t="s">
        <v>24</v>
      </c>
      <c r="C8611" s="4"/>
    </row>
    <row r="8612" spans="1:3" ht="24" customHeight="1">
      <c r="A8612" s="4" t="str">
        <f ca="1">IFERROR(__xludf.DUMMYFUNCTION("""COMPUTED_VALUE"""),"धर्मार्धं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॥")</f>
        <v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v>
      </c>
      <c r="B8612" s="4" t="s">
        <v>0</v>
      </c>
      <c r="C8612" s="4"/>
    </row>
    <row r="8613" spans="1:3" ht="24" customHeight="1">
      <c r="A8613" s="4" t="str">
        <f ca="1">IFERROR(__xludf.DUMMYFUNCTION("""COMPUTED_VALUE"""),"यथाआमिषमाकाशे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॥")</f>
        <v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v>
      </c>
      <c r="B8613" s="4" t="s">
        <v>4</v>
      </c>
      <c r="C8613" s="4"/>
    </row>
    <row r="8614" spans="1:3" ht="24" customHeight="1">
      <c r="A8614" s="4" t="str">
        <f ca="1">IFERROR(__xludf.DUMMYFUNCTION("""COMPUTED_VALUE"""),"राजतः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॥")</f>
        <v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v>
      </c>
      <c r="B8614" s="4" t="s">
        <v>4</v>
      </c>
      <c r="C8614" s="4"/>
    </row>
    <row r="8615" spans="1:3" ht="24" customHeight="1">
      <c r="A8615" s="4" t="str">
        <f ca="1">IFERROR(__xludf.DUMMYFUNCTION("""COMPUTED_VALUE"""),"जन्मनि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॥")</f>
        <v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v>
      </c>
      <c r="B8615" s="4" t="s">
        <v>2</v>
      </c>
      <c r="C8615" s="4"/>
    </row>
    <row r="8616" spans="1:3" ht="24" customHeight="1">
      <c r="A8616" s="4" t="str">
        <f ca="1">IFERROR(__xludf.DUMMYFUNCTION("""COMPUTED_VALUE"""),"धनं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॥")</f>
        <v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v>
      </c>
      <c r="B8616" s="4" t="s">
        <v>5</v>
      </c>
      <c r="C8616" s="4"/>
    </row>
    <row r="8617" spans="1:3" ht="24" customHeight="1">
      <c r="A8617" s="4" t="str">
        <f ca="1">IFERROR(__xludf.DUMMYFUNCTION("""COMPUTED_VALUE"""),"सा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॥")</f>
        <v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v>
      </c>
      <c r="B8617" s="4" t="s">
        <v>2</v>
      </c>
      <c r="C8617" s="4"/>
    </row>
    <row r="8618" spans="1:3" ht="24" customHeight="1">
      <c r="A8618" s="4" t="str">
        <f ca="1">IFERROR(__xludf.DUMMYFUNCTION("""COMPUTED_VALUE"""),"यद्यदेव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॥")</f>
        <v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v>
      </c>
      <c r="B8618" s="4" t="s">
        <v>2</v>
      </c>
      <c r="C8618" s="4"/>
    </row>
    <row r="8619" spans="1:3" ht="24" customHeight="1">
      <c r="A8619" s="4" t="str">
        <f ca="1">IFERROR(__xludf.DUMMYFUNCTION("""COMPUTED_VALUE"""),"आम्रणान्ताः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॥")</f>
        <v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v>
      </c>
      <c r="B8619" s="4" t="s">
        <v>1</v>
      </c>
      <c r="C8619" s="4"/>
    </row>
    <row r="8620" spans="1:3" ht="24" customHeight="1">
      <c r="A8620" s="4" t="str">
        <f ca="1">IFERROR(__xludf.DUMMYFUNCTION("""COMPUTED_VALUE"""),"सन्त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॥")</f>
        <v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v>
      </c>
      <c r="B8620" s="4" t="s">
        <v>0</v>
      </c>
      <c r="C8620" s="4"/>
    </row>
    <row r="8621" spans="1:3" ht="24" customHeight="1">
      <c r="A8621" s="4" t="str">
        <f ca="1">IFERROR(__xludf.DUMMYFUNCTION("""COMPUTED_VALUE"""),"श्लाघ्यः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॥")</f>
        <v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v>
      </c>
      <c r="B8621" s="4" t="s">
        <v>2</v>
      </c>
      <c r="C8621" s="4"/>
    </row>
    <row r="8622" spans="1:3" ht="24" customHeight="1">
      <c r="A8622" s="4" t="str">
        <f ca="1">IFERROR(__xludf.DUMMYFUNCTION("""COMPUTED_VALUE"""),"लोभाद्वाथ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॥")</f>
        <v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v>
      </c>
      <c r="B8622" s="4" t="s">
        <v>7</v>
      </c>
      <c r="C8622" s="4"/>
    </row>
    <row r="8623" spans="1:3" ht="24" customHeight="1">
      <c r="A8623" s="4" t="str">
        <f ca="1">IFERROR(__xludf.DUMMYFUNCTION("""COMPUTED_VALUE"""),"औरसं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॥")</f>
        <v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v>
      </c>
      <c r="B8623" s="4" t="s">
        <v>20</v>
      </c>
      <c r="C8623" s="4"/>
    </row>
    <row r="8624" spans="1:3" ht="24" customHeight="1">
      <c r="A8624" s="4" t="str">
        <f ca="1">IFERROR(__xludf.DUMMYFUNCTION("""COMPUTED_VALUE"""),"अम्भांसि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॥")</f>
        <v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v>
      </c>
      <c r="B8624" s="4" t="s">
        <v>11</v>
      </c>
      <c r="C8624" s="4"/>
    </row>
    <row r="8625" spans="1:3" ht="24" customHeight="1">
      <c r="A8625" s="4" t="str">
        <f ca="1">IFERROR(__xludf.DUMMYFUNCTION("""COMPUTED_VALUE"""),"उपायेन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॥")</f>
        <v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v>
      </c>
      <c r="B8625" s="4" t="s">
        <v>5</v>
      </c>
      <c r="C8625" s="4"/>
    </row>
    <row r="8626" spans="1:3" ht="24" customHeight="1">
      <c r="A8626" s="4" t="str">
        <f ca="1">IFERROR(__xludf.DUMMYFUNCTION("""COMPUTED_VALUE"""),"कुलाचारजनाचारैरतिशुद्धः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॥")</f>
        <v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v>
      </c>
      <c r="B8626" s="4" t="s">
        <v>4</v>
      </c>
      <c r="C8626" s="4"/>
    </row>
    <row r="8627" spans="1:3" ht="24" customHeight="1">
      <c r="A8627" s="4" t="str">
        <f ca="1">IFERROR(__xludf.DUMMYFUNCTION("""COMPUTED_VALUE"""),"राजानं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॥")</f>
        <v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v>
      </c>
      <c r="B8627" s="4" t="s">
        <v>1</v>
      </c>
      <c r="C8627" s="4"/>
    </row>
    <row r="8628" spans="1:3" ht="24" customHeight="1">
      <c r="A8628" s="4" t="str">
        <f ca="1">IFERROR(__xludf.DUMMYFUNCTION("""COMPUTED_VALUE"""),"पर्जन्य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॥")</f>
        <v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v>
      </c>
      <c r="B8628" s="4" t="s">
        <v>2</v>
      </c>
      <c r="C8628" s="4"/>
    </row>
    <row r="8629" spans="1:3" ht="24" customHeight="1">
      <c r="A8629" s="4" t="str">
        <f ca="1">IFERROR(__xludf.DUMMYFUNCTION("""COMPUTED_VALUE"""),"नियतविषयवर्ती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॥")</f>
        <v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v>
      </c>
      <c r="B8629" s="4" t="s">
        <v>2</v>
      </c>
      <c r="C8629" s="4"/>
    </row>
    <row r="8630" spans="1:3" ht="24" customHeight="1">
      <c r="A8630" s="4" t="str">
        <f ca="1">IFERROR(__xludf.DUMMYFUNCTION("""COMPUTED_VALUE"""),"यदासत्सङ्गरहितो भविष्यसि  भविष्यसि । यदासज्जनगोष्ठीषु पतिष्यसि पतिष्यसि  ॥ नीतिसंग्रहस्य मित्र-१.१९२ ॥")</f>
        <v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v>
      </c>
      <c r="B8630" s="4" t="s">
        <v>18</v>
      </c>
      <c r="C8630" s="4"/>
    </row>
    <row r="8631" spans="1:3" ht="24" customHeight="1">
      <c r="A8631" s="4" t="str">
        <f ca="1">IFERROR(__xludf.DUMMYFUNCTION("""COMPUTED_VALUE"""),"एकस्य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॥")</f>
        <v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v>
      </c>
      <c r="B8631" s="4" t="s">
        <v>2</v>
      </c>
      <c r="C8631" s="4"/>
    </row>
    <row r="8632" spans="1:3" ht="24" customHeight="1">
      <c r="A8632" s="4" t="str">
        <f ca="1">IFERROR(__xludf.DUMMYFUNCTION("""COMPUTED_VALUE"""),"स्वभावजं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॥")</f>
        <v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v>
      </c>
      <c r="B8632" s="4" t="s">
        <v>2</v>
      </c>
      <c r="C8632" s="4"/>
    </row>
    <row r="8633" spans="1:3" ht="24" customHeight="1">
      <c r="A8633" s="4" t="str">
        <f ca="1">IFERROR(__xludf.DUMMYFUNCTION("""COMPUTED_VALUE"""),"न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॥")</f>
        <v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v>
      </c>
      <c r="B8633" s="4" t="s">
        <v>3</v>
      </c>
      <c r="C8633" s="4"/>
    </row>
    <row r="8634" spans="1:3" ht="24" customHeight="1">
      <c r="A8634" s="4" t="str">
        <f ca="1">IFERROR(__xludf.DUMMYFUNCTION("""COMPUTED_VALUE"""),"स्वकर्मसन्तानविचेष्टितानि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॥")</f>
        <v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v>
      </c>
      <c r="B8634" s="4" t="s">
        <v>7</v>
      </c>
      <c r="C8634" s="4"/>
    </row>
    <row r="8635" spans="1:3" ht="24" customHeight="1">
      <c r="A8635" s="4" t="str">
        <f ca="1">IFERROR(__xludf.DUMMYFUNCTION("""COMPUTED_VALUE"""),"कायः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॥")</f>
        <v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v>
      </c>
      <c r="B8635" s="4" t="s">
        <v>0</v>
      </c>
      <c r="C8635" s="4"/>
    </row>
    <row r="8636" spans="1:3" ht="24" customHeight="1">
      <c r="A8636" s="4" t="str">
        <f ca="1">IFERROR(__xludf.DUMMYFUNCTION("""COMPUTED_VALUE"""),"शोकारातिभयत्राणं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॥")</f>
        <v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v>
      </c>
      <c r="B8636" s="4" t="s">
        <v>5</v>
      </c>
      <c r="C8636" s="4"/>
    </row>
    <row r="8637" spans="1:3" ht="24" customHeight="1">
      <c r="A8637" s="4" t="str">
        <f ca="1">IFERROR(__xludf.DUMMYFUNCTION("""COMPUTED_VALUE"""),"मित्रं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॥")</f>
        <v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v>
      </c>
      <c r="B8637" s="4" t="s">
        <v>9</v>
      </c>
      <c r="C8637" s="4"/>
    </row>
    <row r="8638" spans="1:3" ht="24" customHeight="1">
      <c r="A8638" s="4" t="str">
        <f ca="1">IFERROR(__xludf.DUMMYFUNCTION("""COMPUTED_VALUE"""),"यो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॥")</f>
        <v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v>
      </c>
      <c r="B8638" s="4" t="s">
        <v>24</v>
      </c>
      <c r="C8638" s="4"/>
    </row>
    <row r="8639" spans="1:3" ht="24" customHeight="1">
      <c r="A8639" s="4" t="str">
        <f ca="1">IFERROR(__xludf.DUMMYFUNCTION("""COMPUTED_VALUE"""),"दिक्कालाद्यनवच्छिन्नानन्तचिन्मात्रमूर्तये । स्वानुभूत्येकमानाय नमः शान्ताय तेजसे ||")</f>
        <v>दिक्कालाद्यनवच्छिन्नानन्तचिन्मात्रमूर्तये । स्वानुभूत्येकमानाय नमः शान्ताय तेजसे ||</v>
      </c>
      <c r="B8639" s="4" t="s">
        <v>18</v>
      </c>
      <c r="C8639" s="4"/>
    </row>
    <row r="8640" spans="1:3" ht="24" customHeight="1">
      <c r="A8640" s="4" t="str">
        <f ca="1">IFERROR(__xludf.DUMMYFUNCTION("""COMPUTED_VALUE"""),"यां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||")</f>
        <v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||</v>
      </c>
      <c r="B8640" s="4" t="s">
        <v>16</v>
      </c>
      <c r="C8640" s="4"/>
    </row>
    <row r="8641" spans="1:3" ht="24" customHeight="1">
      <c r="A8641" s="4" t="str">
        <f ca="1">IFERROR(__xludf.DUMMYFUNCTION("""COMPUTED_VALUE"""),"अज्ञः सुखमाराध्यः सुखतरमाराध्यते विशेषज्ञः । ज्ञानलवदुर्विदग्धं ब्रह्माऽपि च तं नरं न रञ्जयति ||")</f>
        <v>अज्ञः सुखमाराध्यः सुखतरमाराध्यते विशेषज्ञः । ज्ञानलवदुर्विदग्धं ब्रह्माऽपि च तं नरं न रञ्जयति ||</v>
      </c>
      <c r="B8641" s="4" t="s">
        <v>2</v>
      </c>
      <c r="C8641" s="4"/>
    </row>
    <row r="8642" spans="1:3" ht="24" customHeight="1">
      <c r="A8642" s="4" t="str">
        <f ca="1">IFERROR(__xludf.DUMMYFUNCTION("""COMPUTED_VALUE"""),"प्रसह्य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||")</f>
        <v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||</v>
      </c>
      <c r="B8642" s="4" t="s">
        <v>5</v>
      </c>
      <c r="C8642" s="4"/>
    </row>
    <row r="8643" spans="1:3" ht="24" customHeight="1">
      <c r="A8643" s="4" t="str">
        <f ca="1">IFERROR(__xludf.DUMMYFUNCTION("""COMPUTED_VALUE"""),"लभेत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||")</f>
        <v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||</v>
      </c>
      <c r="B8643" s="4" t="s">
        <v>5</v>
      </c>
      <c r="C8643" s="4"/>
    </row>
    <row r="8644" spans="1:3" ht="24" customHeight="1">
      <c r="A8644" s="4" t="str">
        <f ca="1">IFERROR(__xludf.DUMMYFUNCTION("""COMPUTED_VALUE"""),"व्यालं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||")</f>
        <v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||</v>
      </c>
      <c r="B8644" s="4" t="s">
        <v>6</v>
      </c>
      <c r="C8644" s="4"/>
    </row>
    <row r="8645" spans="1:3" ht="24" customHeight="1">
      <c r="A8645" s="4" t="str">
        <f ca="1">IFERROR(__xludf.DUMMYFUNCTION("""COMPUTED_VALUE"""),"स्वायत्तमेकान्तगुणं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||")</f>
        <v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||</v>
      </c>
      <c r="B8645" s="4" t="s">
        <v>1</v>
      </c>
      <c r="C8645" s="4"/>
    </row>
    <row r="8646" spans="1:3" ht="24" customHeight="1">
      <c r="A8646" s="4" t="str">
        <f ca="1">IFERROR(__xludf.DUMMYFUNCTION("""COMPUTED_VALUE"""),"यदा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||")</f>
        <v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||</v>
      </c>
      <c r="B8646" s="4" t="s">
        <v>2</v>
      </c>
      <c r="C8646" s="4"/>
    </row>
    <row r="8647" spans="1:3" ht="24" customHeight="1">
      <c r="A8647" s="4" t="str">
        <f ca="1">IFERROR(__xludf.DUMMYFUNCTION("""COMPUTED_VALUE"""),"कृमिकुलचितं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||")</f>
        <v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||</v>
      </c>
      <c r="B8647" s="4" t="s">
        <v>2</v>
      </c>
      <c r="C8647" s="4"/>
    </row>
    <row r="8648" spans="1:3" ht="24" customHeight="1">
      <c r="A8648" s="4" t="str">
        <f ca="1">IFERROR(__xludf.DUMMYFUNCTION("""COMPUTED_VALUE"""),"शिरः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||")</f>
        <v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||</v>
      </c>
      <c r="B8648" s="4" t="s">
        <v>14</v>
      </c>
      <c r="C8648" s="4"/>
    </row>
    <row r="8649" spans="1:3" ht="24" customHeight="1">
      <c r="A8649" s="4" t="str">
        <f ca="1">IFERROR(__xludf.DUMMYFUNCTION("""COMPUTED_VALUE"""),"शक्यो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||")</f>
        <v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||</v>
      </c>
      <c r="B8649" s="4" t="s">
        <v>20</v>
      </c>
      <c r="C8649" s="4"/>
    </row>
    <row r="8650" spans="1:3" ht="24" customHeight="1">
      <c r="A8650" s="4" t="str">
        <f ca="1">IFERROR(__xludf.DUMMYFUNCTION("""COMPUTED_VALUE"""),"साहित्यसङ्गीतकलाविहीनः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||")</f>
        <v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||</v>
      </c>
      <c r="B8650" s="4" t="s">
        <v>1</v>
      </c>
      <c r="C8650" s="4"/>
    </row>
    <row r="8651" spans="1:3" ht="24" customHeight="1">
      <c r="A8651" s="4" t="str">
        <f ca="1">IFERROR(__xludf.DUMMYFUNCTION("""COMPUTED_VALUE"""),"येषां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||")</f>
        <v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||</v>
      </c>
      <c r="B8651" s="4" t="s">
        <v>2</v>
      </c>
      <c r="C8651" s="4"/>
    </row>
    <row r="8652" spans="1:3" ht="24" customHeight="1">
      <c r="A8652" s="4" t="str">
        <f ca="1">IFERROR(__xludf.DUMMYFUNCTION("""COMPUTED_VALUE"""),"वरं पर्वतदुर्गेषु भ्रान्तं वनचरैः सह । न मूर्खजनसम्पर्कः सुरेन्द्रभवनेष्वपि ||")</f>
        <v>वरं पर्वतदुर्गेषु भ्रान्तं वनचरैः सह । न मूर्खजनसम्पर्कः सुरेन्द्रभवनेष्वपि ||</v>
      </c>
      <c r="B8652" s="4" t="s">
        <v>9</v>
      </c>
      <c r="C8652" s="4"/>
    </row>
    <row r="8653" spans="1:3" ht="24" customHeight="1">
      <c r="A8653" s="4" t="str">
        <f ca="1">IFERROR(__xludf.DUMMYFUNCTION("""COMPUTED_VALUE"""),"शास्त्रोपस्कृतशब्दसुन्दरगिरः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||")</f>
        <v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||</v>
      </c>
      <c r="B8653" s="4" t="s">
        <v>2</v>
      </c>
      <c r="C8653" s="4"/>
    </row>
    <row r="8654" spans="1:3" ht="24" customHeight="1">
      <c r="A8654" s="4" t="str">
        <f ca="1">IFERROR(__xludf.DUMMYFUNCTION("""COMPUTED_VALUE"""),"हर्तुर्याति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||")</f>
        <v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||</v>
      </c>
      <c r="B8654" s="4" t="s">
        <v>2</v>
      </c>
      <c r="C8654" s="4"/>
    </row>
    <row r="8655" spans="1:3" ht="24" customHeight="1">
      <c r="A8655" s="4" t="str">
        <f ca="1">IFERROR(__xludf.DUMMYFUNCTION("""COMPUTED_VALUE"""),"अधिगतपरमार्थान्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||")</f>
        <v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||</v>
      </c>
      <c r="B8655" s="4" t="s">
        <v>1</v>
      </c>
      <c r="C8655" s="4"/>
    </row>
    <row r="8656" spans="1:3" ht="24" customHeight="1">
      <c r="A8656" s="4" t="str">
        <f ca="1">IFERROR(__xludf.DUMMYFUNCTION("""COMPUTED_VALUE"""),"अम्भोजिनीवनविहारविलासमेव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||")</f>
        <v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||</v>
      </c>
      <c r="B8656" s="4" t="s">
        <v>10</v>
      </c>
      <c r="C8656" s="4"/>
    </row>
    <row r="8657" spans="1:3" ht="24" customHeight="1">
      <c r="A8657" s="4" t="str">
        <f ca="1">IFERROR(__xludf.DUMMYFUNCTION("""COMPUTED_VALUE"""),"केयूरा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||")</f>
        <v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||</v>
      </c>
      <c r="B8657" s="4" t="s">
        <v>7</v>
      </c>
      <c r="C8657" s="4"/>
    </row>
    <row r="8658" spans="1:3" ht="24" customHeight="1">
      <c r="A8658" s="4" t="str">
        <f ca="1">IFERROR(__xludf.DUMMYFUNCTION("""COMPUTED_VALUE"""),"विद्या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||")</f>
        <v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||</v>
      </c>
      <c r="B8658" s="4" t="s">
        <v>8</v>
      </c>
      <c r="C8658" s="4"/>
    </row>
    <row r="8659" spans="1:3" ht="24" customHeight="1">
      <c r="A8659" s="4" t="str">
        <f ca="1">IFERROR(__xludf.DUMMYFUNCTION("""COMPUTED_VALUE"""),"क्षान्तिश्चेद्वचनेन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||")</f>
        <v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||</v>
      </c>
      <c r="B8659" s="4" t="s">
        <v>19</v>
      </c>
      <c r="C8659" s="4"/>
    </row>
    <row r="8660" spans="1:3" ht="24" customHeight="1">
      <c r="A8660" s="4" t="str">
        <f ca="1">IFERROR(__xludf.DUMMYFUNCTION("""COMPUTED_VALUE"""),"दाक्षिण्यं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||")</f>
        <v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||</v>
      </c>
      <c r="B8660" s="4" t="s">
        <v>2</v>
      </c>
      <c r="C8660" s="4"/>
    </row>
    <row r="8661" spans="1:3" ht="24" customHeight="1">
      <c r="A8661" s="4" t="str">
        <f ca="1">IFERROR(__xludf.DUMMYFUNCTION("""COMPUTED_VALUE"""),"जाड्यं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||")</f>
        <v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||</v>
      </c>
      <c r="B8661" s="4" t="s">
        <v>18</v>
      </c>
      <c r="C8661" s="4"/>
    </row>
    <row r="8662" spans="1:3" ht="24" customHeight="1">
      <c r="A8662" s="4" t="str">
        <f ca="1">IFERROR(__xludf.DUMMYFUNCTION("""COMPUTED_VALUE"""),"जयन्ति ते सुकृतिनो रससिद्धाः कवीश्वराः । नास्ति येषां यशः काये जरामरणजं भयम् ||")</f>
        <v>जयन्ति ते सुकृतिनो रससिद्धाः कवीश्वराः । नास्ति येषां यशः काये जरामरणजं भयम् ||</v>
      </c>
      <c r="B8662" s="4" t="s">
        <v>5</v>
      </c>
      <c r="C8662" s="4"/>
    </row>
    <row r="8663" spans="1:3" ht="24" customHeight="1">
      <c r="A8663" s="4" t="str">
        <f ca="1">IFERROR(__xludf.DUMMYFUNCTION("""COMPUTED_VALUE"""),"सूनुः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||")</f>
        <v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||</v>
      </c>
      <c r="B8663" s="4" t="s">
        <v>1</v>
      </c>
      <c r="C8663" s="4"/>
    </row>
    <row r="8664" spans="1:3" ht="24" customHeight="1">
      <c r="A8664" s="4" t="str">
        <f ca="1">IFERROR(__xludf.DUMMYFUNCTION("""COMPUTED_VALUE"""),"प्राणाघातान्निवृत्तिः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||")</f>
        <v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||</v>
      </c>
      <c r="B8664" s="4" t="s">
        <v>10</v>
      </c>
      <c r="C8664" s="4"/>
    </row>
    <row r="8665" spans="1:3" ht="24" customHeight="1">
      <c r="A8665" s="4" t="str">
        <f ca="1">IFERROR(__xludf.DUMMYFUNCTION("""COMPUTED_VALUE"""),"प्रारभ्यते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||")</f>
        <v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||</v>
      </c>
      <c r="B8665" s="4" t="s">
        <v>2</v>
      </c>
      <c r="C8665" s="4"/>
    </row>
    <row r="8666" spans="1:3" ht="24" customHeight="1">
      <c r="A8666" s="4" t="str">
        <f ca="1">IFERROR(__xludf.DUMMYFUNCTION("""COMPUTED_VALUE"""),"असन्तो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||")</f>
        <v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||</v>
      </c>
      <c r="B8666" s="4" t="s">
        <v>17</v>
      </c>
      <c r="C8666" s="4"/>
    </row>
    <row r="8667" spans="1:3" ht="24" customHeight="1">
      <c r="A8667" s="4" t="str">
        <f ca="1">IFERROR(__xludf.DUMMYFUNCTION("""COMPUTED_VALUE"""),"क्षुत्क्षामोऽपि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||")</f>
        <v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||</v>
      </c>
      <c r="B8667" s="4" t="s">
        <v>0</v>
      </c>
      <c r="C8667" s="4"/>
    </row>
    <row r="8668" spans="1:3" ht="24" customHeight="1">
      <c r="A8668" s="4" t="str">
        <f ca="1">IFERROR(__xludf.DUMMYFUNCTION("""COMPUTED_VALUE"""),"स्वल्पं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||")</f>
        <v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||</v>
      </c>
      <c r="B8668" s="4" t="s">
        <v>11</v>
      </c>
      <c r="C8668" s="4"/>
    </row>
    <row r="8669" spans="1:3" ht="24" customHeight="1">
      <c r="A8669" s="4" t="str">
        <f ca="1">IFERROR(__xludf.DUMMYFUNCTION("""COMPUTED_VALUE"""),"लाङ्गूलचालनमधश्चरणावपातं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||")</f>
        <v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||</v>
      </c>
      <c r="B8669" s="4" t="s">
        <v>2</v>
      </c>
      <c r="C8669" s="4"/>
    </row>
    <row r="8670" spans="1:3" ht="24" customHeight="1">
      <c r="A8670" s="4" t="str">
        <f ca="1">IFERROR(__xludf.DUMMYFUNCTION("""COMPUTED_VALUE"""),"परिवर्तिनि संसारे मृतः को वा न जायते । स जातो येन जातेन याति वंशः समुन्नतिम् ||")</f>
        <v>परिवर्तिनि संसारे मृतः को वा न जायते । स जातो येन जातेन याति वंशः समुन्नतिम् ||</v>
      </c>
      <c r="B8670" s="4" t="s">
        <v>2</v>
      </c>
      <c r="C8670" s="4"/>
    </row>
    <row r="8671" spans="1:3" ht="24" customHeight="1">
      <c r="A8671" s="4" t="str">
        <f ca="1">IFERROR(__xludf.DUMMYFUNCTION("""COMPUTED_VALUE"""),"कुसुमस्तबकस्येव द्वयी वृत्तिर्मनस्विनः । मूर्ध्नि वा सर्वलोकस्य शीर्यते वने एव वा ||")</f>
        <v>कुसुमस्तबकस्येव द्वयी वृत्तिर्मनस्विनः । मूर्ध्नि वा सर्वलोकस्य शीर्यते वने एव वा ||</v>
      </c>
      <c r="B8671" s="4" t="s">
        <v>4</v>
      </c>
      <c r="C8671" s="4"/>
    </row>
    <row r="8672" spans="1:3" ht="24" customHeight="1">
      <c r="A8672" s="4" t="str">
        <f ca="1">IFERROR(__xludf.DUMMYFUNCTION("""COMPUTED_VALUE"""),"सन्त्यन्येऽपि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||")</f>
        <v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||</v>
      </c>
      <c r="B8672" s="4" t="s">
        <v>2</v>
      </c>
      <c r="C8672" s="4"/>
    </row>
    <row r="8673" spans="1:3" ht="24" customHeight="1">
      <c r="A8673" s="4" t="str">
        <f ca="1">IFERROR(__xludf.DUMMYFUNCTION("""COMPUTED_VALUE"""),"वहति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||")</f>
        <v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||</v>
      </c>
      <c r="B8673" s="4" t="s">
        <v>5</v>
      </c>
      <c r="C8673" s="4"/>
    </row>
    <row r="8674" spans="1:3" ht="24" customHeight="1">
      <c r="A8674" s="4" t="str">
        <f ca="1">IFERROR(__xludf.DUMMYFUNCTION("""COMPUTED_VALUE"""),"वरं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||")</f>
        <v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||</v>
      </c>
      <c r="B8674" s="4" t="s">
        <v>2</v>
      </c>
      <c r="C8674" s="4"/>
    </row>
    <row r="8675" spans="1:3" ht="24" customHeight="1">
      <c r="A8675" s="4" t="str">
        <f ca="1">IFERROR(__xludf.DUMMYFUNCTION("""COMPUTED_VALUE"""),"यदचेतनोऽपि पादैः स्पृष्ट प्रज्वलति सवितुरिनकान्तः।  तत्तेजस्वी पुरुषः परकृत निकृतिं कथं सहते||")</f>
        <v>यदचेतनोऽपि पादैः स्पृष्ट प्रज्वलति सवितुरिनकान्तः।  तत्तेजस्वी पुरुषः परकृत निकृतिं कथं सहते||</v>
      </c>
      <c r="B8675" s="4" t="s">
        <v>2</v>
      </c>
      <c r="C8675" s="4"/>
    </row>
    <row r="8676" spans="1:3" ht="24" customHeight="1">
      <c r="A8676" s="4" t="str">
        <f ca="1">IFERROR(__xludf.DUMMYFUNCTION("""COMPUTED_VALUE"""),"सिंहः शिशुरपि निपतति मदमलिनकपोलभित्तिषु गजेषु । प्रकृतिरियं सत्त्ववतां न खलु वयस्तेजसो हेतुः ||")</f>
        <v>सिंहः शिशुरपि निपतति मदमलिनकपोलभित्तिषु गजेषु । प्रकृतिरियं सत्त्ववतां न खलु वयस्तेजसो हेतुः ||</v>
      </c>
      <c r="B8676" s="4" t="s">
        <v>2</v>
      </c>
      <c r="C8676" s="4"/>
    </row>
    <row r="8677" spans="1:3" ht="24" customHeight="1">
      <c r="A8677" s="4" t="str">
        <f ca="1">IFERROR(__xludf.DUMMYFUNCTION("""COMPUTED_VALUE"""),"जातिर्यातु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||")</f>
        <v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||</v>
      </c>
      <c r="B8677" s="4" t="s">
        <v>12</v>
      </c>
      <c r="C8677" s="4"/>
    </row>
    <row r="8678" spans="1:3" ht="24" customHeight="1">
      <c r="A8678" s="4" t="str">
        <f ca="1">IFERROR(__xludf.DUMMYFUNCTION("""COMPUTED_VALUE"""),"तानीन्द्रियाण्यविकलानि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||")</f>
        <v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||</v>
      </c>
      <c r="B8678" s="4" t="s">
        <v>2</v>
      </c>
      <c r="C8678" s="4"/>
    </row>
    <row r="8679" spans="1:3" ht="24" customHeight="1">
      <c r="A8679" s="4" t="str">
        <f ca="1">IFERROR(__xludf.DUMMYFUNCTION("""COMPUTED_VALUE"""),"यस्यास्ति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||")</f>
        <v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||</v>
      </c>
      <c r="B8679" s="4" t="s">
        <v>2</v>
      </c>
      <c r="C8679" s="4"/>
    </row>
    <row r="8680" spans="1:3" ht="24" customHeight="1">
      <c r="A8680" s="4" t="str">
        <f ca="1">IFERROR(__xludf.DUMMYFUNCTION("""COMPUTED_VALUE"""),"दौर्मन्त्र्यान्नृपतिर्विनश्यति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||")</f>
        <v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||</v>
      </c>
      <c r="B8680" s="4" t="s">
        <v>1</v>
      </c>
      <c r="C8680" s="4"/>
    </row>
    <row r="8681" spans="1:3" ht="24" customHeight="1">
      <c r="A8681" s="4" t="str">
        <f ca="1">IFERROR(__xludf.DUMMYFUNCTION("""COMPUTED_VALUE"""),"दानं भोगो नाशस्तिस्रो गतयो भवन्ति वित्तस्य । यो न ददाति न भुङ्क्ते तस्य तृतीया गतिर्भवति ||")</f>
        <v>दानं भोगो नाशस्तिस्रो गतयो भवन्ति वित्तस्य । यो न ददाति न भुङ्क्ते तस्य तृतीया गतिर्भवति ||</v>
      </c>
      <c r="B8681" s="4" t="s">
        <v>2</v>
      </c>
      <c r="C8681" s="4"/>
    </row>
    <row r="8682" spans="1:3" ht="24" customHeight="1">
      <c r="A8682" s="4" t="str">
        <f ca="1">IFERROR(__xludf.DUMMYFUNCTION("""COMPUTED_VALUE"""),"मणिः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||")</f>
        <v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||</v>
      </c>
      <c r="B8682" s="4" t="s">
        <v>1</v>
      </c>
      <c r="C8682" s="4"/>
    </row>
    <row r="8683" spans="1:3" ht="24" customHeight="1">
      <c r="A8683" s="4" t="str">
        <f ca="1">IFERROR(__xludf.DUMMYFUNCTION("""COMPUTED_VALUE"""),"परिक्षीणः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||")</f>
        <v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||</v>
      </c>
      <c r="B8683" s="4" t="s">
        <v>16</v>
      </c>
      <c r="C8683" s="4"/>
    </row>
    <row r="8684" spans="1:3" ht="24" customHeight="1">
      <c r="A8684" s="4" t="str">
        <f ca="1">IFERROR(__xludf.DUMMYFUNCTION("""COMPUTED_VALUE"""),"राजन्दुधुक्षसि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||")</f>
        <v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||</v>
      </c>
      <c r="B8684" s="4" t="s">
        <v>12</v>
      </c>
      <c r="C8684" s="4"/>
    </row>
    <row r="8685" spans="1:3" ht="24" customHeight="1">
      <c r="A8685" s="4" t="str">
        <f ca="1">IFERROR(__xludf.DUMMYFUNCTION("""COMPUTED_VALUE"""),"सत्याऽनृता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||")</f>
        <v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||</v>
      </c>
      <c r="B8685" s="4" t="s">
        <v>9</v>
      </c>
      <c r="C8685" s="4"/>
    </row>
    <row r="8686" spans="1:3" ht="24" customHeight="1">
      <c r="A8686" s="4" t="str">
        <f ca="1">IFERROR(__xludf.DUMMYFUNCTION("""COMPUTED_VALUE"""),"आज्ञा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||")</f>
        <v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||</v>
      </c>
      <c r="B8686" s="4" t="s">
        <v>7</v>
      </c>
      <c r="C8686" s="4"/>
    </row>
    <row r="8687" spans="1:3" ht="24" customHeight="1">
      <c r="A8687" s="4" t="str">
        <f ca="1">IFERROR(__xludf.DUMMYFUNCTION("""COMPUTED_VALUE"""),"यद्धात्रा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||")</f>
        <v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||</v>
      </c>
      <c r="B8687" s="4" t="s">
        <v>11</v>
      </c>
      <c r="C8687" s="4"/>
    </row>
    <row r="8688" spans="1:3" ht="24" customHeight="1">
      <c r="A8688" s="4" t="str">
        <f ca="1">IFERROR(__xludf.DUMMYFUNCTION("""COMPUTED_VALUE"""),"त्वमेव चातकाधारोऽसीति केषां न गोचरः । किमम्भोदवरास्माकं कार्पण्योक्तं प्रतीक्षसे ||")</f>
        <v>त्वमेव चातकाधारोऽसीति केषां न गोचरः । किमम्भोदवरास्माकं कार्पण्योक्तं प्रतीक्षसे ||</v>
      </c>
      <c r="B8688" s="4" t="s">
        <v>18</v>
      </c>
      <c r="C8688" s="4"/>
    </row>
    <row r="8689" spans="1:3" ht="24" customHeight="1">
      <c r="A8689" s="4" t="str">
        <f ca="1">IFERROR(__xludf.DUMMYFUNCTION("""COMPUTED_VALUE"""),"रे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||")</f>
        <v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||</v>
      </c>
      <c r="B8689" s="4" t="s">
        <v>16</v>
      </c>
      <c r="C8689" s="4"/>
    </row>
    <row r="8690" spans="1:3" ht="24" customHeight="1">
      <c r="A8690" s="4" t="str">
        <f ca="1">IFERROR(__xludf.DUMMYFUNCTION("""COMPUTED_VALUE"""),"अकरुणत्वमकारणविग्रहः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||")</f>
        <v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||</v>
      </c>
      <c r="B8690" s="4" t="s">
        <v>1</v>
      </c>
      <c r="C8690" s="4"/>
    </row>
    <row r="8691" spans="1:3" ht="24" customHeight="1">
      <c r="A8691" s="4" t="str">
        <f ca="1">IFERROR(__xludf.DUMMYFUNCTION("""COMPUTED_VALUE"""),"दुर्जनः परिहर्तव्यो विद्ययाऽलङ्कृतोऽपि सन् । मणिना भूषितः सर्पः किमसौ न भयङ्करः ||")</f>
        <v>दुर्जनः परिहर्तव्यो विद्ययाऽलङ्कृतोऽपि सन् । मणिना भूषितः सर्पः किमसौ न भयङ्करः ||</v>
      </c>
      <c r="B8691" s="4" t="s">
        <v>0</v>
      </c>
      <c r="C8691" s="4"/>
    </row>
    <row r="8692" spans="1:3" ht="24" customHeight="1">
      <c r="A8692" s="4" t="str">
        <f ca="1">IFERROR(__xludf.DUMMYFUNCTION("""COMPUTED_VALUE"""),"जाड्यं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||")</f>
        <v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||</v>
      </c>
      <c r="B8692" s="4" t="s">
        <v>2</v>
      </c>
      <c r="C8692" s="4"/>
    </row>
    <row r="8693" spans="1:3" ht="24" customHeight="1">
      <c r="A8693" s="4" t="str">
        <f ca="1">IFERROR(__xludf.DUMMYFUNCTION("""COMPUTED_VALUE"""),"लोभश्चेदगुणेन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||")</f>
        <v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||</v>
      </c>
      <c r="B8693" s="4" t="s">
        <v>1</v>
      </c>
      <c r="C8693" s="4"/>
    </row>
    <row r="8694" spans="1:3" ht="24" customHeight="1">
      <c r="A8694" s="4" t="str">
        <f ca="1">IFERROR(__xludf.DUMMYFUNCTION("""COMPUTED_VALUE"""),"शशी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||")</f>
        <v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||</v>
      </c>
      <c r="B8694" s="4" t="s">
        <v>12</v>
      </c>
      <c r="C8694" s="4"/>
    </row>
    <row r="8695" spans="1:3" ht="24" customHeight="1">
      <c r="A8695" s="4" t="str">
        <f ca="1">IFERROR(__xludf.DUMMYFUNCTION("""COMPUTED_VALUE""")," न कश्चिच्चण्डकोपानामात्मीयो नाम भूभुजाम् । होतारमपि जुह्वानं स्पृष्टो दहति पावकः ||")</f>
        <v xml:space="preserve"> न कश्चिच्चण्डकोपानामात्मीयो नाम भूभुजाम् । होतारमपि जुह्वानं स्पृष्टो दहति पावकः ||</v>
      </c>
      <c r="B8695" s="4" t="s">
        <v>19</v>
      </c>
      <c r="C8695" s="4"/>
    </row>
    <row r="8696" spans="1:3" ht="24" customHeight="1">
      <c r="A8696" s="4" t="str">
        <f ca="1">IFERROR(__xludf.DUMMYFUNCTION("""COMPUTED_VALUE"""),"मौनान्मूकः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||")</f>
        <v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||</v>
      </c>
      <c r="B8696" s="4" t="s">
        <v>5</v>
      </c>
      <c r="C8696" s="4"/>
    </row>
    <row r="8697" spans="1:3" ht="24" customHeight="1">
      <c r="A8697" s="4" t="str">
        <f ca="1">IFERROR(__xludf.DUMMYFUNCTION("""COMPUTED_VALUE"""),"उद्भासिताखिलखलस्य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||")</f>
        <v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||</v>
      </c>
      <c r="B8697" s="4" t="s">
        <v>19</v>
      </c>
      <c r="C8697" s="4"/>
    </row>
    <row r="8698" spans="1:3" ht="24" customHeight="1">
      <c r="A8698" s="4" t="str">
        <f ca="1">IFERROR(__xludf.DUMMYFUNCTION("""COMPUTED_VALUE"""),"आरम्भगुर्वी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||")</f>
        <v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||</v>
      </c>
      <c r="B8698" s="4" t="s">
        <v>1</v>
      </c>
      <c r="C8698" s="4"/>
    </row>
    <row r="8699" spans="1:3" ht="24" customHeight="1">
      <c r="A8699" s="4" t="str">
        <f ca="1">IFERROR(__xludf.DUMMYFUNCTION("""COMPUTED_VALUE"""),"मृगमीनसज्जनानां तृणजलसन्तोषविहितवृत्तीनाम् । लुब्धकधीवरपिशुना निष्कारणवैरिणो जगति ||")</f>
        <v>मृगमीनसज्जनानां तृणजलसन्तोषविहितवृत्तीनाम् । लुब्धकधीवरपिशुना निष्कारणवैरिणो जगति ||</v>
      </c>
      <c r="B8699" s="4" t="s">
        <v>2</v>
      </c>
      <c r="C8699" s="4"/>
    </row>
    <row r="8700" spans="1:3" ht="24" customHeight="1">
      <c r="A8700" s="4" t="str">
        <f ca="1">IFERROR(__xludf.DUMMYFUNCTION("""COMPUTED_VALUE"""),"वाञ्छा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||")</f>
        <v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||</v>
      </c>
      <c r="B8700" s="4" t="s">
        <v>12</v>
      </c>
      <c r="C8700" s="4"/>
    </row>
    <row r="8701" spans="1:3" ht="24" customHeight="1">
      <c r="A8701" s="4" t="str">
        <f ca="1">IFERROR(__xludf.DUMMYFUNCTION("""COMPUTED_VALUE"""),"विपदि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||")</f>
        <v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||</v>
      </c>
      <c r="B8701" s="4" t="s">
        <v>1</v>
      </c>
      <c r="C8701" s="4"/>
    </row>
    <row r="8702" spans="1:3" ht="24" customHeight="1">
      <c r="A8702" s="4" t="str">
        <f ca="1">IFERROR(__xludf.DUMMYFUNCTION("""COMPUTED_VALUE"""),"प्रदानं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||")</f>
        <v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||</v>
      </c>
      <c r="B8702" s="4" t="s">
        <v>17</v>
      </c>
      <c r="C8702" s="4"/>
    </row>
    <row r="8703" spans="1:3" ht="24" customHeight="1">
      <c r="A8703" s="4" t="str">
        <f ca="1">IFERROR(__xludf.DUMMYFUNCTION("""COMPUTED_VALUE"""),"करे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||")</f>
        <v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||</v>
      </c>
      <c r="B8703" s="4" t="s">
        <v>17</v>
      </c>
      <c r="C8703" s="4"/>
    </row>
    <row r="8704" spans="1:3" ht="24" customHeight="1">
      <c r="A8704" s="4" t="str">
        <f ca="1">IFERROR(__xludf.DUMMYFUNCTION("""COMPUTED_VALUE"""),"सम्पत्सु महतां चित्तं भवत्युत्पलकोमलम् । आपत्सु च महाशैलशिलासङ्घातकर्कशम् ||")</f>
        <v>सम्पत्सु महतां चित्तं भवत्युत्पलकोमलम् । आपत्सु च महाशैलशिलासङ्घातकर्कशम् ||</v>
      </c>
      <c r="B8704" s="4" t="s">
        <v>8</v>
      </c>
      <c r="C8704" s="4"/>
    </row>
    <row r="8705" spans="1:3" ht="24" customHeight="1">
      <c r="A8705" s="4" t="str">
        <f ca="1">IFERROR(__xludf.DUMMYFUNCTION("""COMPUTED_VALUE"""),"सन्तप्ताऽयसि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||")</f>
        <v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||</v>
      </c>
      <c r="B8705" s="4" t="s">
        <v>2</v>
      </c>
      <c r="C8705" s="4"/>
    </row>
    <row r="8706" spans="1:3" ht="24" customHeight="1">
      <c r="A8706" s="4" t="str">
        <f ca="1">IFERROR(__xludf.DUMMYFUNCTION("""COMPUTED_VALUE"""),"प्रीणाति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||")</f>
        <v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||</v>
      </c>
      <c r="B8706" s="4" t="s">
        <v>2</v>
      </c>
      <c r="C8706" s="4"/>
    </row>
    <row r="8707" spans="1:3" ht="24" customHeight="1">
      <c r="A8707" s="4" t="str">
        <f ca="1">IFERROR(__xludf.DUMMYFUNCTION("""COMPUTED_VALUE"""),"एको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||")</f>
        <v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||</v>
      </c>
      <c r="B8707" s="4" t="s">
        <v>4</v>
      </c>
      <c r="C8707" s="4"/>
    </row>
    <row r="8708" spans="1:3" ht="24" customHeight="1">
      <c r="A8708" s="4" t="str">
        <f ca="1">IFERROR(__xludf.DUMMYFUNCTION("""COMPUTED_VALUE"""),"नम्रत्वेनोन्नमत्तः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||")</f>
        <v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||</v>
      </c>
      <c r="B8708" s="4" t="s">
        <v>5</v>
      </c>
      <c r="C8708" s="4"/>
    </row>
    <row r="8709" spans="1:3" ht="24" customHeight="1">
      <c r="A8709" s="4" t="str">
        <f ca="1">IFERROR(__xludf.DUMMYFUNCTION("""COMPUTED_VALUE"""),"भवन्ति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||")</f>
        <v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||</v>
      </c>
      <c r="B8709" s="4" t="s">
        <v>7</v>
      </c>
      <c r="C8709" s="4"/>
    </row>
    <row r="8710" spans="1:3" ht="24" customHeight="1">
      <c r="A8710" s="4" t="str">
        <f ca="1">IFERROR(__xludf.DUMMYFUNCTION("""COMPUTED_VALUE"""),"श्रोत्रं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||")</f>
        <v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||</v>
      </c>
      <c r="B8710" s="4" t="s">
        <v>1</v>
      </c>
      <c r="C8710" s="4"/>
    </row>
    <row r="8711" spans="1:3" ht="24" customHeight="1">
      <c r="A8711" s="4" t="str">
        <f ca="1">IFERROR(__xludf.DUMMYFUNCTION("""COMPUTED_VALUE"""),"पापान्निवारयति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||")</f>
        <v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||</v>
      </c>
      <c r="B8711" s="4" t="s">
        <v>2</v>
      </c>
      <c r="C8711" s="4"/>
    </row>
    <row r="8712" spans="1:3" ht="24" customHeight="1">
      <c r="A8712" s="4" t="str">
        <f ca="1">IFERROR(__xludf.DUMMYFUNCTION("""COMPUTED_VALUE"""),"पद्माकरो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||")</f>
        <v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||</v>
      </c>
      <c r="B8712" s="4" t="s">
        <v>15</v>
      </c>
      <c r="C8712" s="4"/>
    </row>
    <row r="8713" spans="1:3" ht="24" customHeight="1">
      <c r="A8713" s="4" t="str">
        <f ca="1">IFERROR(__xludf.DUMMYFUNCTION("""COMPUTED_VALUE"""),"एके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||")</f>
        <v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||</v>
      </c>
      <c r="B8713" s="4" t="s">
        <v>24</v>
      </c>
      <c r="C8713" s="4"/>
    </row>
    <row r="8714" spans="1:3" ht="24" customHeight="1">
      <c r="A8714" s="4" t="str">
        <f ca="1">IFERROR(__xludf.DUMMYFUNCTION("""COMPUTED_VALUE"""),"क्षीरेणात्मगतोदकाय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||")</f>
        <v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||</v>
      </c>
      <c r="B8714" s="4" t="s">
        <v>8</v>
      </c>
      <c r="C8714" s="4"/>
    </row>
    <row r="8715" spans="1:3" ht="24" customHeight="1">
      <c r="A8715" s="4" t="str">
        <f ca="1">IFERROR(__xludf.DUMMYFUNCTION("""COMPUTED_VALUE"""),"इतः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||")</f>
        <v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||</v>
      </c>
      <c r="B8715" s="4" t="s">
        <v>9</v>
      </c>
      <c r="C8715" s="4"/>
    </row>
    <row r="8716" spans="1:3" ht="24" customHeight="1">
      <c r="A8716" s="4" t="str">
        <f ca="1">IFERROR(__xludf.DUMMYFUNCTION("""COMPUTED_VALUE"""),"तृष्णां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||")</f>
        <v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||</v>
      </c>
      <c r="B8716" s="4" t="s">
        <v>2</v>
      </c>
      <c r="C8716" s="4"/>
    </row>
    <row r="8717" spans="1:3" ht="24" customHeight="1">
      <c r="A8717" s="4" t="str">
        <f ca="1">IFERROR(__xludf.DUMMYFUNCTION("""COMPUTED_VALUE"""),"मनसि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||")</f>
        <v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||</v>
      </c>
      <c r="B8717" s="4" t="s">
        <v>2</v>
      </c>
      <c r="C8717" s="4"/>
    </row>
    <row r="8718" spans="1:3" ht="24" customHeight="1">
      <c r="A8718" s="4" t="str">
        <f ca="1">IFERROR(__xludf.DUMMYFUNCTION("""COMPUTED_VALUE"""),"किं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||")</f>
        <v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||</v>
      </c>
      <c r="B8718" s="4" t="s">
        <v>5</v>
      </c>
      <c r="C8718" s="4"/>
    </row>
    <row r="8719" spans="1:3" ht="24" customHeight="1">
      <c r="A8719" s="4" t="str">
        <f ca="1">IFERROR(__xludf.DUMMYFUNCTION("""COMPUTED_VALUE"""),"रत्नैर्महार्हैस्तुतुषुर्न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||")</f>
        <v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||</v>
      </c>
      <c r="B8719" s="4" t="s">
        <v>0</v>
      </c>
      <c r="C8719" s="4"/>
    </row>
    <row r="8720" spans="1:3" ht="24" customHeight="1">
      <c r="A8720" s="4" t="str">
        <f ca="1">IFERROR(__xludf.DUMMYFUNCTION("""COMPUTED_VALUE"""),"क्वचित्पृथ्वीशय्या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||")</f>
        <v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||</v>
      </c>
      <c r="B8720" s="4" t="s">
        <v>14</v>
      </c>
      <c r="C8720" s="4"/>
    </row>
    <row r="8721" spans="1:3" ht="24" customHeight="1">
      <c r="A8721" s="4" t="str">
        <f ca="1">IFERROR(__xludf.DUMMYFUNCTION("""COMPUTED_VALUE"""),"ऐश्वर्यस्य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||")</f>
        <v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||</v>
      </c>
      <c r="B8721" s="4" t="s">
        <v>7</v>
      </c>
      <c r="C8721" s="4"/>
    </row>
    <row r="8722" spans="1:3" ht="24" customHeight="1">
      <c r="A8722" s="4" t="str">
        <f ca="1">IFERROR(__xludf.DUMMYFUNCTION("""COMPUTED_VALUE"""),"निन्दन्तु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||")</f>
        <v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||</v>
      </c>
      <c r="B8722" s="4" t="s">
        <v>0</v>
      </c>
      <c r="C8722" s="4"/>
    </row>
    <row r="8723" spans="1:3" ht="24" customHeight="1">
      <c r="A8723" s="4" t="str">
        <f ca="1">IFERROR(__xludf.DUMMYFUNCTION("""COMPUTED_VALUE"""),"भग्नाशस्य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||")</f>
        <v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||</v>
      </c>
      <c r="B8723" s="4" t="s">
        <v>7</v>
      </c>
      <c r="C8723" s="4"/>
    </row>
    <row r="8724" spans="1:3" ht="24" customHeight="1">
      <c r="A8724" s="4" t="str">
        <f ca="1">IFERROR(__xludf.DUMMYFUNCTION("""COMPUTED_VALUE"""),"आलस्यं हि मनुष्याणां शरीरस्थो महान् रिपुः । नास्त्युद्यमसमो बन्धुः कुर्वाणो नावसीदति ||")</f>
        <v>आलस्यं हि मनुष्याणां शरीरस्थो महान् रिपुः । नास्त्युद्यमसमो बन्धुः कुर्वाणो नावसीदति ||</v>
      </c>
      <c r="B8724" s="4" t="s">
        <v>2</v>
      </c>
      <c r="C8724" s="4"/>
    </row>
    <row r="8725" spans="1:3" ht="24" customHeight="1">
      <c r="A8725" s="4" t="str">
        <f ca="1">IFERROR(__xludf.DUMMYFUNCTION("""COMPUTED_VALUE"""),"छिन्नोऽपि रोहति तरुर्क्षीणोऽप्युपचीयते पुनश्चन्द्रः । इति विमृशन्तः सन्तः सन्तप्यन्ते न दुःखेषु ||")</f>
        <v>छिन्नोऽपि रोहति तरुर्क्षीणोऽप्युपचीयते पुनश्चन्द्रः । इति विमृशन्तः सन्तः सन्तप्यन्ते न दुःखेषु ||</v>
      </c>
      <c r="B8725" s="4" t="s">
        <v>13</v>
      </c>
      <c r="C8725" s="4"/>
    </row>
    <row r="8726" spans="1:3" ht="24" customHeight="1">
      <c r="A8726" s="4" t="str">
        <f ca="1">IFERROR(__xludf.DUMMYFUNCTION("""COMPUTED_VALUE"""),"नेता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||")</f>
        <v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||</v>
      </c>
      <c r="B8726" s="4" t="s">
        <v>13</v>
      </c>
      <c r="C8726" s="4"/>
    </row>
    <row r="8727" spans="1:3" ht="24" customHeight="1">
      <c r="A8727" s="4" t="str">
        <f ca="1">IFERROR(__xludf.DUMMYFUNCTION("""COMPUTED_VALUE"""),"कर्मायत्तं फलं पुंसां बुद्धिः कर्मानुसारिणी । तथाऽपि सुधिया भाव्यं सुविचार्यैव कुर्वता ||")</f>
        <v>कर्मायत्तं फलं पुंसां बुद्धिः कर्मानुसारिणी । तथाऽपि सुधिया भाव्यं सुविचार्यैव कुर्वता ||</v>
      </c>
      <c r="B8727" s="4" t="s">
        <v>2</v>
      </c>
      <c r="C8727" s="4"/>
    </row>
    <row r="8728" spans="1:3" ht="24" customHeight="1">
      <c r="A8728" s="4" t="str">
        <f ca="1">IFERROR(__xludf.DUMMYFUNCTION("""COMPUTED_VALUE"""),"खल्वाटो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||")</f>
        <v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||</v>
      </c>
      <c r="B8728" s="4" t="s">
        <v>17</v>
      </c>
      <c r="C8728" s="4"/>
    </row>
    <row r="8729" spans="1:3" ht="24" customHeight="1">
      <c r="A8729" s="4" t="str">
        <f ca="1">IFERROR(__xludf.DUMMYFUNCTION("""COMPUTED_VALUE"""),"रविनिशाकरयोर्ग्रहपीडनं गजभुजङ्गमयोरपिबन्धनम् । मतिमतां च विलोक्य दरिद्रतां विधिरहो! बलवानिति मे मतिः ||")</f>
        <v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||</v>
      </c>
      <c r="B8729" s="4" t="s">
        <v>2</v>
      </c>
      <c r="C8729" s="4"/>
    </row>
    <row r="8730" spans="1:3" ht="24" customHeight="1">
      <c r="A8730" s="4" t="str">
        <f ca="1">IFERROR(__xludf.DUMMYFUNCTION("""COMPUTED_VALUE"""),"सृजति तावदशेषगुणाकरं पुरुषरत्नमलङ्करणं भुवः । तदपि तत्क्षणभङ्गि करोति चेदहह! कष्टमपण्डितता कष्टम् ||")</f>
        <v>सृजति तावदशेषगुणाकरं पुरुषरत्नमलङ्करणं भुवः । तदपि तत्क्षणभङ्गि करोति चेदहह! कष्टमपण्डितता कष्टम् ||</v>
      </c>
      <c r="B8730" s="4" t="s">
        <v>23</v>
      </c>
      <c r="C8730" s="4"/>
    </row>
    <row r="8731" spans="1:3" ht="24" customHeight="1">
      <c r="A8731" s="4" t="str">
        <f ca="1">IFERROR(__xludf.DUMMYFUNCTION("""COMPUTED_VALUE"""),"पत्रं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||")</f>
        <v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||</v>
      </c>
      <c r="B8731" s="4" t="s">
        <v>12</v>
      </c>
      <c r="C8731" s="4"/>
    </row>
    <row r="8732" spans="1:3" ht="24" customHeight="1">
      <c r="A8732" s="4" t="str">
        <f ca="1">IFERROR(__xludf.DUMMYFUNCTION("""COMPUTED_VALUE"""),"नमस्यामो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||")</f>
        <v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||</v>
      </c>
      <c r="B8732" s="4" t="s">
        <v>2</v>
      </c>
      <c r="C8732" s="4"/>
    </row>
    <row r="8733" spans="1:3" ht="24" customHeight="1">
      <c r="A8733" s="4" t="str">
        <f ca="1">IFERROR(__xludf.DUMMYFUNCTION("""COMPUTED_VALUE"""),"ब्रह्मा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||")</f>
        <v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||</v>
      </c>
      <c r="B8733" s="4" t="s">
        <v>7</v>
      </c>
      <c r="C8733" s="4"/>
    </row>
    <row r="8734" spans="1:3" ht="24" customHeight="1">
      <c r="A8734" s="4" t="str">
        <f ca="1">IFERROR(__xludf.DUMMYFUNCTION("""COMPUTED_VALUE"""),"नैवाकृतिः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||")</f>
        <v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||</v>
      </c>
      <c r="B8734" s="4" t="s">
        <v>13</v>
      </c>
      <c r="C8734" s="4"/>
    </row>
    <row r="8735" spans="1:3" ht="24" customHeight="1">
      <c r="A8735" s="4" t="str">
        <f ca="1">IFERROR(__xludf.DUMMYFUNCTION("""COMPUTED_VALUE"""),"वने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||")</f>
        <v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||</v>
      </c>
      <c r="B8735" s="4" t="s">
        <v>1</v>
      </c>
      <c r="C8735" s="4"/>
    </row>
    <row r="8736" spans="1:3" ht="24" customHeight="1">
      <c r="A8736" s="4" t="str">
        <f ca="1">IFERROR(__xludf.DUMMYFUNCTION("""COMPUTED_VALUE"""),"या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||")</f>
        <v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||</v>
      </c>
      <c r="B8736" s="4" t="s">
        <v>10</v>
      </c>
      <c r="C8736" s="4"/>
    </row>
    <row r="8737" spans="1:3" ht="24" customHeight="1">
      <c r="A8737" s="4" t="str">
        <f ca="1">IFERROR(__xludf.DUMMYFUNCTION("""COMPUTED_VALUE"""),"गुणवदगुणवद्वा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||")</f>
        <v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||</v>
      </c>
      <c r="B8737" s="4" t="s">
        <v>19</v>
      </c>
      <c r="C8737" s="4"/>
    </row>
    <row r="8738" spans="1:3" ht="24" customHeight="1">
      <c r="A8738" s="4" t="str">
        <f ca="1">IFERROR(__xludf.DUMMYFUNCTION("""COMPUTED_VALUE"""),"स्थाल्यां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||")</f>
        <v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||</v>
      </c>
      <c r="B8738" s="4" t="s">
        <v>5</v>
      </c>
      <c r="C8738" s="4"/>
    </row>
    <row r="8739" spans="1:3" ht="24" customHeight="1">
      <c r="A8739" s="4" t="str">
        <f ca="1">IFERROR(__xludf.DUMMYFUNCTION("""COMPUTED_VALUE"""),"मज्जत्वम्भसि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||")</f>
        <v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||</v>
      </c>
      <c r="B8739" s="4" t="s">
        <v>2</v>
      </c>
      <c r="C8739" s="4"/>
    </row>
    <row r="8740" spans="1:3" ht="24" customHeight="1">
      <c r="A8740" s="4" t="str">
        <f ca="1">IFERROR(__xludf.DUMMYFUNCTION("""COMPUTED_VALUE"""),"भीमं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||")</f>
        <v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||</v>
      </c>
      <c r="B8740" s="4" t="s">
        <v>5</v>
      </c>
      <c r="C8740" s="4"/>
    </row>
    <row r="8741" spans="1:3" ht="24" customHeight="1">
      <c r="A8741" s="4" t="str">
        <f ca="1">IFERROR(__xludf.DUMMYFUNCTION("""COMPUTED_VALUE"""),"को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||")</f>
        <v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||</v>
      </c>
      <c r="B8741" s="4" t="s">
        <v>11</v>
      </c>
      <c r="C8741" s="4"/>
    </row>
    <row r="8742" spans="1:3" ht="24" customHeight="1">
      <c r="A8742" s="4" t="str">
        <f ca="1">IFERROR(__xludf.DUMMYFUNCTION("""COMPUTED_VALUE"""),"अप्रियवचनदरिद्रैः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||")</f>
        <v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||</v>
      </c>
      <c r="B8742" s="4" t="s">
        <v>20</v>
      </c>
      <c r="C8742" s="4"/>
    </row>
    <row r="8743" spans="1:3" ht="24" customHeight="1">
      <c r="A8743" s="4" t="str">
        <f ca="1">IFERROR(__xludf.DUMMYFUNCTION("""COMPUTED_VALUE"""),"कदर्थितस्यापि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||")</f>
        <v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||</v>
      </c>
      <c r="B8743" s="4" t="s">
        <v>4</v>
      </c>
      <c r="C8743" s="4"/>
    </row>
    <row r="8744" spans="1:3" ht="24" customHeight="1">
      <c r="A8744" s="4" t="str">
        <f ca="1">IFERROR(__xludf.DUMMYFUNCTION("""COMPUTED_VALUE"""),"कान्ताकटाक्षविशिखा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||")</f>
        <v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||</v>
      </c>
      <c r="B8744" s="4" t="s">
        <v>0</v>
      </c>
      <c r="C8744" s="4"/>
    </row>
    <row r="8745" spans="1:3" ht="24" customHeight="1">
      <c r="A8745" s="4" t="str">
        <f ca="1">IFERROR(__xludf.DUMMYFUNCTION("""COMPUTED_VALUE"""),"एकेनापि हि शूरेण पादाक्रान्तं महीतलम् । क्रियते भास्करेणैव स्फारस्फुरिततेजसा ||")</f>
        <v>एकेनापि हि शूरेण पादाक्रान्तं महीतलम् । क्रियते भास्करेणैव स्फारस्फुरिततेजसा ||</v>
      </c>
      <c r="B8745" s="4" t="s">
        <v>18</v>
      </c>
      <c r="C8745" s="4"/>
    </row>
    <row r="8746" spans="1:3" ht="24" customHeight="1">
      <c r="A8746" s="4" t="str">
        <f ca="1">IFERROR(__xludf.DUMMYFUNCTION("""COMPUTED_VALUE"""),"वह्निस्तस्य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||")</f>
        <v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||</v>
      </c>
      <c r="B8746" s="4" t="s">
        <v>2</v>
      </c>
      <c r="C8746" s="4"/>
    </row>
    <row r="8747" spans="1:3" ht="24" customHeight="1">
      <c r="A8747" s="4" t="str">
        <f ca="1">IFERROR(__xludf.DUMMYFUNCTION("""COMPUTED_VALUE"""),"लज्जागुणौघजननीं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||")</f>
        <v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||</v>
      </c>
      <c r="B8747" s="4" t="s">
        <v>25</v>
      </c>
      <c r="C8747" s="4"/>
    </row>
    <row r="8748" spans="1:3" ht="24" customHeight="1">
      <c r="A8748" s="4" t="str">
        <f ca="1">IFERROR(__xludf.DUMMYFUNCTION("""COMPUTED_VALUE"""),"अद्यापि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॥")</f>
        <v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v>
      </c>
      <c r="B8748" s="4" t="s">
        <v>12</v>
      </c>
      <c r="C8748" s="4"/>
    </row>
    <row r="8749" spans="1:3" ht="24" customHeight="1">
      <c r="A8749" s="4" t="str">
        <f ca="1">IFERROR(__xludf.DUMMYFUNCTION("""COMPUTED_VALUE"""),"अद्यापि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॥")</f>
        <v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v>
      </c>
      <c r="B8749" s="4" t="s">
        <v>1</v>
      </c>
      <c r="C8749" s="4"/>
    </row>
    <row r="8750" spans="1:3" ht="24" customHeight="1">
      <c r="A8750" s="4" t="str">
        <f ca="1">IFERROR(__xludf.DUMMYFUNCTION("""COMPUTED_VALUE"""),"अद्यापि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॥")</f>
        <v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v>
      </c>
      <c r="B8750" s="4" t="s">
        <v>23</v>
      </c>
      <c r="C8750" s="4"/>
    </row>
    <row r="8751" spans="1:3" ht="24" customHeight="1">
      <c r="A8751" s="4" t="str">
        <f ca="1">IFERROR(__xludf.DUMMYFUNCTION("""COMPUTED_VALUE"""),"अद्यापि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॥")</f>
        <v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v>
      </c>
      <c r="B8751" s="4" t="s">
        <v>12</v>
      </c>
      <c r="C8751" s="4"/>
    </row>
    <row r="8752" spans="1:3" ht="24" customHeight="1">
      <c r="A8752" s="4" t="str">
        <f ca="1">IFERROR(__xludf.DUMMYFUNCTION("""COMPUTED_VALUE"""),"अद्यापि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॥")</f>
        <v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v>
      </c>
      <c r="B8752" s="4" t="s">
        <v>12</v>
      </c>
      <c r="C8752" s="4"/>
    </row>
    <row r="8753" spans="1:3" ht="24" customHeight="1">
      <c r="A8753" s="4" t="str">
        <f ca="1">IFERROR(__xludf.DUMMYFUNCTION("""COMPUTED_VALUE"""),"अद्यापि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॥")</f>
        <v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v>
      </c>
      <c r="B8753" s="4" t="s">
        <v>12</v>
      </c>
      <c r="C8753" s="4"/>
    </row>
    <row r="8754" spans="1:3" ht="24" customHeight="1">
      <c r="A8754" s="4" t="str">
        <f ca="1">IFERROR(__xludf.DUMMYFUNCTION("""COMPUTED_VALUE"""),"अद्यापि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॥")</f>
        <v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v>
      </c>
      <c r="B8754" s="4" t="s">
        <v>12</v>
      </c>
      <c r="C8754" s="4"/>
    </row>
    <row r="8755" spans="1:3" ht="24" customHeight="1">
      <c r="A8755" s="4" t="str">
        <f ca="1">IFERROR(__xludf.DUMMYFUNCTION("""COMPUTED_VALUE"""),"अद्यापि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॥")</f>
        <v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v>
      </c>
      <c r="B8755" s="4" t="s">
        <v>12</v>
      </c>
      <c r="C8755" s="4"/>
    </row>
    <row r="8756" spans="1:3" ht="24" customHeight="1">
      <c r="A8756" s="4" t="str">
        <f ca="1">IFERROR(__xludf.DUMMYFUNCTION("""COMPUTED_VALUE"""),"अद्यापि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॥")</f>
        <v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v>
      </c>
      <c r="B8756" s="4" t="s">
        <v>12</v>
      </c>
      <c r="C8756" s="4"/>
    </row>
    <row r="8757" spans="1:3" ht="24" customHeight="1">
      <c r="A8757" s="4" t="str">
        <f ca="1">IFERROR(__xludf.DUMMYFUNCTION("""COMPUTED_VALUE"""),"अद्यापि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")</f>
        <v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v>
      </c>
      <c r="B8757" s="4" t="s">
        <v>26</v>
      </c>
      <c r="C8757" s="4"/>
    </row>
    <row r="8758" spans="1:3" ht="24" customHeight="1">
      <c r="A8758" s="4" t="str">
        <f ca="1">IFERROR(__xludf.DUMMYFUNCTION("""COMPUTED_VALUE"""),"अद्यापि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॥")</f>
        <v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v>
      </c>
      <c r="B8758" s="4" t="s">
        <v>5</v>
      </c>
      <c r="C8758" s="4"/>
    </row>
    <row r="8759" spans="1:3" ht="24" customHeight="1">
      <c r="A8759" s="4" t="str">
        <f ca="1">IFERROR(__xludf.DUMMYFUNCTION("""COMPUTED_VALUE"""),"अद्यापि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॥")</f>
        <v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v>
      </c>
      <c r="B8759" s="4" t="s">
        <v>5</v>
      </c>
      <c r="C8759" s="4"/>
    </row>
    <row r="8760" spans="1:3" ht="24" customHeight="1">
      <c r="A8760" s="4" t="str">
        <f ca="1">IFERROR(__xludf.DUMMYFUNCTION("""COMPUTED_VALUE"""),"अद्यापि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॥")</f>
        <v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v>
      </c>
      <c r="B8760" s="4" t="s">
        <v>16</v>
      </c>
      <c r="C8760" s="4"/>
    </row>
    <row r="8761" spans="1:3" ht="24" customHeight="1">
      <c r="A8761" s="4" t="str">
        <f ca="1">IFERROR(__xludf.DUMMYFUNCTION("""COMPUTED_VALUE"""),"अद्याप्य्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॥")</f>
        <v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v>
      </c>
      <c r="B8761" s="4" t="s">
        <v>12</v>
      </c>
      <c r="C8761" s="4"/>
    </row>
    <row r="8762" spans="1:3" ht="24" customHeight="1">
      <c r="A8762" s="4" t="str">
        <f ca="1">IFERROR(__xludf.DUMMYFUNCTION("""COMPUTED_VALUE"""),"अद्यापि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॥")</f>
        <v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v>
      </c>
      <c r="B8762" s="4" t="s">
        <v>5</v>
      </c>
      <c r="C8762" s="4"/>
    </row>
    <row r="8763" spans="1:3" ht="24" customHeight="1">
      <c r="A8763" s="4" t="str">
        <f ca="1">IFERROR(__xludf.DUMMYFUNCTION("""COMPUTED_VALUE"""),"अद्यापि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॥")</f>
        <v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v>
      </c>
      <c r="B8763" s="4" t="s">
        <v>12</v>
      </c>
      <c r="C8763" s="4"/>
    </row>
    <row r="8764" spans="1:3" ht="24" customHeight="1">
      <c r="A8764" s="4" t="str">
        <f ca="1">IFERROR(__xludf.DUMMYFUNCTION("""COMPUTED_VALUE"""),"अद्यापि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॥")</f>
        <v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v>
      </c>
      <c r="B8764" s="4" t="s">
        <v>12</v>
      </c>
      <c r="C8764" s="4"/>
    </row>
    <row r="8765" spans="1:3" ht="24" customHeight="1">
      <c r="A8765" s="4" t="str">
        <f ca="1">IFERROR(__xludf.DUMMYFUNCTION("""COMPUTED_VALUE"""),"अद्यापि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॥")</f>
        <v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v>
      </c>
      <c r="B8765" s="4" t="s">
        <v>12</v>
      </c>
      <c r="C8765" s="4"/>
    </row>
    <row r="8766" spans="1:3" ht="24" customHeight="1">
      <c r="A8766" s="4" t="str">
        <f ca="1">IFERROR(__xludf.DUMMYFUNCTION("""COMPUTED_VALUE"""),"अद्यापि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॥")</f>
        <v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v>
      </c>
      <c r="B8766" s="4" t="s">
        <v>12</v>
      </c>
      <c r="C8766" s="4"/>
    </row>
    <row r="8767" spans="1:3" ht="24" customHeight="1">
      <c r="A8767" s="4" t="str">
        <f ca="1">IFERROR(__xludf.DUMMYFUNCTION("""COMPUTED_VALUE"""),"अद्यापि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॥")</f>
        <v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v>
      </c>
      <c r="B8767" s="4" t="s">
        <v>2</v>
      </c>
      <c r="C8767" s="4"/>
    </row>
    <row r="8768" spans="1:3" ht="24" customHeight="1">
      <c r="A8768" s="4" t="str">
        <f ca="1">IFERROR(__xludf.DUMMYFUNCTION("""COMPUTED_VALUE"""),"अद्यापि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॥")</f>
        <v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v>
      </c>
      <c r="B8768" s="4" t="s">
        <v>5</v>
      </c>
      <c r="C8768" s="4"/>
    </row>
    <row r="8769" spans="1:3" ht="24" customHeight="1">
      <c r="A8769" s="4" t="str">
        <f ca="1">IFERROR(__xludf.DUMMYFUNCTION("""COMPUTED_VALUE"""),"अद्यापि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॥")</f>
        <v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v>
      </c>
      <c r="B8769" s="4" t="s">
        <v>12</v>
      </c>
      <c r="C8769" s="4"/>
    </row>
    <row r="8770" spans="1:3" ht="24" customHeight="1">
      <c r="A8770" s="4" t="str">
        <f ca="1">IFERROR(__xludf.DUMMYFUNCTION("""COMPUTED_VALUE"""),"अद्यापि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॥")</f>
        <v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v>
      </c>
      <c r="B8770" s="4" t="s">
        <v>12</v>
      </c>
      <c r="C8770" s="4"/>
    </row>
    <row r="8771" spans="1:3" ht="24" customHeight="1">
      <c r="A8771" s="4" t="str">
        <f ca="1">IFERROR(__xludf.DUMMYFUNCTION("""COMPUTED_VALUE"""),"अद्यापि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॥")</f>
        <v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v>
      </c>
      <c r="B8771" s="4" t="s">
        <v>1</v>
      </c>
      <c r="C8771" s="4"/>
    </row>
    <row r="8772" spans="1:3" ht="24" customHeight="1">
      <c r="A8772" s="4" t="str">
        <f ca="1">IFERROR(__xludf.DUMMYFUNCTION("""COMPUTED_VALUE"""),"अद्यापि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॥")</f>
        <v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v>
      </c>
      <c r="B8772" s="4" t="s">
        <v>12</v>
      </c>
      <c r="C8772" s="4"/>
    </row>
    <row r="8773" spans="1:3" ht="24" customHeight="1">
      <c r="A8773" s="4" t="str">
        <f ca="1">IFERROR(__xludf.DUMMYFUNCTION("""COMPUTED_VALUE"""),"अद्यापि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॥")</f>
        <v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v>
      </c>
      <c r="B8773" s="4" t="s">
        <v>12</v>
      </c>
      <c r="C8773" s="4"/>
    </row>
    <row r="8774" spans="1:3" ht="24" customHeight="1">
      <c r="A8774" s="4" t="str">
        <f ca="1">IFERROR(__xludf.DUMMYFUNCTION("""COMPUTED_VALUE"""),"अद्यापि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॥")</f>
        <v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v>
      </c>
      <c r="B8774" s="4" t="s">
        <v>0</v>
      </c>
      <c r="C8774" s="4"/>
    </row>
    <row r="8775" spans="1:3" ht="24" customHeight="1">
      <c r="A8775" s="4" t="str">
        <f ca="1">IFERROR(__xludf.DUMMYFUNCTION("""COMPUTED_VALUE"""),"अद्यापि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॥")</f>
        <v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v>
      </c>
      <c r="B8775" s="4" t="s">
        <v>0</v>
      </c>
      <c r="C8775" s="4"/>
    </row>
    <row r="8776" spans="1:3" ht="24" customHeight="1">
      <c r="A8776" s="4" t="str">
        <f ca="1">IFERROR(__xludf.DUMMYFUNCTION("""COMPUTED_VALUE"""),"अद्यापि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॥")</f>
        <v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v>
      </c>
      <c r="B8776" s="4" t="s">
        <v>1</v>
      </c>
      <c r="C8776" s="4"/>
    </row>
    <row r="8777" spans="1:3" ht="24" customHeight="1">
      <c r="A8777" s="4" t="str">
        <f ca="1">IFERROR(__xludf.DUMMYFUNCTION("""COMPUTED_VALUE"""),"अद्यापि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॥")</f>
        <v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v>
      </c>
      <c r="B8777" s="4" t="s">
        <v>12</v>
      </c>
      <c r="C8777" s="4"/>
    </row>
    <row r="8778" spans="1:3" ht="24" customHeight="1">
      <c r="A8778" s="4" t="str">
        <f ca="1">IFERROR(__xludf.DUMMYFUNCTION("""COMPUTED_VALUE"""),"अद्यापि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॥")</f>
        <v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v>
      </c>
      <c r="B8778" s="4" t="s">
        <v>12</v>
      </c>
      <c r="C8778" s="4"/>
    </row>
    <row r="8779" spans="1:3" ht="24" customHeight="1">
      <c r="A8779" s="4" t="str">
        <f ca="1">IFERROR(__xludf.DUMMYFUNCTION("""COMPUTED_VALUE"""),"अद्यापि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॥")</f>
        <v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v>
      </c>
      <c r="B8779" s="4" t="s">
        <v>5</v>
      </c>
      <c r="C8779" s="4"/>
    </row>
    <row r="8780" spans="1:3" ht="24" customHeight="1">
      <c r="A8780" s="4" t="str">
        <f ca="1">IFERROR(__xludf.DUMMYFUNCTION("""COMPUTED_VALUE"""),"अद्यापि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॥")</f>
        <v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v>
      </c>
      <c r="B8780" s="4" t="s">
        <v>5</v>
      </c>
      <c r="C8780" s="4"/>
    </row>
    <row r="8781" spans="1:3" ht="24" customHeight="1">
      <c r="A8781" s="4" t="str">
        <f ca="1">IFERROR(__xludf.DUMMYFUNCTION("""COMPUTED_VALUE"""),"अद्यापि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॥")</f>
        <v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v>
      </c>
      <c r="B8781" s="4" t="s">
        <v>5</v>
      </c>
      <c r="C8781" s="4"/>
    </row>
    <row r="8782" spans="1:3" ht="24" customHeight="1">
      <c r="A8782" s="4" t="str">
        <f ca="1">IFERROR(__xludf.DUMMYFUNCTION("""COMPUTED_VALUE"""),"अद्यापि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॥")</f>
        <v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v>
      </c>
      <c r="B8782" s="4" t="s">
        <v>12</v>
      </c>
      <c r="C8782" s="4"/>
    </row>
    <row r="8783" spans="1:3" ht="24" customHeight="1">
      <c r="A8783" s="4" t="str">
        <f ca="1">IFERROR(__xludf.DUMMYFUNCTION("""COMPUTED_VALUE"""),"अद्यापि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॥")</f>
        <v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v>
      </c>
      <c r="B8783" s="4" t="s">
        <v>12</v>
      </c>
      <c r="C8783" s="4"/>
    </row>
    <row r="8784" spans="1:3" ht="24" customHeight="1">
      <c r="A8784" s="4" t="str">
        <f ca="1">IFERROR(__xludf.DUMMYFUNCTION("""COMPUTED_VALUE"""),"अद्यापि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॥")</f>
        <v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v>
      </c>
      <c r="B8784" s="4" t="s">
        <v>11</v>
      </c>
      <c r="C8784" s="4"/>
    </row>
    <row r="8785" spans="1:3" ht="24" customHeight="1">
      <c r="A8785" s="4" t="str">
        <f ca="1">IFERROR(__xludf.DUMMYFUNCTION("""COMPUTED_VALUE"""),"अद्यापि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॥")</f>
        <v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v>
      </c>
      <c r="B8785" s="4" t="s">
        <v>5</v>
      </c>
      <c r="C8785" s="4"/>
    </row>
    <row r="8786" spans="1:3" ht="24" customHeight="1">
      <c r="A8786" s="4" t="str">
        <f ca="1">IFERROR(__xludf.DUMMYFUNCTION("""COMPUTED_VALUE"""),"अद्यापि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॥")</f>
        <v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v>
      </c>
      <c r="B8786" s="4" t="s">
        <v>4</v>
      </c>
      <c r="C8786" s="4"/>
    </row>
    <row r="8787" spans="1:3" ht="24" customHeight="1">
      <c r="A8787" s="4" t="str">
        <f ca="1">IFERROR(__xludf.DUMMYFUNCTION("""COMPUTED_VALUE"""),"अद्यापि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॥")</f>
        <v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v>
      </c>
      <c r="B8787" s="4" t="s">
        <v>13</v>
      </c>
      <c r="C8787" s="4"/>
    </row>
    <row r="8788" spans="1:3" ht="24" customHeight="1">
      <c r="A8788" s="4" t="str">
        <f ca="1">IFERROR(__xludf.DUMMYFUNCTION("""COMPUTED_VALUE"""),"अद्यापि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॥")</f>
        <v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v>
      </c>
      <c r="B8788" s="4" t="s">
        <v>12</v>
      </c>
      <c r="C8788" s="4"/>
    </row>
    <row r="8789" spans="1:3" ht="24" customHeight="1">
      <c r="A8789" s="4" t="str">
        <f ca="1">IFERROR(__xludf.DUMMYFUNCTION("""COMPUTED_VALUE"""),"अद्यापि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॥")</f>
        <v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v>
      </c>
      <c r="B8789" s="4" t="s">
        <v>2</v>
      </c>
      <c r="C8789" s="4"/>
    </row>
    <row r="8790" spans="1:3" ht="24" customHeight="1">
      <c r="A8790" s="4" t="str">
        <f ca="1">IFERROR(__xludf.DUMMYFUNCTION("""COMPUTED_VALUE"""),"अद्याप्य्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॥")</f>
        <v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v>
      </c>
      <c r="B8790" s="4" t="s">
        <v>19</v>
      </c>
      <c r="C8790" s="4"/>
    </row>
    <row r="8791" spans="1:3" ht="24" customHeight="1">
      <c r="A8791" s="4" t="str">
        <f ca="1">IFERROR(__xludf.DUMMYFUNCTION("""COMPUTED_VALUE"""),"अद्यापि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॥")</f>
        <v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v>
      </c>
      <c r="B8791" s="4" t="s">
        <v>18</v>
      </c>
      <c r="C8791" s="4"/>
    </row>
    <row r="8792" spans="1:3" ht="24" customHeight="1">
      <c r="A8792" s="4" t="str">
        <f ca="1">IFERROR(__xludf.DUMMYFUNCTION("""COMPUTED_VALUE"""),"अद्यापि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॥")</f>
        <v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v>
      </c>
      <c r="B8792" s="4" t="s">
        <v>12</v>
      </c>
      <c r="C8792" s="4"/>
    </row>
    <row r="8793" spans="1:3" ht="24" customHeight="1">
      <c r="A8793" s="4" t="str">
        <f ca="1">IFERROR(__xludf.DUMMYFUNCTION("""COMPUTED_VALUE"""),"अद्यापि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॥")</f>
        <v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v>
      </c>
      <c r="B8793" s="4" t="s">
        <v>12</v>
      </c>
      <c r="C8793" s="4"/>
    </row>
    <row r="8794" spans="1:3" ht="24" customHeight="1">
      <c r="A8794" s="4" t="str">
        <f ca="1">IFERROR(__xludf.DUMMYFUNCTION("""COMPUTED_VALUE"""),"अद्यापि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॥")</f>
        <v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v>
      </c>
      <c r="B8794" s="4" t="s">
        <v>12</v>
      </c>
      <c r="C8794" s="4"/>
    </row>
    <row r="8795" spans="1:3" ht="24" customHeight="1">
      <c r="A8795" s="4" t="str">
        <f ca="1">IFERROR(__xludf.DUMMYFUNCTION("""COMPUTED_VALUE"""),"अद्यापि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॥")</f>
        <v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v>
      </c>
      <c r="B8795" s="4" t="s">
        <v>4</v>
      </c>
      <c r="C8795" s="4"/>
    </row>
    <row r="8796" spans="1:3" ht="24" customHeight="1">
      <c r="A8796" s="4" t="str">
        <f ca="1">IFERROR(__xludf.DUMMYFUNCTION("""COMPUTED_VALUE"""),"अद्याप्य्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॥")</f>
        <v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v>
      </c>
      <c r="B8796" s="4" t="s">
        <v>4</v>
      </c>
      <c r="C8796" s="4"/>
    </row>
    <row r="8797" spans="1:3" ht="24" customHeight="1">
      <c r="A8797" s="4" t="str">
        <f ca="1">IFERROR(__xludf.DUMMYFUNCTION("""COMPUTED_VALUE"""),"अद्यापि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॥")</f>
        <v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v>
      </c>
      <c r="B8797" s="4" t="s">
        <v>2</v>
      </c>
      <c r="C8797" s="4"/>
    </row>
    <row r="8798" spans="1:3" ht="24" customHeight="1">
      <c r="A8798" s="4" t="str">
        <f ca="1">IFERROR(__xludf.DUMMYFUNCTION("""COMPUTED_VALUE"""),"ज्याकृष्टिबद्धखटकामुखपाणिपृष्ठ-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१॥")</f>
        <v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v>
      </c>
      <c r="B8798" s="4" t="s">
        <v>13</v>
      </c>
      <c r="C8798" s="4"/>
    </row>
    <row r="8799" spans="1:3" ht="24" customHeight="1">
      <c r="A8799" s="4" t="str">
        <f ca="1">IFERROR(__xludf.DUMMYFUNCTION("""COMPUTED_VALUE"""),"क्षिप्तो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-२॥")</f>
        <v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v>
      </c>
      <c r="B8799" s="4" t="s">
        <v>1</v>
      </c>
      <c r="C8799" s="4"/>
    </row>
    <row r="8800" spans="1:3" ht="24" customHeight="1">
      <c r="A8800" s="4" t="str">
        <f ca="1">IFERROR(__xludf.DUMMYFUNCTION("""COMPUTED_VALUE"""),"आलोलामलकावलीं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३॥")</f>
        <v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v>
      </c>
      <c r="B8800" s="4" t="s">
        <v>2</v>
      </c>
      <c r="C8800" s="4"/>
    </row>
    <row r="8801" spans="1:3" ht="24" customHeight="1">
      <c r="A8801" s="4" t="str">
        <f ca="1">IFERROR(__xludf.DUMMYFUNCTION("""COMPUTED_VALUE"""),"अलसवलितैः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अमरुशतकम्-४॥")</f>
        <v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v>
      </c>
      <c r="B8801" s="4" t="s">
        <v>2</v>
      </c>
      <c r="C8801" s="4"/>
    </row>
    <row r="8802" spans="1:3" ht="24" customHeight="1">
      <c r="A8802" s="4" t="str">
        <f ca="1">IFERROR(__xludf.DUMMYFUNCTION("""COMPUTED_VALUE"""),"दत्तोऽस्याः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अमरुशतकम्-५॥")</f>
        <v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v>
      </c>
      <c r="B8802" s="4" t="s">
        <v>2</v>
      </c>
      <c r="C8802" s="4"/>
    </row>
    <row r="8803" spans="1:3" ht="24" customHeight="1">
      <c r="A8803" s="4" t="str">
        <f ca="1">IFERROR(__xludf.DUMMYFUNCTION("""COMPUTED_VALUE"""),"लिखन्नास्ते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॥अमरुशतकम्-६॥")</f>
        <v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॥अमरुशतकम्-६॥</v>
      </c>
      <c r="B8803" s="4" t="s">
        <v>1</v>
      </c>
      <c r="C8803" s="4"/>
    </row>
    <row r="8804" spans="1:3" ht="24" customHeight="1">
      <c r="A8804" s="4" t="str">
        <f ca="1">IFERROR(__xludf.DUMMYFUNCTION("""COMPUTED_VALUE"""),"नार्यस्तन्वि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॥अमरुशतकम्-७॥")</f>
        <v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॥अमरुशतकम्-७॥</v>
      </c>
      <c r="B8804" s="4" t="s">
        <v>2</v>
      </c>
      <c r="C8804" s="4"/>
    </row>
    <row r="8805" spans="1:3" ht="24" customHeight="1">
      <c r="A8805" s="4" t="str">
        <f ca="1">IFERROR(__xludf.DUMMYFUNCTION("""COMPUTED_VALUE"""),"कोपात्कोमललोलबाहुलतिकापाशेन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॥अमरुशतकम्- ८॥")</f>
        <v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॥अमरुशतकम्- ८॥</v>
      </c>
      <c r="B8805" s="4" t="s">
        <v>18</v>
      </c>
      <c r="C8805" s="4"/>
    </row>
    <row r="8806" spans="1:3" ht="24" customHeight="1">
      <c r="A8806" s="4" t="str">
        <f ca="1">IFERROR(__xludf.DUMMYFUNCTION("""COMPUTED_VALUE"""),"प्रहरविरतौ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॥अमरुशतकम्-९॥")</f>
        <v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॥अमरुशतकम्-९॥</v>
      </c>
      <c r="B8806" s="4" t="s">
        <v>11</v>
      </c>
      <c r="C8806" s="4"/>
    </row>
    <row r="8807" spans="1:3" ht="24" customHeight="1">
      <c r="A8807" s="4" t="str">
        <f ca="1">IFERROR(__xludf.DUMMYFUNCTION("""COMPUTED_VALUE"""),"याताः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॥अमरुशतकम्-१०॥")</f>
        <v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॥अमरुशतकम्-१०॥</v>
      </c>
      <c r="B8807" s="4" t="s">
        <v>2</v>
      </c>
      <c r="C8807" s="4"/>
    </row>
    <row r="8808" spans="1:3" ht="24" customHeight="1">
      <c r="A8808" s="4" t="str">
        <f ca="1">IFERROR(__xludf.DUMMYFUNCTION("""COMPUTED_VALUE"""),"धीरं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॥अमरुशतकम्-११॥")</f>
        <v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॥अमरुशतकम्-११॥</v>
      </c>
      <c r="B8808" s="4" t="s">
        <v>10</v>
      </c>
      <c r="C8808" s="4"/>
    </row>
    <row r="8809" spans="1:3" ht="24" customHeight="1">
      <c r="A8809" s="4" t="str">
        <f ca="1">IFERROR(__xludf.DUMMYFUNCTION("""COMPUTED_VALUE"""),"कथमपि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॥अमरुशतकम्-१२॥")</f>
        <v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॥अमरुशतकम्-१२॥</v>
      </c>
      <c r="B8809" s="4" t="s">
        <v>19</v>
      </c>
      <c r="C8809" s="4"/>
    </row>
    <row r="8810" spans="1:3" ht="24" customHeight="1">
      <c r="A8810" s="4" t="str">
        <f ca="1">IFERROR(__xludf.DUMMYFUNCTION("""COMPUTED_VALUE"""),"दम्पत्योर्निशि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॥अमरुशतकम्-१३॥")</f>
        <v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॥अमरुशतकम्-१३॥</v>
      </c>
      <c r="B8810" s="4" t="s">
        <v>1</v>
      </c>
      <c r="C8810" s="4"/>
    </row>
    <row r="8811" spans="1:3" ht="24" customHeight="1">
      <c r="A8811" s="4" t="str">
        <f ca="1">IFERROR(__xludf.DUMMYFUNCTION("""COMPUTED_VALUE"""),"अज्ञानेन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॥अमरुशतकम्-१४॥")</f>
        <v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॥अमरुशतकम्-१४॥</v>
      </c>
      <c r="B8811" s="4" t="s">
        <v>2</v>
      </c>
      <c r="C8811" s="4"/>
    </row>
    <row r="8812" spans="1:3" ht="24" customHeight="1">
      <c r="A8812" s="4" t="str">
        <f ca="1">IFERROR(__xludf.DUMMYFUNCTION("""COMPUTED_VALUE"""),"एकत्रासनसंस्थितिः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॥अमरुशतकम्-१५॥")</f>
        <v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॥अमरुशतकम्-१५॥</v>
      </c>
      <c r="B8812" s="4" t="s">
        <v>2</v>
      </c>
      <c r="C8812" s="4"/>
    </row>
    <row r="8813" spans="1:3" ht="24" customHeight="1">
      <c r="A8813" s="4" t="str">
        <f ca="1">IFERROR(__xludf.DUMMYFUNCTION("""COMPUTED_VALUE"""),"दृष्ट्वैकासनसंस्थिते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अमरुशतकम्-१६॥")</f>
        <v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v>
      </c>
      <c r="B8813" s="4" t="s">
        <v>2</v>
      </c>
      <c r="C8813" s="4"/>
    </row>
    <row r="8814" spans="1:3" ht="24" customHeight="1">
      <c r="A8814" s="4" t="str">
        <f ca="1">IFERROR(__xludf.DUMMYFUNCTION("""COMPUTED_VALUE"""),"चरणपतनप्रत्याख्यानात्प्रसादपराङ्मुखे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॥अमरुशतकम्-१७॥ ")</f>
        <v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॥अमरुशतकम्-१७॥ </v>
      </c>
      <c r="B8814" s="4" t="s">
        <v>2</v>
      </c>
      <c r="C8814" s="4"/>
    </row>
    <row r="8815" spans="1:3" ht="24" customHeight="1">
      <c r="A8815" s="4" t="str">
        <f ca="1">IFERROR(__xludf.DUMMYFUNCTION("""COMPUTED_VALUE""")," 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॥अमरुशतकम्-१८॥")</f>
        <v xml:space="preserve"> 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॥अमरुशतकम्-१८॥</v>
      </c>
      <c r="B8815" s="4" t="s">
        <v>5</v>
      </c>
      <c r="C8815" s="4"/>
    </row>
    <row r="8816" spans="1:3" ht="24" customHeight="1">
      <c r="A8816" s="4" t="str">
        <f ca="1">IFERROR(__xludf.DUMMYFUNCTION("""COMPUTED_VALUE"""),"एकस्मिञ्शयने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॥अमरुशतकम्-१९॥")</f>
        <v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॥अमरुशतकम्-१९॥</v>
      </c>
      <c r="B8816" s="4" t="s">
        <v>24</v>
      </c>
      <c r="C8816" s="4"/>
    </row>
    <row r="8817" spans="1:3" ht="24" customHeight="1">
      <c r="A8817" s="4" t="str">
        <f ca="1">IFERROR(__xludf.DUMMYFUNCTION("""COMPUTED_VALUE"""),"पश्यामो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॥अमरुशतकम्-२०॥")</f>
        <v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॥अमरुशतकम्-२०॥</v>
      </c>
      <c r="B8817" s="4" t="s">
        <v>5</v>
      </c>
      <c r="C8817" s="4"/>
    </row>
    <row r="8818" spans="1:3" ht="24" customHeight="1">
      <c r="A8818" s="4" t="str">
        <f ca="1">IFERROR(__xludf.DUMMYFUNCTION("""COMPUTED_VALUE"""),"परिम्लाने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॥अमरुशतकम्-२१॥")</f>
        <v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॥अमरुशतकम्-२१॥</v>
      </c>
      <c r="B8818" s="4" t="s">
        <v>2</v>
      </c>
      <c r="C8818" s="4"/>
    </row>
    <row r="8819" spans="1:3" ht="24" customHeight="1">
      <c r="A8819" s="4" t="str">
        <f ca="1">IFERROR(__xludf.DUMMYFUNCTION("""COMPUTED_VALUE"""),"तस्याः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॥अमरुशतकम्-२२॥")</f>
        <v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॥अमरुशतकम्-२२॥</v>
      </c>
      <c r="B8819" s="4" t="s">
        <v>2</v>
      </c>
      <c r="C8819" s="4"/>
    </row>
    <row r="8820" spans="1:3" ht="24" customHeight="1">
      <c r="A8820" s="4" t="str">
        <f ca="1">IFERROR(__xludf.DUMMYFUNCTION("""COMPUTED_VALUE"""),"त्वं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॥अमरुशतकम्-२३॥")</f>
        <v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॥अमरुशतकम्-२३॥</v>
      </c>
      <c r="B8820" s="4" t="s">
        <v>1</v>
      </c>
      <c r="C8820" s="4"/>
    </row>
    <row r="8821" spans="1:3" ht="24" customHeight="1">
      <c r="A8821" s="4" t="str">
        <f ca="1">IFERROR(__xludf.DUMMYFUNCTION("""COMPUTED_VALUE"""),"भ्रूभङ्गे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॥अमरुशतकम्-२४॥")</f>
        <v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॥अमरुशतकम्-२४॥</v>
      </c>
      <c r="B8821" s="4" t="s">
        <v>1</v>
      </c>
      <c r="C8821" s="4"/>
    </row>
    <row r="8822" spans="1:3" ht="24" customHeight="1">
      <c r="A8822" s="4" t="str">
        <f ca="1">IFERROR(__xludf.DUMMYFUNCTION("""COMPUTED_VALUE"""),"कान्ते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॥अमरुशतकम्-२५॥")</f>
        <v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॥अमरुशतकम्-२५॥</v>
      </c>
      <c r="B8822" s="4" t="s">
        <v>11</v>
      </c>
      <c r="C8822" s="4"/>
    </row>
    <row r="8823" spans="1:3" ht="24" customHeight="1">
      <c r="A8823" s="4" t="str">
        <f ca="1">IFERROR(__xludf.DUMMYFUNCTION("""COMPUTED_VALUE"""),"सा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॥अमरुशतकम्-२६॥")</f>
        <v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॥अमरुशतकम्-२६॥</v>
      </c>
      <c r="B8823" s="4" t="s">
        <v>6</v>
      </c>
      <c r="C8823" s="4"/>
    </row>
    <row r="8824" spans="1:3" ht="24" customHeight="1">
      <c r="A8824" s="4" t="str">
        <f ca="1">IFERROR(__xludf.DUMMYFUNCTION("""COMPUTED_VALUE"""),"भवतु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॥अमरुशतकम्-२७॥ (३०)")</f>
        <v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॥अमरुशतकम्-२७॥ (३०)</v>
      </c>
      <c r="B8824" s="4" t="s">
        <v>2</v>
      </c>
      <c r="C8824" s="4"/>
    </row>
    <row r="8825" spans="1:3" ht="24" customHeight="1">
      <c r="A8825" s="4" t="str">
        <f ca="1">IFERROR(__xludf.DUMMYFUNCTION("""COMPUTED_VALUE"""),"उरसि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॥अमरुशतकम्-२८॥")</f>
        <v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॥अमरुशतकम्-२८॥</v>
      </c>
      <c r="B8825" s="4" t="s">
        <v>18</v>
      </c>
      <c r="C8825" s="4"/>
    </row>
    <row r="8826" spans="1:3" ht="24" customHeight="1">
      <c r="A8826" s="4" t="str">
        <f ca="1">IFERROR(__xludf.DUMMYFUNCTION("""COMPUTED_VALUE"""),"प्रातः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॥अमरुशतकम्-२९॥")</f>
        <v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॥अमरुशतकम्-२९॥</v>
      </c>
      <c r="B8826" s="4" t="s">
        <v>18</v>
      </c>
      <c r="C8826" s="4"/>
    </row>
    <row r="8827" spans="1:3" ht="24" customHeight="1">
      <c r="A8827" s="4" t="str">
        <f ca="1">IFERROR(__xludf.DUMMYFUNCTION("""COMPUTED_VALUE"""),"सा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॥अमरुशतकम्-३०॥")</f>
        <v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॥अमरुशतकम्-३०॥</v>
      </c>
      <c r="B8827" s="4" t="s">
        <v>2</v>
      </c>
      <c r="C8827" s="4"/>
    </row>
    <row r="8828" spans="1:3" ht="24" customHeight="1">
      <c r="A8828" s="4" t="str">
        <f ca="1">IFERROR(__xludf.DUMMYFUNCTION("""COMPUTED_VALUE"""),"प्रस्थानं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॥अमरुशतकम्-३१॥")</f>
        <v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॥अमरुशतकम्-३१॥</v>
      </c>
      <c r="B8828" s="4" t="s">
        <v>2</v>
      </c>
      <c r="C8828" s="4"/>
    </row>
    <row r="8829" spans="1:3" ht="24" customHeight="1">
      <c r="A8829" s="4" t="str">
        <f ca="1">IFERROR(__xludf.DUMMYFUNCTION("""COMPUTED_VALUE"""),"सन्दष्टाधरपल्लवा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॥अमरुशतकम्-३२॥")</f>
        <v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॥अमरुशतकम्-३२॥</v>
      </c>
      <c r="B8829" s="4" t="s">
        <v>0</v>
      </c>
      <c r="C8829" s="4"/>
    </row>
    <row r="8830" spans="1:3" ht="24" customHeight="1">
      <c r="A8830" s="4" t="str">
        <f ca="1">IFERROR(__xludf.DUMMYFUNCTION("""COMPUTED_VALUE"""),"सुप्तोऽयं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॥अमरुशतकम्-३३॥")</f>
        <v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॥अमरुशतकम्-३३॥</v>
      </c>
      <c r="B8830" s="4" t="s">
        <v>12</v>
      </c>
      <c r="C8830" s="4"/>
    </row>
    <row r="8831" spans="1:3" ht="24" customHeight="1">
      <c r="A8831" s="4" t="str">
        <f ca="1">IFERROR(__xludf.DUMMYFUNCTION("""COMPUTED_VALUE"""),"कोपो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॥अमरुशतकम्-३४॥")</f>
        <v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॥अमरुशतकम्-३४॥</v>
      </c>
      <c r="B8831" s="4" t="s">
        <v>5</v>
      </c>
      <c r="C8831" s="4"/>
    </row>
    <row r="8832" spans="1:3" ht="24" customHeight="1">
      <c r="A8832" s="4" t="str">
        <f ca="1">IFERROR(__xludf.DUMMYFUNCTION("""COMPUTED_VALUE"""),"सुतनु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॥अमरुशतकम्-३५॥")</f>
        <v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॥अमरुशतकम्-३५॥</v>
      </c>
      <c r="B8832" s="4" t="s">
        <v>16</v>
      </c>
      <c r="C8832" s="4"/>
    </row>
    <row r="8833" spans="1:3" ht="24" customHeight="1">
      <c r="A8833" s="4" t="str">
        <f ca="1">IFERROR(__xludf.DUMMYFUNCTION("""COMPUTED_VALUE"""),"गाढालिङ्गनवामनीकृतकुचप्रोद्भिन्नरोमोद्गमा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॥अमरुशतकम्-३६॥")</f>
        <v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॥अमरुशतकम्-३६॥</v>
      </c>
      <c r="B8833" s="4" t="s">
        <v>19</v>
      </c>
      <c r="C8833" s="4"/>
    </row>
    <row r="8834" spans="1:3" ht="24" customHeight="1">
      <c r="A8834" s="4" t="str">
        <f ca="1">IFERROR(__xludf.DUMMYFUNCTION("""COMPUTED_VALUE"""),"पटालग्ने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॥अमरुशतकम्-३७॥")</f>
        <v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॥अमरुशतकम्-३७॥</v>
      </c>
      <c r="B8834" s="4" t="s">
        <v>20</v>
      </c>
      <c r="C8834" s="4"/>
    </row>
    <row r="8835" spans="1:3" ht="24" customHeight="1">
      <c r="A8835" s="4" t="str">
        <f ca="1">IFERROR(__xludf.DUMMYFUNCTION("""COMPUTED_VALUE"""),"गते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॥अमरुशतकम्-३८॥")</f>
        <v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॥अमरुशतकम्-३८॥</v>
      </c>
      <c r="B8835" s="4" t="s">
        <v>5</v>
      </c>
      <c r="C8835" s="4"/>
    </row>
    <row r="8836" spans="1:3" ht="24" customHeight="1">
      <c r="A8836" s="4" t="str">
        <f ca="1">IFERROR(__xludf.DUMMYFUNCTION("""COMPUTED_VALUE"""),"चिरविरहिणोरुत्कण्ठार्तिश्लथीकृतगात्रयोर्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॥अमरुशतकम्-३९॥")</f>
        <v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॥अमरुशतकम्-३९॥</v>
      </c>
      <c r="B8836" s="4" t="s">
        <v>2</v>
      </c>
      <c r="C8836" s="4"/>
    </row>
    <row r="8837" spans="1:3" ht="24" customHeight="1">
      <c r="A8837" s="4" t="str">
        <f ca="1">IFERROR(__xludf.DUMMYFUNCTION("""COMPUTED_VALUE"""),"दीर्घा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॥अमरुशतकम्-४०॥")</f>
        <v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॥अमरुशतकम्-४०॥</v>
      </c>
      <c r="B8837" s="4" t="s">
        <v>11</v>
      </c>
      <c r="C8837" s="4"/>
    </row>
    <row r="8838" spans="1:3" ht="24" customHeight="1">
      <c r="A8838" s="4" t="str">
        <f ca="1">IFERROR(__xludf.DUMMYFUNCTION("""COMPUTED_VALUE"""),"कान्ते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॥अमरुशतकम्-४१॥")</f>
        <v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॥अमरुशतकम्-४१॥</v>
      </c>
      <c r="B8838" s="4" t="s">
        <v>12</v>
      </c>
      <c r="C8838" s="4"/>
    </row>
    <row r="8839" spans="1:3" ht="24" customHeight="1">
      <c r="A8839" s="4" t="str">
        <f ca="1">IFERROR(__xludf.DUMMYFUNCTION("""COMPUTED_VALUE"""),"आशङ्क्य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॥अमरुशतकम्-४२॥(४७)")</f>
        <v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॥अमरुशतकम्-४२॥(४७)</v>
      </c>
      <c r="B8839" s="4" t="s">
        <v>5</v>
      </c>
      <c r="C8839" s="4"/>
    </row>
    <row r="8840" spans="1:3" ht="24" customHeight="1">
      <c r="A8840" s="4" t="str">
        <f ca="1">IFERROR(__xludf.DUMMYFUNCTION("""COMPUTED_VALUE"""),"सा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॥अमरुशतकम्-४३॥")</f>
        <v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॥अमरुशतकम्-४३॥</v>
      </c>
      <c r="B8840" s="4" t="s">
        <v>12</v>
      </c>
      <c r="C8840" s="4"/>
    </row>
    <row r="8841" spans="1:3" ht="24" customHeight="1">
      <c r="A8841" s="4" t="str">
        <f ca="1">IFERROR(__xludf.DUMMYFUNCTION("""COMPUTED_VALUE"""),"दूरादुत्सुकमागते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॥अमरुशतकम्-४४॥")</f>
        <v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॥अमरुशतकम्-४४॥</v>
      </c>
      <c r="B8841" s="4" t="s">
        <v>18</v>
      </c>
      <c r="C8841" s="4"/>
    </row>
    <row r="8842" spans="1:3" ht="24" customHeight="1">
      <c r="A8842" s="4" t="str">
        <f ca="1">IFERROR(__xludf.DUMMYFUNCTION("""COMPUTED_VALUE"""),"अङ्गानामतितानवं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॥अमरुशतकम्-४५॥")</f>
        <v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॥अमरुशतकम्-४५॥</v>
      </c>
      <c r="B8842" s="4" t="s">
        <v>2</v>
      </c>
      <c r="C8842" s="4"/>
    </row>
    <row r="8843" spans="1:3" ht="24" customHeight="1">
      <c r="A8843" s="4" t="str">
        <f ca="1">IFERROR(__xludf.DUMMYFUNCTION("""COMPUTED_VALUE"""),"पुरस्तन्व्या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॥अमरुशतकम्-४६॥")</f>
        <v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॥अमरुशतकम्-४६॥</v>
      </c>
      <c r="B8843" s="4" t="s">
        <v>7</v>
      </c>
      <c r="C8843" s="4"/>
    </row>
    <row r="8844" spans="1:3" ht="24" customHeight="1">
      <c r="A8844" s="4" t="str">
        <f ca="1">IFERROR(__xludf.DUMMYFUNCTION("""COMPUTED_VALUE"""),"ततश्चाभिज्ञाय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किमिदमथवा"&amp;" सत्यं मुग्धे त्वया हि विनिश्चितं यद् अभिरुचितं तन् मे कृत्वा प्रिये सुखमास्यताम् ॥अमरुशतकम्- ४७॥")</f>
        <v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॥अमरुशतकम्- ४७॥</v>
      </c>
      <c r="B8844" s="4" t="s">
        <v>2</v>
      </c>
      <c r="C8844" s="4"/>
    </row>
    <row r="8845" spans="1:3" ht="24" customHeight="1">
      <c r="A8845" s="4" t="str">
        <f ca="1">IFERROR(__xludf.DUMMYFUNCTION("""COMPUTED_VALUE"""),"मन्दं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॥अमरुशतकम्-४८॥")</f>
        <v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॥अमरुशतकम्-४८॥</v>
      </c>
      <c r="B8845" s="4" t="s">
        <v>4</v>
      </c>
      <c r="C8845" s="4"/>
    </row>
    <row r="8846" spans="1:3" ht="24" customHeight="1">
      <c r="A8846" s="4" t="str">
        <f ca="1">IFERROR(__xludf.DUMMYFUNCTION("""COMPUTED_VALUE"""),"पीतस्तुषारकिरणो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॥अमरुशतकम्-४९॥")</f>
        <v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॥अमरुशतकम्-४९॥</v>
      </c>
      <c r="B8846" s="4" t="s">
        <v>5</v>
      </c>
      <c r="C8846" s="4"/>
    </row>
    <row r="8847" spans="1:3" ht="24" customHeight="1">
      <c r="A8847" s="4" t="str">
        <f ca="1">IFERROR(__xludf.DUMMYFUNCTION("""COMPUTED_VALUE"""),"नभसि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॥अमरुशतकम्-५०॥ ")</f>
        <v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॥अमरुशतकम्-५०॥ </v>
      </c>
      <c r="B8847" s="4" t="s">
        <v>2</v>
      </c>
      <c r="C8847" s="4"/>
    </row>
    <row r="8848" spans="1:3" ht="24" customHeight="1">
      <c r="A8848" s="4" t="str">
        <f ca="1">IFERROR(__xludf.DUMMYFUNCTION("""COMPUTED_VALUE"""),"इयमसौ तरलायतलोचना गुरुसमुन्नतपीनपयोधरा । पृथुनितम्बभरालसगामिनी प्रियतमा मम जीवितहारिणी ॥अमरुशतकम्-५१॥ ")</f>
        <v xml:space="preserve">इयमसौ तरलायतलोचना गुरुसमुन्नतपीनपयोधरा । पृथुनितम्बभरालसगामिनी प्रियतमा मम जीवितहारिणी ॥अमरुशतकम्-५१॥ </v>
      </c>
      <c r="B8848" s="4" t="s">
        <v>7</v>
      </c>
      <c r="C8848" s="4"/>
    </row>
    <row r="8849" spans="1:3" ht="24" customHeight="1">
      <c r="A8849" s="4" t="str">
        <f ca="1">IFERROR(__xludf.DUMMYFUNCTION("""COMPUTED_VALUE"""),"सालक्तकेन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॥अमरुशतकम्-५२॥")</f>
        <v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॥अमरुशतकम्-५२॥</v>
      </c>
      <c r="B8849" s="4" t="s">
        <v>1</v>
      </c>
      <c r="C8849" s="4"/>
    </row>
    <row r="8850" spans="1:3" ht="24" customHeight="1">
      <c r="A8850" s="4" t="str">
        <f ca="1">IFERROR(__xludf.DUMMYFUNCTION("""COMPUTED_VALUE"""),"बाले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॥अमरुशतकम्-५३॥")</f>
        <v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॥अमरुशतकम्-५३॥</v>
      </c>
      <c r="B8850" s="4" t="s">
        <v>2</v>
      </c>
      <c r="C8850" s="4"/>
    </row>
    <row r="8851" spans="1:3" ht="24" customHeight="1">
      <c r="A8851" s="4" t="str">
        <f ca="1">IFERROR(__xludf.DUMMYFUNCTION("""COMPUTED_VALUE"""),"नीत्वोच्चैर्विक्षिपन्तः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॥अमरुशतकम्-५४॥")</f>
        <v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॥अमरुशतकम्-५४॥</v>
      </c>
      <c r="B8851" s="4" t="s">
        <v>2</v>
      </c>
      <c r="C8851" s="4"/>
    </row>
    <row r="8852" spans="1:3" ht="24" customHeight="1">
      <c r="A8852" s="4" t="str">
        <f ca="1">IFERROR(__xludf.DUMMYFUNCTION("""COMPUTED_VALUE"""),"श्रुत्वा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॥अमरुशतकम्-५५॥")</f>
        <v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॥अमरुशतकम्-५५॥</v>
      </c>
      <c r="B8852" s="4" t="s">
        <v>4</v>
      </c>
      <c r="C8852" s="4"/>
    </row>
    <row r="8853" spans="1:3" ht="24" customHeight="1">
      <c r="A8853" s="4" t="str">
        <f ca="1">IFERROR(__xludf.DUMMYFUNCTION("""COMPUTED_VALUE"""),"श्लिष्टः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॥अमरुशतकम्-५६॥")</f>
        <v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॥अमरुशतकम्-५६॥</v>
      </c>
      <c r="B8853" s="4" t="s">
        <v>25</v>
      </c>
      <c r="C8853" s="4"/>
    </row>
    <row r="8854" spans="1:3" ht="24" customHeight="1">
      <c r="A8854" s="4" t="str">
        <f ca="1">IFERROR(__xludf.DUMMYFUNCTION("""COMPUTED_VALUE"""),"श्रुत्वा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॥अमरुशतकम्-५७॥")</f>
        <v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॥अमरुशतकम्-५७॥</v>
      </c>
      <c r="B8854" s="4" t="s">
        <v>1</v>
      </c>
      <c r="C8854" s="4"/>
    </row>
    <row r="8855" spans="1:3" ht="24" customHeight="1">
      <c r="A8855" s="4" t="str">
        <f ca="1">IFERROR(__xludf.DUMMYFUNCTION("""COMPUTED_VALUE"""),"रामाणां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॥अमरुशतकम्-५८॥")</f>
        <v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॥अमरुशतकम्-५८॥</v>
      </c>
      <c r="B8855" s="4" t="s">
        <v>2</v>
      </c>
      <c r="C8855" s="4"/>
    </row>
    <row r="8856" spans="1:3" ht="24" customHeight="1">
      <c r="A8856" s="4" t="str">
        <f ca="1">IFERROR(__xludf.DUMMYFUNCTION("""COMPUTED_VALUE"""),"अङ्गं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॥अमरुशतकम्-५९॥")</f>
        <v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॥अमरुशतकम्-५९॥</v>
      </c>
      <c r="B8856" s="4" t="s">
        <v>12</v>
      </c>
      <c r="C8856" s="4"/>
    </row>
    <row r="8857" spans="1:3" ht="24" customHeight="1">
      <c r="A8857" s="4" t="str">
        <f ca="1">IFERROR(__xludf.DUMMYFUNCTION("""COMPUTED_VALUE"""),"वरमसौ दिवसो न पुनर्निशा ननु निशैव वरं न पुनर्दिवा । उभयमेतद् उपैत्वथवा क्षयं प्रियजनेन न यत्र समागमः ॥अमरुशतकम्-६०॥")</f>
        <v>वरमसौ दिवसो न पुनर्निशा ननु निशैव वरं न पुनर्दिवा । उभयमेतद् उपैत्वथवा क्षयं प्रियजनेन न यत्र समागमः ॥अमरुशतकम्-६०॥</v>
      </c>
      <c r="B8857" s="4" t="s">
        <v>12</v>
      </c>
      <c r="C8857" s="4"/>
    </row>
    <row r="8858" spans="1:3" ht="24" customHeight="1">
      <c r="A8858" s="4" t="str">
        <f ca="1">IFERROR(__xludf.DUMMYFUNCTION("""COMPUTED_VALUE"""),"लोलैर्लोचनवारिभिः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॥अमरुशतकम्-६१॥")</f>
        <v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॥अमरुशतकम्-६१॥</v>
      </c>
      <c r="B8858" s="4" t="s">
        <v>18</v>
      </c>
      <c r="C8858" s="4"/>
    </row>
    <row r="8859" spans="1:3" ht="24" customHeight="1">
      <c r="A8859" s="4" t="str">
        <f ca="1">IFERROR(__xludf.DUMMYFUNCTION("""COMPUTED_VALUE"""),"लग्ना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॥अमरुशतकम्-६२॥")</f>
        <v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॥अमरुशतकम्-६२॥</v>
      </c>
      <c r="B8859" s="4" t="s">
        <v>5</v>
      </c>
      <c r="C8859" s="4"/>
    </row>
    <row r="8860" spans="1:3" ht="24" customHeight="1">
      <c r="A8860" s="4" t="str">
        <f ca="1">IFERROR(__xludf.DUMMYFUNCTION("""COMPUTED_VALUE"""),"न जाने संमुखायाते प्रियाणि वदति प्रिये । सर्वाण्यङ्गानि मे यान्ति श्रोत्रतां किमु नेत्रताम् ॥अमरुशतकम्-६३॥")</f>
        <v>न जाने संमुखायाते प्रियाणि वदति प्रिये । सर्वाण्यङ्गानि मे यान्ति श्रोत्रतां किमु नेत्रताम् ॥अमरुशतकम्-६३॥</v>
      </c>
      <c r="B8860" s="4" t="s">
        <v>2</v>
      </c>
      <c r="C8860" s="4"/>
    </row>
    <row r="8861" spans="1:3" ht="24" customHeight="1">
      <c r="A8861" s="4" t="str">
        <f ca="1">IFERROR(__xludf.DUMMYFUNCTION("""COMPUTED_VALUE"""),"विरहविषमः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॥अमरुशतकम्-६४॥")</f>
        <v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॥अमरुशतकम्-६४॥</v>
      </c>
      <c r="B8861" s="4" t="s">
        <v>1</v>
      </c>
      <c r="C8861" s="4"/>
    </row>
    <row r="8862" spans="1:3" ht="24" customHeight="1">
      <c r="A8862" s="4" t="str">
        <f ca="1">IFERROR(__xludf.DUMMYFUNCTION("""COMPUTED_VALUE"""),"पादासक्ते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॥अमरुशतकम्-६५॥")</f>
        <v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॥अमरुशतकम्-६५॥</v>
      </c>
      <c r="B8862" s="4" t="s">
        <v>2</v>
      </c>
      <c r="C8862" s="4"/>
    </row>
    <row r="8863" spans="1:3" ht="24" customHeight="1">
      <c r="A8863" s="4" t="str">
        <f ca="1">IFERROR(__xludf.DUMMYFUNCTION("""COMPUTED_VALUE"""),"पुराभूदस्माकं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॥अमरुशतकम्-६६॥")</f>
        <v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॥अमरुशतकम्-६६॥</v>
      </c>
      <c r="B8863" s="4" t="s">
        <v>17</v>
      </c>
      <c r="C8863" s="4"/>
    </row>
    <row r="8864" spans="1:3" ht="24" customHeight="1">
      <c r="A8864" s="4" t="str">
        <f ca="1">IFERROR(__xludf.DUMMYFUNCTION("""COMPUTED_VALUE"""),"मुग्धे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॥अमरुशतकम्-६७॥")</f>
        <v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॥अमरुशतकम्-६७॥</v>
      </c>
      <c r="B8864" s="4" t="s">
        <v>2</v>
      </c>
      <c r="C8864" s="4"/>
    </row>
    <row r="8865" spans="1:3" ht="24" customHeight="1">
      <c r="A8865" s="4" t="str">
        <f ca="1">IFERROR(__xludf.DUMMYFUNCTION("""COMPUTED_VALUE"""),"पीतो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॥अमरुशतकम्-६८॥")</f>
        <v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॥अमरुशतकम्-६८॥</v>
      </c>
      <c r="B8865" s="4" t="s">
        <v>0</v>
      </c>
      <c r="C8865" s="4"/>
    </row>
    <row r="8866" spans="1:3" ht="24" customHeight="1">
      <c r="A8866" s="4" t="str">
        <f ca="1">IFERROR(__xludf.DUMMYFUNCTION("""COMPUTED_VALUE"""),"क्व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॥अमरुशतकम्-६९॥(७१)")</f>
        <v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॥अमरुशतकम्-६९॥(७१)</v>
      </c>
      <c r="B8866" s="4" t="s">
        <v>5</v>
      </c>
      <c r="C8866" s="4"/>
    </row>
    <row r="8867" spans="1:3" ht="24" customHeight="1">
      <c r="A8867" s="4" t="str">
        <f ca="1">IFERROR(__xludf.DUMMYFUNCTION("""COMPUTED_VALUE"""),"लीलात्तामरसाहतोऽन्यवनितानिःशङ्कदष्टाधरः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॥अमरुशतकम्-७०॥")</f>
        <v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॥अमरुशतकम्-७०॥</v>
      </c>
      <c r="B8867" s="4" t="s">
        <v>2</v>
      </c>
      <c r="C8867" s="4"/>
    </row>
    <row r="8868" spans="1:3" ht="24" customHeight="1">
      <c r="A8868" s="4" t="str">
        <f ca="1">IFERROR(__xludf.DUMMYFUNCTION("""COMPUTED_VALUE"""),"स्फुटतु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॥अमरुशतकम्-७१॥")</f>
        <v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॥अमरुशतकम्-७१॥</v>
      </c>
      <c r="B8868" s="4" t="s">
        <v>2</v>
      </c>
      <c r="C8868" s="4"/>
    </row>
    <row r="8869" spans="1:3" ht="24" customHeight="1">
      <c r="A8869" s="4" t="str">
        <f ca="1">IFERROR(__xludf.DUMMYFUNCTION("""COMPUTED_VALUE"""),"गाढाश्लेषविशीर्णचन्दनरजःपुञ्जप्रकर्षादियं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॥अमरुशतकम्-७२॥")</f>
        <v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॥अमरुशतकम्-७२॥</v>
      </c>
      <c r="B8869" s="4" t="s">
        <v>2</v>
      </c>
      <c r="C8869" s="4"/>
    </row>
    <row r="8870" spans="1:3" ht="24" customHeight="1">
      <c r="A8870" s="4" t="str">
        <f ca="1">IFERROR(__xludf.DUMMYFUNCTION("""COMPUTED_VALUE"""),"कथमपि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॥अमरुशतकम्-७३॥")</f>
        <v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॥अमरुशतकम्-७३॥</v>
      </c>
      <c r="B8870" s="4" t="s">
        <v>1</v>
      </c>
      <c r="C8870" s="4"/>
    </row>
    <row r="8871" spans="1:3" ht="24" customHeight="1">
      <c r="A8871" s="4" t="str">
        <f ca="1">IFERROR(__xludf.DUMMYFUNCTION("""COMPUTED_VALUE"""),"आदृष्टिप्रसरात्प्रियस्य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॥अमरुशतकम्-७४॥")</f>
        <v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॥अमरुशतकम्-७४॥</v>
      </c>
      <c r="B8871" s="4" t="s">
        <v>2</v>
      </c>
      <c r="C8871" s="4"/>
    </row>
    <row r="8872" spans="1:3" ht="24" customHeight="1">
      <c r="A8872" s="4" t="str">
        <f ca="1">IFERROR(__xludf.DUMMYFUNCTION("""COMPUTED_VALUE"""),"आयाते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॥अमरुशतकम्-७५॥")</f>
        <v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॥अमरुशतकम्-७५॥</v>
      </c>
      <c r="B8872" s="4" t="s">
        <v>12</v>
      </c>
      <c r="C8872" s="4"/>
    </row>
    <row r="8873" spans="1:3" ht="24" customHeight="1">
      <c r="A8873" s="4" t="str">
        <f ca="1">IFERROR(__xludf.DUMMYFUNCTION("""COMPUTED_VALUE"""),"आलम्ब्याङ्गणवाटिकापरिसरे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॥अमरुशतकम्-७६॥")</f>
        <v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॥अमरुशतकम्-७६॥</v>
      </c>
      <c r="B8873" s="4" t="s">
        <v>2</v>
      </c>
      <c r="C8873" s="4"/>
    </row>
    <row r="8874" spans="1:3" ht="24" customHeight="1">
      <c r="A8874" s="4" t="str">
        <f ca="1">IFERROR(__xludf.DUMMYFUNCTION("""COMPUTED_VALUE"""),"यास्यामिति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॥अमरुशतकम्-७७॥")</f>
        <v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॥अमरुशतकम्-७७॥</v>
      </c>
      <c r="B8874" s="4" t="s">
        <v>12</v>
      </c>
      <c r="C8874" s="4"/>
    </row>
    <row r="8875" spans="1:3" ht="24" customHeight="1">
      <c r="A8875" s="4" t="str">
        <f ca="1">IFERROR(__xludf.DUMMYFUNCTION("""COMPUTED_VALUE"""),"शून्यं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॥अमरुशतकम्-७८॥")</f>
        <v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॥अमरुशतकम्-७८॥</v>
      </c>
      <c r="B8875" s="4" t="s">
        <v>2</v>
      </c>
      <c r="C8875" s="4"/>
    </row>
    <row r="8876" spans="1:3" ht="24" customHeight="1">
      <c r="A8876" s="4" t="str">
        <f ca="1">IFERROR(__xludf.DUMMYFUNCTION("""COMPUTED_VALUE"""),"लोलद्भ्रूलतया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॥अमरुशतकम्-७९॥")</f>
        <v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॥अमरुशतकम्-७९॥</v>
      </c>
      <c r="B8876" s="4" t="s">
        <v>2</v>
      </c>
      <c r="C8876" s="4"/>
    </row>
    <row r="8877" spans="1:3" ht="24" customHeight="1">
      <c r="A8877" s="4" t="str">
        <f ca="1">IFERROR(__xludf.DUMMYFUNCTION("""COMPUTED_VALUE"""),"जाता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॥अमरुशतकम्-८०॥")</f>
        <v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॥अमरुशतकम्-८०॥</v>
      </c>
      <c r="B8877" s="4" t="s">
        <v>2</v>
      </c>
      <c r="C8877" s="4"/>
    </row>
    <row r="8878" spans="1:3" ht="24" customHeight="1">
      <c r="A8878" s="4" t="str">
        <f ca="1">IFERROR(__xludf.DUMMYFUNCTION("""COMPUTED_VALUE"""),"दृष्टः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॥अमरुशतकम्-८१॥")</f>
        <v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॥अमरुशतकम्-८१॥</v>
      </c>
      <c r="B8878" s="4" t="s">
        <v>6</v>
      </c>
      <c r="C8878" s="4"/>
    </row>
    <row r="8879" spans="1:3" ht="24" customHeight="1">
      <c r="A8879" s="4" t="str">
        <f ca="1">IFERROR(__xludf.DUMMYFUNCTION("""COMPUTED_VALUE"""),"कृतो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॥अमरुशतकम्-८२॥")</f>
        <v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॥अमरुशतकम्-८२॥</v>
      </c>
      <c r="B8879" s="4" t="s">
        <v>5</v>
      </c>
      <c r="C8879" s="4"/>
    </row>
    <row r="8880" spans="1:3" ht="24" customHeight="1">
      <c r="A8880" s="4" t="str">
        <f ca="1">IFERROR(__xludf.DUMMYFUNCTION("""COMPUTED_VALUE"""),"एकस्मिञ्शयने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॥अमरुशतकम्-८३॥")</f>
        <v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॥अमरुशतकम्-८३॥</v>
      </c>
      <c r="B8880" s="4" t="s">
        <v>2</v>
      </c>
      <c r="C8880" s="4"/>
    </row>
    <row r="8881" spans="1:3" ht="24" customHeight="1">
      <c r="A8881" s="4" t="str">
        <f ca="1">IFERROR(__xludf.DUMMYFUNCTION("""COMPUTED_VALUE"""),"मलयमरुतां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॥अमरुशतकम्-८४॥")</f>
        <v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॥अमरुशतकम्-८४॥</v>
      </c>
      <c r="B8881" s="4" t="s">
        <v>5</v>
      </c>
      <c r="C8881" s="4"/>
    </row>
    <row r="8882" spans="1:3" ht="24" customHeight="1">
      <c r="A8882" s="4" t="str">
        <f ca="1">IFERROR(__xludf.DUMMYFUNCTION("""COMPUTED_VALUE"""),"स्वं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॥अमरुशतकम्-८५॥")</f>
        <v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॥अमरुशतकम्-८५॥</v>
      </c>
      <c r="B8882" s="4" t="s">
        <v>2</v>
      </c>
      <c r="C8882" s="4"/>
    </row>
    <row r="8883" spans="1:3" ht="24" customHeight="1">
      <c r="A8883" s="4" t="str">
        <f ca="1">IFERROR(__xludf.DUMMYFUNCTION("""COMPUTED_VALUE"""),"सालक्तकं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॥अमरुशतकम्-८६॥")</f>
        <v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॥अमरुशतकम्-८६॥</v>
      </c>
      <c r="B8883" s="4" t="s">
        <v>3</v>
      </c>
      <c r="C8883" s="4"/>
    </row>
    <row r="8884" spans="1:3" ht="24" customHeight="1">
      <c r="A8884" s="4" t="str">
        <f ca="1">IFERROR(__xludf.DUMMYFUNCTION("""COMPUTED_VALUE"""),"कपोले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॥अमरुशतकम्-८७॥")</f>
        <v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॥अमरुशतकम्-८७॥</v>
      </c>
      <c r="B8884" s="4" t="s">
        <v>5</v>
      </c>
      <c r="C8884" s="4"/>
    </row>
    <row r="8885" spans="1:3" ht="24" customHeight="1">
      <c r="A8885" s="4" t="str">
        <f ca="1">IFERROR(__xludf.DUMMYFUNCTION("""COMPUTED_VALUE"""),"लाक्षालक्ष्मललाटपट्टमभितः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॥अमरुशतकम्-८८॥ (६०)")</f>
        <v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॥अमरुशतकम्-८८॥ (६०)</v>
      </c>
      <c r="B8885" s="4" t="s">
        <v>2</v>
      </c>
      <c r="C8885" s="4"/>
    </row>
    <row r="8886" spans="1:3" ht="24" customHeight="1">
      <c r="A8886" s="4" t="str">
        <f ca="1">IFERROR(__xludf.DUMMYFUNCTION("""COMPUTED_VALUE"""),"तप्ते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॥अमरुशतकम्-८९॥(८६)")</f>
        <v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॥अमरुशतकम्-८९॥(८६)</v>
      </c>
      <c r="B8886" s="4" t="s">
        <v>2</v>
      </c>
      <c r="C8886" s="4"/>
    </row>
    <row r="8887" spans="1:3" ht="24" customHeight="1">
      <c r="A8887" s="4" t="str">
        <f ca="1">IFERROR(__xludf.DUMMYFUNCTION("""COMPUTED_VALUE"""),"चिन्तामोहविनिश्चलेन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॥अमरुशतकम्-९०॥(८७)")</f>
        <v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॥अमरुशतकम्-९०॥(८७)</v>
      </c>
      <c r="B8887" s="4" t="s">
        <v>2</v>
      </c>
      <c r="C8887" s="4"/>
    </row>
    <row r="8888" spans="1:3" ht="24" customHeight="1">
      <c r="A8888" s="4" t="str">
        <f ca="1">IFERROR(__xludf.DUMMYFUNCTION("""COMPUTED_VALUE"""),"तन्वङ्ग्या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॥अमरुशतकम्-९१॥")</f>
        <v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॥अमरुशतकम्-९१॥</v>
      </c>
      <c r="B8888" s="4" t="s">
        <v>11</v>
      </c>
      <c r="C8888" s="4"/>
    </row>
    <row r="8889" spans="1:3" ht="24" customHeight="1">
      <c r="A8889" s="4" t="str">
        <f ca="1">IFERROR(__xludf.DUMMYFUNCTION("""COMPUTED_VALUE"""),"भ्रूभेदो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॥अमरुशतकम्-९२॥ ")</f>
        <v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॥अमरुशतकम्-९२॥ </v>
      </c>
      <c r="B8889" s="4" t="s">
        <v>2</v>
      </c>
      <c r="C8889" s="4"/>
    </row>
    <row r="8890" spans="1:3" ht="24" customHeight="1">
      <c r="A8890" s="4" t="str">
        <f ca="1">IFERROR(__xludf.DUMMYFUNCTION("""COMPUTED_VALUE"""),"देशैरन्तरिता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॥अमरुशतकम्-९३॥")</f>
        <v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॥अमरुशतकम्-९३॥</v>
      </c>
      <c r="B8890" s="4" t="s">
        <v>2</v>
      </c>
      <c r="C8890" s="4"/>
    </row>
    <row r="8891" spans="1:3" ht="24" customHeight="1">
      <c r="A8891" s="4" t="str">
        <f ca="1">IFERROR(__xludf.DUMMYFUNCTION("""COMPUTED_VALUE"""),"म्लानं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॥अमरुशतकम्-९४॥")</f>
        <v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॥अमरुशतकम्-९४॥</v>
      </c>
      <c r="B8891" s="4" t="s">
        <v>2</v>
      </c>
      <c r="C8891" s="4"/>
    </row>
    <row r="8892" spans="1:3" ht="24" customHeight="1">
      <c r="A8892" s="4" t="str">
        <f ca="1">IFERROR(__xludf.DUMMYFUNCTION("""COMPUTED_VALUE"""),"सैवाहं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॥अमरुशतकम्-९५॥")</f>
        <v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॥अमरुशतकम्-९५॥</v>
      </c>
      <c r="B8892" s="4" t="s">
        <v>6</v>
      </c>
      <c r="C8892" s="4"/>
    </row>
    <row r="8893" spans="1:3" ht="24" customHeight="1">
      <c r="A8893" s="4" t="str">
        <f ca="1">IFERROR(__xludf.DUMMYFUNCTION("""COMPUTED_VALUE"""),"करकिसलयं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॥अमरुशतकम्-९६॥")</f>
        <v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॥अमरुशतकम्-९६॥</v>
      </c>
      <c r="B8893" s="4" t="s">
        <v>2</v>
      </c>
      <c r="C8893" s="4"/>
    </row>
    <row r="8894" spans="1:3" ht="24" customHeight="1">
      <c r="A8894" s="4" t="str">
        <f ca="1">IFERROR(__xludf.DUMMYFUNCTION("""COMPUTED_VALUE"""),"सन्त्येवात्र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॥अमरुशतकम्-९७॥")</f>
        <v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॥अमरुशतकम्-९७॥</v>
      </c>
      <c r="B8894" s="4" t="s">
        <v>1</v>
      </c>
      <c r="C8894" s="4"/>
    </row>
    <row r="8895" spans="1:3" ht="24" customHeight="1">
      <c r="A8895" s="4" t="str">
        <f ca="1">IFERROR(__xludf.DUMMYFUNCTION("""COMPUTED_VALUE"""),"निःश्वासा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॥अमरुशतकम्-९८॥")</f>
        <v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॥अमरुशतकम्-९८॥</v>
      </c>
      <c r="B8895" s="4" t="s">
        <v>2</v>
      </c>
      <c r="C8895" s="4"/>
    </row>
    <row r="8896" spans="1:3" ht="24" customHeight="1">
      <c r="A8896" s="4" t="str">
        <f ca="1">IFERROR(__xludf.DUMMYFUNCTION("""COMPUTED_VALUE"""),"अद्यारभ्य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॥अमरुशतकम्-९९॥")</f>
        <v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॥अमरुशतकम्-९९॥</v>
      </c>
      <c r="B8896" s="4" t="s">
        <v>13</v>
      </c>
      <c r="C8896" s="4"/>
    </row>
    <row r="8897" spans="1:3" ht="24" customHeight="1">
      <c r="A8897" s="4" t="str">
        <f ca="1">IFERROR(__xludf.DUMMYFUNCTION("""COMPUTED_VALUE"""),"इदं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॥अमरुशतकम्-१००॥(९४)")</f>
        <v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॥अमरुशतकम्-१००॥(९४)</v>
      </c>
      <c r="B8897" s="4" t="s">
        <v>13</v>
      </c>
      <c r="C8897" s="4"/>
    </row>
    <row r="8898" spans="1:3" ht="24" customHeight="1">
      <c r="A8898" s="4" t="str">
        <f ca="1">IFERROR(__xludf.DUMMYFUNCTION("""COMPUTED_VALUE"""),"चरणपतनं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॥अमरुशतकम्-१०१॥(९५)")</f>
        <v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॥अमरुशतकम्-१०१॥(९५)</v>
      </c>
      <c r="B8898" s="4" t="s">
        <v>24</v>
      </c>
      <c r="C8898" s="4"/>
    </row>
    <row r="8899" spans="1:3" ht="24" customHeight="1">
      <c r="A8899" s="4" t="str">
        <f ca="1">IFERROR(__xludf.DUMMYFUNCTION("""COMPUTED_VALUE"""),"अहं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॥अमरुशतकम्-१०२॥(९८)")</f>
        <v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॥अमरुशतकम्-१०२॥(९८)</v>
      </c>
      <c r="B8899" s="4" t="s">
        <v>0</v>
      </c>
      <c r="C8899" s="4"/>
    </row>
    <row r="8900" spans="1:3" ht="24" customHeight="1">
      <c r="A8900" s="4" t="str">
        <f ca="1">IFERROR(__xludf.DUMMYFUNCTION("""COMPUTED_VALUE"""),"चक्षुःप्रीतिप्रसक्ते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॥अमरुशतकम्-१०३॥")</f>
        <v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॥अमरुशतकम्-१०३॥</v>
      </c>
      <c r="B8900" s="4" t="s">
        <v>2</v>
      </c>
      <c r="C8900" s="4"/>
    </row>
    <row r="8901" spans="1:3" ht="24" customHeight="1">
      <c r="A8901" s="4" t="str">
        <f ca="1">IFERROR(__xludf.DUMMYFUNCTION("""COMPUTED_VALUE"""),"कान्ते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॥अमरुशतकम्-१०४॥")</f>
        <v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॥अमरुशतकम्-१०४॥</v>
      </c>
      <c r="B8901" s="4" t="s">
        <v>2</v>
      </c>
      <c r="C8901" s="4"/>
    </row>
    <row r="8902" spans="1:3" ht="24" customHeight="1">
      <c r="A8902" s="4" t="str">
        <f ca="1">IFERROR(__xludf.DUMMYFUNCTION("""COMPUTED_VALUE"""),"प्रासादे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॥अमरुशतकम्-१०५॥")</f>
        <v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॥अमरुशतकम्-१०५॥</v>
      </c>
      <c r="B8902" s="4" t="s">
        <v>17</v>
      </c>
      <c r="C8902" s="4"/>
    </row>
    <row r="8903" spans="1:3" ht="24" customHeight="1">
      <c r="A8903" s="4" t="str">
        <f ca="1">IFERROR(__xludf.DUMMYFUNCTION("""COMPUTED_VALUE"""),"पूर्णेन्दुसुन्दर-मुखि!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॥")</f>
        <v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v>
      </c>
      <c r="B8903" s="4" t="s">
        <v>5</v>
      </c>
      <c r="C8903" s="4"/>
    </row>
    <row r="8904" spans="1:3" ht="24" customHeight="1">
      <c r="A8904" s="4" t="str">
        <f ca="1">IFERROR(__xludf.DUMMYFUNCTION("""COMPUTED_VALUE"""),"क्वचन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प्रतापविजयः-२॥")</f>
        <v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v>
      </c>
      <c r="B8904" s="4" t="s">
        <v>18</v>
      </c>
      <c r="C8904" s="4"/>
    </row>
    <row r="8905" spans="1:3" ht="24" customHeight="1">
      <c r="A8905" s="4" t="str">
        <f ca="1">IFERROR(__xludf.DUMMYFUNCTION("""COMPUTED_VALUE"""),"केषाञ्चिदस्तु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प्रतापविजयः-३॥")</f>
        <v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v>
      </c>
      <c r="B8905" s="4" t="s">
        <v>17</v>
      </c>
      <c r="C8905" s="4"/>
    </row>
    <row r="8906" spans="1:3" ht="24" customHeight="1">
      <c r="A8906" s="4" t="str">
        <f ca="1">IFERROR(__xludf.DUMMYFUNCTION("""COMPUTED_VALUE"""),"तान्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॥")</f>
        <v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v>
      </c>
      <c r="B8906" s="4" t="s">
        <v>2</v>
      </c>
      <c r="C8906" s="4"/>
    </row>
    <row r="8907" spans="1:3" ht="24" customHeight="1">
      <c r="A8907" s="4" t="str">
        <f ca="1">IFERROR(__xludf.DUMMYFUNCTION("""COMPUTED_VALUE"""),"द्वेधा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॥")</f>
        <v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v>
      </c>
      <c r="B8907" s="4" t="s">
        <v>2</v>
      </c>
      <c r="C8907" s="4"/>
    </row>
    <row r="8908" spans="1:3" ht="24" customHeight="1">
      <c r="A8908" s="4" t="str">
        <f ca="1">IFERROR(__xludf.DUMMYFUNCTION("""COMPUTED_VALUE"""),"यद्यप्यहं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॥प्रतापविजयः-६॥")</f>
        <v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॥प्रतापविजयः-६॥</v>
      </c>
      <c r="B8908" s="4" t="s">
        <v>13</v>
      </c>
      <c r="C8908" s="4"/>
    </row>
    <row r="8909" spans="1:3" ht="24" customHeight="1">
      <c r="A8909" s="4" t="str">
        <f ca="1">IFERROR(__xludf.DUMMYFUNCTION("""COMPUTED_VALUE"""),"स्मृत्वा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॥प्रतापविजयः-७॥")</f>
        <v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॥प्रतापविजयः-७॥</v>
      </c>
      <c r="B8909" s="4" t="s">
        <v>12</v>
      </c>
      <c r="C8909" s="4"/>
    </row>
    <row r="8910" spans="1:3" ht="24" customHeight="1">
      <c r="A8910" s="4" t="str">
        <f ca="1">IFERROR(__xludf.DUMMYFUNCTION("""COMPUTED_VALUE"""),"पीयूषिणां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॥प्रतापविजयः-८॥")</f>
        <v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॥प्रतापविजयः-८॥</v>
      </c>
      <c r="B8910" s="4" t="s">
        <v>2</v>
      </c>
      <c r="C8910" s="4"/>
    </row>
    <row r="8911" spans="1:3" ht="24" customHeight="1">
      <c r="A8911" s="4" t="str">
        <f ca="1">IFERROR(__xludf.DUMMYFUNCTION("""COMPUTED_VALUE"""),"नीहार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॥")</f>
        <v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v>
      </c>
      <c r="B8911" s="4" t="s">
        <v>26</v>
      </c>
      <c r="C8911" s="4"/>
    </row>
    <row r="8912" spans="1:3" ht="24" customHeight="1">
      <c r="A8912" s="4" t="str">
        <f ca="1">IFERROR(__xludf.DUMMYFUNCTION("""COMPUTED_VALUE"""),"लावण्य-लालसित-लोचनलोक-लक्ष्मीं । द्रक्ष्यामि भारति ! कदा तव मञ्जुमूर्तिम् ॥प्रतापविजयः-१० ॥")</f>
        <v>लावण्य-लालसित-लोचनलोक-लक्ष्मीं । द्रक्ष्यामि भारति ! कदा तव मञ्जुमूर्तिम् ॥प्रतापविजयः-१० ॥</v>
      </c>
      <c r="B8912" s="4" t="s">
        <v>2</v>
      </c>
      <c r="C8912" s="4"/>
    </row>
    <row r="8913" spans="1:3" ht="24" customHeight="1">
      <c r="A8913" s="4" t="str">
        <f ca="1">IFERROR(__xludf.DUMMYFUNCTION("""COMPUTED_VALUE"""),"सञ्चार-चारु-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||")</f>
        <v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||</v>
      </c>
      <c r="B8913" s="4" t="s">
        <v>9</v>
      </c>
      <c r="C8913" s="4"/>
    </row>
    <row r="8914" spans="1:3" ht="24" customHeight="1">
      <c r="A8914" s="4" t="str">
        <f ca="1">IFERROR(__xludf.DUMMYFUNCTION("""COMPUTED_VALUE"""),"मन्ये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||")</f>
        <v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||</v>
      </c>
      <c r="B8914" s="4" t="s">
        <v>1</v>
      </c>
      <c r="C8914" s="4"/>
    </row>
    <row r="8915" spans="1:3" ht="24" customHeight="1">
      <c r="A8915" s="4" t="str">
        <f ca="1">IFERROR(__xludf.DUMMYFUNCTION("""COMPUTED_VALUE"""),"भाषा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||")</f>
        <v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||</v>
      </c>
      <c r="B8915" s="4" t="s">
        <v>15</v>
      </c>
      <c r="C8915" s="4"/>
    </row>
    <row r="8916" spans="1:3" ht="24" customHeight="1">
      <c r="A8916" s="4" t="str">
        <f ca="1">IFERROR(__xludf.DUMMYFUNCTION("""COMPUTED_VALUE"""),"पूर्णाऽसि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||")</f>
        <v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||</v>
      </c>
      <c r="B8916" s="4" t="s">
        <v>19</v>
      </c>
      <c r="C8916" s="4"/>
    </row>
    <row r="8917" spans="1:3" ht="24" customHeight="1">
      <c r="A8917" s="4" t="str">
        <f ca="1">IFERROR(__xludf.DUMMYFUNCTION("""COMPUTED_VALUE"""),"चेच्चन्द्रिकाऽसि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||")</f>
        <v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||</v>
      </c>
      <c r="B8917" s="4" t="s">
        <v>24</v>
      </c>
      <c r="C8917" s="4"/>
    </row>
    <row r="8918" spans="1:3" ht="24" customHeight="1">
      <c r="A8918" s="4" t="str">
        <f ca="1">IFERROR(__xludf.DUMMYFUNCTION("""COMPUTED_VALUE"""),"भूयो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||")</f>
        <v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||</v>
      </c>
      <c r="B8918" s="4" t="s">
        <v>2</v>
      </c>
      <c r="C8918" s="4"/>
    </row>
    <row r="8919" spans="1:3" ht="24" customHeight="1">
      <c r="A8919" s="4" t="str">
        <f ca="1">IFERROR(__xludf.DUMMYFUNCTION("""COMPUTED_VALUE"""),"अयि लेखनि लिख्यतां तथा, वरवीरस्य यथा यथा कथा । क्रियतां च तथा विचारणा, प्रभवेदद्य यया सुधारणा ||")</f>
        <v>अयि लेखनि लिख्यतां तथा, वरवीरस्य यथा यथा कथा । क्रियतां च तथा विचारणा, प्रभवेदद्य यया सुधारणा ||</v>
      </c>
      <c r="B8919" s="4" t="s">
        <v>7</v>
      </c>
      <c r="C8919" s="4"/>
    </row>
    <row r="8920" spans="1:3" ht="24" customHeight="1">
      <c r="A8920" s="4" t="str">
        <f ca="1">IFERROR(__xludf.DUMMYFUNCTION("""COMPUTED_VALUE"""),"प्रभवेर्न मृषा विलेखने क्वचनाऽपि प्रबले! मम प्रिये । न च हिन्दुमताभिघातिनी, यवनानां न च पक्षपातिनी ||")</f>
        <v>प्रभवेर्न मृषा विलेखने क्वचनाऽपि प्रबले! मम प्रिये । न च हिन्दुमताभिघातिनी, यवनानां न च पक्षपातिनी ||</v>
      </c>
      <c r="B8920" s="4" t="s">
        <v>1</v>
      </c>
      <c r="C8920" s="4"/>
    </row>
    <row r="8921" spans="1:3" ht="24" customHeight="1">
      <c r="A8921" s="4" t="str">
        <f ca="1">IFERROR(__xludf.DUMMYFUNCTION("""COMPUTED_VALUE"""),"कथमेदलम्प्रभा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॥")</f>
        <v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v>
      </c>
      <c r="B8921" s="4" t="s">
        <v>5</v>
      </c>
      <c r="C8921" s="4"/>
    </row>
    <row r="8922" spans="1:3" ht="24" customHeight="1">
      <c r="A8922" s="4" t="str">
        <f ca="1">IFERROR(__xludf.DUMMYFUNCTION("""COMPUTED_VALUE"""),"न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||")</f>
        <v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||</v>
      </c>
      <c r="B8922" s="4" t="s">
        <v>2</v>
      </c>
      <c r="C8922" s="4"/>
    </row>
    <row r="8923" spans="1:3" ht="24" customHeight="1">
      <c r="A8923" s="4" t="str">
        <f ca="1">IFERROR(__xludf.DUMMYFUNCTION("""COMPUTED_VALUE""")," 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||")</f>
        <v xml:space="preserve"> 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||</v>
      </c>
      <c r="B8923" s="4" t="s">
        <v>1</v>
      </c>
      <c r="C8923" s="4"/>
    </row>
    <row r="8924" spans="1:3" ht="24" customHeight="1">
      <c r="A8924" s="4" t="str">
        <f ca="1">IFERROR(__xludf.DUMMYFUNCTION("""COMPUTED_VALUE""")," 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॥")</f>
        <v xml:space="preserve"> 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v>
      </c>
      <c r="B8924" s="4" t="s">
        <v>1</v>
      </c>
      <c r="C8924" s="4"/>
    </row>
    <row r="8925" spans="1:3" ht="24" customHeight="1">
      <c r="A8925" s="4" t="str">
        <f ca="1">IFERROR(__xludf.DUMMYFUNCTION("""COMPUTED_VALUE""")," 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॥")</f>
        <v xml:space="preserve"> 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v>
      </c>
      <c r="B8925" s="4" t="s">
        <v>16</v>
      </c>
      <c r="C8925" s="4"/>
    </row>
    <row r="8926" spans="1:3" ht="24" customHeight="1">
      <c r="A8926" s="4" t="str">
        <f ca="1">IFERROR(__xludf.DUMMYFUNCTION("""COMPUTED_VALUE""")," 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॥")</f>
        <v xml:space="preserve"> 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v>
      </c>
      <c r="B8926" s="4" t="s">
        <v>4</v>
      </c>
      <c r="C8926" s="4"/>
    </row>
    <row r="8927" spans="1:3" ht="24" customHeight="1">
      <c r="A8927" s="4" t="str">
        <f ca="1">IFERROR(__xludf.DUMMYFUNCTION("""COMPUTED_VALUE""")," मनोजमूर्च्छन्मदिरामदालसाः,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||")</f>
        <v xml:space="preserve"> मनोजमूर्च्छन्मदिरामदालसाः,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||</v>
      </c>
      <c r="B8927" s="4" t="s">
        <v>2</v>
      </c>
      <c r="C8927" s="4"/>
    </row>
    <row r="8928" spans="1:3" ht="24" customHeight="1">
      <c r="A8928" s="4" t="str">
        <f ca="1">IFERROR(__xludf.DUMMYFUNCTION("""COMPUTED_VALUE"""),"व्यनक्ति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॥")</f>
        <v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v>
      </c>
      <c r="B8928" s="4" t="s">
        <v>6</v>
      </c>
      <c r="C8928" s="4"/>
    </row>
    <row r="8929" spans="1:3" ht="24" customHeight="1">
      <c r="A8929" s="4" t="str">
        <f ca="1">IFERROR(__xludf.DUMMYFUNCTION("""COMPUTED_VALUE""")," 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॥")</f>
        <v xml:space="preserve"> 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v>
      </c>
      <c r="B8929" s="4" t="s">
        <v>5</v>
      </c>
      <c r="C8929" s="4"/>
    </row>
    <row r="8930" spans="1:3" ht="24" customHeight="1">
      <c r="A8930" s="4" t="str">
        <f ca="1">IFERROR(__xludf.DUMMYFUNCTION("""COMPUTED_VALUE"""),"कृपाण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||")</f>
        <v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||</v>
      </c>
      <c r="B8930" s="4" t="s">
        <v>18</v>
      </c>
      <c r="C8930" s="4"/>
    </row>
    <row r="8931" spans="1:3" ht="24" customHeight="1">
      <c r="A8931" s="4" t="str">
        <f ca="1">IFERROR(__xludf.DUMMYFUNCTION("""COMPUTED_VALUE"""),"दुरन्त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||")</f>
        <v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||</v>
      </c>
      <c r="B8931" s="4" t="s">
        <v>2</v>
      </c>
      <c r="C8931" s="4"/>
    </row>
    <row r="8932" spans="1:3" ht="24" customHeight="1">
      <c r="A8932" s="4" t="str">
        <f ca="1">IFERROR(__xludf.DUMMYFUNCTION("""COMPUTED_VALUE"""),"बध्वो युगपत्सहस्वशः, सुकोमला हा कलिकाकुरादपि । स्वधर्म-संरक्षण-हेतवे तनुं, विदग्धवत्यो ज्वलने तृणोपमाः ||")</f>
        <v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||</v>
      </c>
      <c r="B8932" s="4" t="s">
        <v>12</v>
      </c>
      <c r="C8932" s="4"/>
    </row>
    <row r="8933" spans="1:3" ht="24" customHeight="1">
      <c r="A8933" s="4" t="str">
        <f ca="1">IFERROR(__xludf.DUMMYFUNCTION("""COMPUTED_VALUE"""),"सिसौदिया'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॥")</f>
        <v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v>
      </c>
      <c r="B8933" s="4" t="s">
        <v>19</v>
      </c>
      <c r="C8933" s="4"/>
    </row>
    <row r="8934" spans="1:3" ht="24" customHeight="1">
      <c r="A8934" s="4" t="str">
        <f ca="1">IFERROR(__xludf.DUMMYFUNCTION("""COMPUTED_VALUE"""),"समेहि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॥")</f>
        <v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v>
      </c>
      <c r="B8934" s="4" t="s">
        <v>4</v>
      </c>
      <c r="C8934" s="4"/>
    </row>
    <row r="8935" spans="1:3" ht="24" customHeight="1">
      <c r="A8935" s="4" t="str">
        <f ca="1">IFERROR(__xludf.DUMMYFUNCTION("""COMPUTED_VALUE"""),"गता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॥प्रतापविजयः-३३॥")</f>
        <v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॥प्रतापविजयः-३३॥</v>
      </c>
      <c r="B8935" s="4" t="s">
        <v>2</v>
      </c>
      <c r="C8935" s="4"/>
    </row>
    <row r="8936" spans="1:3" ht="24" customHeight="1">
      <c r="A8936" s="4" t="str">
        <f ca="1">IFERROR(__xludf.DUMMYFUNCTION("""COMPUTED_VALUE"""),"अभूत्पुरा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||")</f>
        <v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||</v>
      </c>
      <c r="B8936" s="4" t="s">
        <v>19</v>
      </c>
      <c r="C8936" s="4"/>
    </row>
    <row r="8937" spans="1:3" ht="24" customHeight="1">
      <c r="A8937" s="4" t="str">
        <f ca="1">IFERROR(__xludf.DUMMYFUNCTION("""COMPUTED_VALUE"""),"अटाट्यमानो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||")</f>
        <v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||</v>
      </c>
      <c r="B8937" s="4" t="s">
        <v>2</v>
      </c>
      <c r="C8937" s="4"/>
    </row>
    <row r="8938" spans="1:3" ht="24" customHeight="1">
      <c r="A8938" s="4" t="str">
        <f ca="1">IFERROR(__xludf.DUMMYFUNCTION("""COMPUTED_VALUE"""),"अनाथ-नारीजन-शोक-शोचनः,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||")</f>
        <v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||</v>
      </c>
      <c r="B8938" s="4" t="s">
        <v>1</v>
      </c>
      <c r="C8938" s="4"/>
    </row>
    <row r="8939" spans="1:3" ht="24" customHeight="1">
      <c r="A8939" s="4" t="str">
        <f ca="1">IFERROR(__xludf.DUMMYFUNCTION("""COMPUTED_VALUE"""),"मुमोच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॥")</f>
        <v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v>
      </c>
      <c r="B8939" s="4" t="s">
        <v>4</v>
      </c>
      <c r="C8939" s="4"/>
    </row>
    <row r="8940" spans="1:3" ht="24" customHeight="1">
      <c r="A8940" s="4" t="str">
        <f ca="1">IFERROR(__xludf.DUMMYFUNCTION("""COMPUTED_VALUE"""),"विशालवक्षा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॥")</f>
        <v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v>
      </c>
      <c r="B8940" s="4" t="s">
        <v>2</v>
      </c>
      <c r="C8940" s="4"/>
    </row>
    <row r="8941" spans="1:3" ht="24" customHeight="1">
      <c r="A8941" s="4" t="str">
        <f ca="1">IFERROR(__xludf.DUMMYFUNCTION("""COMPUTED_VALUE"""),"प्रसन्नचेता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||")</f>
        <v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||</v>
      </c>
      <c r="B8941" s="4" t="s">
        <v>0</v>
      </c>
      <c r="C8941" s="4"/>
    </row>
    <row r="8942" spans="1:3" ht="24" customHeight="1">
      <c r="A8942" s="4" t="str">
        <f ca="1">IFERROR(__xludf.DUMMYFUNCTION("""COMPUTED_VALUE"""),"अकिञ्चनैः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॥")</f>
        <v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v>
      </c>
      <c r="B8942" s="4" t="s">
        <v>1</v>
      </c>
      <c r="C8942" s="4"/>
    </row>
    <row r="8943" spans="1:3" ht="24" customHeight="1">
      <c r="A8943" s="4" t="str">
        <f ca="1">IFERROR(__xludf.DUMMYFUNCTION("""COMPUTED_VALUE"""),"क्षणे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||")</f>
        <v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||</v>
      </c>
      <c r="B8943" s="4" t="s">
        <v>2</v>
      </c>
      <c r="C8943" s="4"/>
    </row>
    <row r="8944" spans="1:3" ht="24" customHeight="1">
      <c r="A8944" s="4" t="str">
        <f ca="1">IFERROR(__xludf.DUMMYFUNCTION("""COMPUTED_VALUE"""),"स्व-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||")</f>
        <v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||</v>
      </c>
      <c r="B8944" s="4" t="s">
        <v>18</v>
      </c>
      <c r="C8944" s="4"/>
    </row>
    <row r="8945" spans="1:3" ht="24" customHeight="1">
      <c r="A8945" s="4" t="str">
        <f ca="1">IFERROR(__xludf.DUMMYFUNCTION("""COMPUTED_VALUE"""),"बभूव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॥")</f>
        <v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v>
      </c>
      <c r="B8945" s="4" t="s">
        <v>19</v>
      </c>
      <c r="C8945" s="4"/>
    </row>
    <row r="8946" spans="1:3" ht="24" customHeight="1">
      <c r="A8946" s="4" t="str">
        <f ca="1">IFERROR(__xludf.DUMMYFUNCTION("""COMPUTED_VALUE"""),"पितामहो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||")</f>
        <v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||</v>
      </c>
      <c r="B8946" s="4" t="s">
        <v>11</v>
      </c>
      <c r="C8946" s="4"/>
    </row>
    <row r="8947" spans="1:3" ht="24" customHeight="1">
      <c r="A8947" s="4" t="str">
        <f ca="1">IFERROR(__xludf.DUMMYFUNCTION("""COMPUTED_VALUE"""),"पिता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॥प्रतापविजयः-४५ ॥")</f>
        <v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॥प्रतापविजयः-४५ ॥</v>
      </c>
      <c r="B8947" s="4" t="s">
        <v>1</v>
      </c>
      <c r="C8947" s="4"/>
    </row>
    <row r="8948" spans="1:3" ht="24" customHeight="1">
      <c r="A8948" s="4" t="str">
        <f ca="1">IFERROR(__xludf.DUMMYFUNCTION("""COMPUTED_VALUE"""),"छली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||")</f>
        <v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||</v>
      </c>
      <c r="B8948" s="4" t="s">
        <v>12</v>
      </c>
      <c r="C8948" s="4"/>
    </row>
    <row r="8949" spans="1:3" ht="24" customHeight="1">
      <c r="A8949" s="4" t="str">
        <f ca="1">IFERROR(__xludf.DUMMYFUNCTION("""COMPUTED_VALUE"""),"स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॥प्रतापविजयः-४७॥")</f>
        <v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॥प्रतापविजयः-४७॥</v>
      </c>
      <c r="B8949" s="4" t="s">
        <v>2</v>
      </c>
      <c r="C8949" s="4"/>
    </row>
    <row r="8950" spans="1:3" ht="24" customHeight="1">
      <c r="A8950" s="4" t="str">
        <f ca="1">IFERROR(__xludf.DUMMYFUNCTION("""COMPUTED_VALUE"""),"अथेत्थमेव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||")</f>
        <v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||</v>
      </c>
      <c r="B8950" s="4" t="s">
        <v>11</v>
      </c>
      <c r="C8950" s="4"/>
    </row>
    <row r="8951" spans="1:3" ht="24" customHeight="1">
      <c r="A8951" s="4" t="str">
        <f ca="1">IFERROR(__xludf.DUMMYFUNCTION("""COMPUTED_VALUE"""),"सिंहासने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||")</f>
        <v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||</v>
      </c>
      <c r="B8951" s="4" t="s">
        <v>19</v>
      </c>
      <c r="C8951" s="4"/>
    </row>
    <row r="8952" spans="1:3" ht="24" customHeight="1">
      <c r="A8952" s="4" t="str">
        <f ca="1">IFERROR(__xludf.DUMMYFUNCTION("""COMPUTED_VALUE"""),"मेवाड़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॥")</f>
        <v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v>
      </c>
      <c r="B8952" s="4" t="s">
        <v>25</v>
      </c>
      <c r="C8952" s="4"/>
    </row>
    <row r="8953" spans="1:3" ht="24" customHeight="1">
      <c r="A8953" s="4" t="str">
        <f ca="1">IFERROR(__xludf.DUMMYFUNCTION("""COMPUTED_VALUE"""),"यावत्प्रभाहतमदो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||")</f>
        <v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||</v>
      </c>
      <c r="B8953" s="4" t="s">
        <v>5</v>
      </c>
      <c r="C8953" s="4"/>
    </row>
    <row r="8954" spans="1:3" ht="24" customHeight="1">
      <c r="A8954" s="4" t="str">
        <f ca="1">IFERROR(__xludf.DUMMYFUNCTION("""COMPUTED_VALUE"""),"अत्स्यामि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||")</f>
        <v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||</v>
      </c>
      <c r="B8954" s="4" t="s">
        <v>13</v>
      </c>
      <c r="C8954" s="4"/>
    </row>
    <row r="8955" spans="1:3" ht="24" customHeight="1">
      <c r="A8955" s="4" t="str">
        <f ca="1">IFERROR(__xludf.DUMMYFUNCTION("""COMPUTED_VALUE"""),"जाज्वल्यमानकिरणोऽस्तु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||")</f>
        <v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||</v>
      </c>
      <c r="B8955" s="4" t="s">
        <v>25</v>
      </c>
      <c r="C8955" s="4"/>
    </row>
    <row r="8956" spans="1:3" ht="24" customHeight="1">
      <c r="A8956" s="4" t="str">
        <f ca="1">IFERROR(__xludf.DUMMYFUNCTION("""COMPUTED_VALUE"""),"या मञ्जुनपुररवैः रमणी-मणीनां, पीयूषतोऽपि मधुरैर्मधुरा पुराऽऽसीत् । श्रेयं ""चित्तौड़' नगरी नगरीष्वनन्या, कस्याऽद्य नैव हृदयं हठतो दुनोति ॥प्रतापविजयः-५४॥")</f>
        <v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॥प्रतापविजयः-५४॥</v>
      </c>
      <c r="B8956" s="4" t="s">
        <v>2</v>
      </c>
      <c r="C8956" s="4"/>
    </row>
    <row r="8957" spans="1:3" ht="24" customHeight="1">
      <c r="A8957" s="4" t="str">
        <f ca="1">IFERROR(__xludf.DUMMYFUNCTION("""COMPUTED_VALUE"""),"याऽऽसीत्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||")</f>
        <v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||</v>
      </c>
      <c r="B8957" s="4" t="s">
        <v>2</v>
      </c>
      <c r="C8957" s="4"/>
    </row>
    <row r="8958" spans="1:3" ht="24" customHeight="1">
      <c r="A8958" s="4" t="str">
        <f ca="1">IFERROR(__xludf.DUMMYFUNCTION("""COMPUTED_VALUE"""),"क्वापि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॥प्रतापविजयः-५६॥")</f>
        <v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॥प्रतापविजयः-५६॥</v>
      </c>
      <c r="B8958" s="4" t="s">
        <v>7</v>
      </c>
      <c r="C8958" s="4"/>
    </row>
    <row r="8959" spans="1:3" ht="24" customHeight="1">
      <c r="A8959" s="4" t="str">
        <f ca="1">IFERROR(__xludf.DUMMYFUNCTION("""COMPUTED_VALUE"""),"चिन्तां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॥प्रतापविजयः-५७॥")</f>
        <v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॥प्रतापविजयः-५७॥</v>
      </c>
      <c r="B8959" s="4" t="s">
        <v>4</v>
      </c>
      <c r="C8959" s="4"/>
    </row>
    <row r="8960" spans="1:3" ht="24" customHeight="1">
      <c r="A8960" s="4" t="str">
        <f ca="1">IFERROR(__xludf.DUMMYFUNCTION("""COMPUTED_VALUE"""),"क्रोधानलो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॥प्रतापविजयः-५८॥")</f>
        <v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॥प्रतापविजयः-५८॥</v>
      </c>
      <c r="B8960" s="4" t="s">
        <v>20</v>
      </c>
      <c r="C8960" s="4"/>
    </row>
    <row r="8961" spans="1:3" ht="24" customHeight="1">
      <c r="A8961" s="4" t="str">
        <f ca="1">IFERROR(__xludf.DUMMYFUNCTION("""COMPUTED_VALUE"""),"वाप्पाकुलेऽमलतमे'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॥प्रतापविजयः-५९॥")</f>
        <v>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॥प्रतापविजयः-५९॥</v>
      </c>
      <c r="B8961" s="4" t="s">
        <v>12</v>
      </c>
      <c r="C8961" s="4"/>
    </row>
    <row r="8962" spans="1:3" ht="24" customHeight="1">
      <c r="A8962" s="4" t="str">
        <f ca="1">IFERROR(__xludf.DUMMYFUNCTION("""COMPUTED_VALUE"""),"रे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जगत्याम्॥प्रतापविजयः-६०॥")</f>
        <v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जगत्याम्॥प्रतापविजयः-६०॥</v>
      </c>
      <c r="B8962" s="4" t="s">
        <v>5</v>
      </c>
      <c r="C8962" s="4"/>
    </row>
    <row r="8963" spans="1:3" ht="24" customHeight="1">
      <c r="A8963" s="4" t="str">
        <f ca="1">IFERROR(__xludf.DUMMYFUNCTION("""COMPUTED_VALUE"""),"भ्रातुः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||")</f>
        <v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||</v>
      </c>
      <c r="B8963" s="4" t="s">
        <v>16</v>
      </c>
      <c r="C8963" s="4"/>
    </row>
    <row r="8964" spans="1:3" ht="24" customHeight="1">
      <c r="A8964" s="4" t="str">
        <f ca="1">IFERROR(__xludf.DUMMYFUNCTION("""COMPUTED_VALUE"""),"शोकं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||")</f>
        <v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||</v>
      </c>
      <c r="B8964" s="4" t="s">
        <v>2</v>
      </c>
      <c r="C8964" s="4"/>
    </row>
    <row r="8965" spans="1:3" ht="24" customHeight="1">
      <c r="A8965" s="4" t="str">
        <f ca="1">IFERROR(__xludf.DUMMYFUNCTION("""COMPUTED_VALUE"""),"प्राणादपि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॥प्रतापविजयः-६३॥")</f>
        <v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॥प्रतापविजयः-६३॥</v>
      </c>
      <c r="B8965" s="4" t="s">
        <v>5</v>
      </c>
      <c r="C8965" s="4"/>
    </row>
    <row r="8966" spans="1:3" ht="24" customHeight="1">
      <c r="A8966" s="4" t="str">
        <f ca="1">IFERROR(__xludf.DUMMYFUNCTION("""COMPUTED_VALUE"""),"विजित्य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||")</f>
        <v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||</v>
      </c>
      <c r="B8966" s="4" t="s">
        <v>10</v>
      </c>
      <c r="C8966" s="4"/>
    </row>
    <row r="8967" spans="1:3" ht="24" customHeight="1">
      <c r="A8967" s="4" t="str">
        <f ca="1">IFERROR(__xludf.DUMMYFUNCTION("""COMPUTED_VALUE"""),"प्रतापजातोऽमरसिंहनामवान्,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॥")</f>
        <v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v>
      </c>
      <c r="B8967" s="4" t="s">
        <v>2</v>
      </c>
      <c r="C8967" s="4"/>
    </row>
    <row r="8968" spans="1:3" ht="24" customHeight="1">
      <c r="A8968" s="4" t="str">
        <f ca="1">IFERROR(__xludf.DUMMYFUNCTION("""COMPUTED_VALUE"""),"उदीरितो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॥")</f>
        <v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v>
      </c>
      <c r="B8968" s="4" t="s">
        <v>0</v>
      </c>
      <c r="C8968" s="4"/>
    </row>
    <row r="8969" spans="1:3" ht="24" customHeight="1">
      <c r="A8969" s="4" t="str">
        <f ca="1">IFERROR(__xludf.DUMMYFUNCTION("""COMPUTED_VALUE"""),"पुराऽगतो नैव वरं स नागतः, प्रतापसिहः कथमत्र नागतः । अनागते हन्त ममाशनं कथं, तदत्र शीघ्रं वद किन्नु कारणम् ? ॥ प्रतापविजयः-६७॥")</f>
        <v>पुराऽगतो नैव वरं स नागतः, प्रतापसिहः कथमत्र नागतः । अनागते हन्त ममाशनं कथं, तदत्र शीघ्रं वद किन्नु कारणम् ? ॥ प्रतापविजयः-६७॥</v>
      </c>
      <c r="B8969" s="4" t="s">
        <v>7</v>
      </c>
      <c r="C8969" s="4"/>
    </row>
    <row r="8970" spans="1:3" ht="24" customHeight="1">
      <c r="A8970" s="4" t="str">
        <f ca="1">IFERROR(__xludf.DUMMYFUNCTION("""COMPUTED_VALUE"""),"उवाच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||")</f>
        <v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||</v>
      </c>
      <c r="B8970" s="4" t="s">
        <v>2</v>
      </c>
      <c r="C8970" s="4"/>
    </row>
    <row r="8971" spans="1:3" ht="24" customHeight="1">
      <c r="A8971" s="4" t="str">
        <f ca="1">IFERROR(__xludf.DUMMYFUNCTION("""COMPUTED_VALUE"""),"निशम्य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||")</f>
        <v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||</v>
      </c>
      <c r="B8971" s="4" t="s">
        <v>5</v>
      </c>
      <c r="C8971" s="4"/>
    </row>
    <row r="8972" spans="1:3" ht="24" customHeight="1">
      <c r="A8972" s="4" t="str">
        <f ca="1">IFERROR(__xludf.DUMMYFUNCTION("""COMPUTED_VALUE"""),"वद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॥")</f>
        <v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v>
      </c>
      <c r="B8972" s="4" t="s">
        <v>4</v>
      </c>
      <c r="C8972" s="4"/>
    </row>
    <row r="8973" spans="1:3" ht="24" customHeight="1">
      <c r="A8973" s="4" t="str">
        <f ca="1">IFERROR(__xludf.DUMMYFUNCTION("""COMPUTED_VALUE"""),"तदैव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॥")</f>
        <v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v>
      </c>
      <c r="B8973" s="4" t="s">
        <v>1</v>
      </c>
      <c r="C8973" s="4"/>
    </row>
    <row r="8974" spans="1:3" ht="24" customHeight="1">
      <c r="A8974" s="4" t="str">
        <f ca="1">IFERROR(__xludf.DUMMYFUNCTION("""COMPUTED_VALUE"""),"पितामहस्ते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॥प्रतापविजयः-७२॥")</f>
        <v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॥प्रतापविजयः-७२॥</v>
      </c>
      <c r="B8974" s="4" t="s">
        <v>2</v>
      </c>
      <c r="C8974" s="4"/>
    </row>
    <row r="8975" spans="1:3" ht="24" customHeight="1">
      <c r="A8975" s="4" t="str">
        <f ca="1">IFERROR(__xludf.DUMMYFUNCTION("""COMPUTED_VALUE"""),"वयं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॥")</f>
        <v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v>
      </c>
      <c r="B8975" s="4" t="s">
        <v>4</v>
      </c>
      <c r="C8975" s="4"/>
    </row>
    <row r="8976" spans="1:3" ht="24" customHeight="1">
      <c r="A8976" s="4" t="str">
        <f ca="1">IFERROR(__xludf.DUMMYFUNCTION("""COMPUTED_VALUE"""),"सह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॥प्रतापविजयः-७४॥")</f>
        <v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॥प्रतापविजयः-७४॥</v>
      </c>
      <c r="B8976" s="4" t="s">
        <v>5</v>
      </c>
      <c r="C8976" s="4"/>
    </row>
    <row r="8977" spans="1:3" ht="24" customHeight="1">
      <c r="A8977" s="4" t="str">
        <f ca="1">IFERROR(__xludf.DUMMYFUNCTION("""COMPUTED_VALUE"""),"अनल्प-रूक्षाक्षर-जल्पनाऽऽकुल:,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॥प्रतापविजयः-७५॥")</f>
        <v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॥प्रतापविजयः-७५॥</v>
      </c>
      <c r="B8977" s="4" t="s">
        <v>18</v>
      </c>
      <c r="C8977" s="4"/>
    </row>
    <row r="8978" spans="1:3" ht="24" customHeight="1">
      <c r="A8978" s="4" t="str">
        <f ca="1">IFERROR(__xludf.DUMMYFUNCTION("""COMPUTED_VALUE"""),"रणोन्मुखस्तिष्ठतु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॥प्रतापविजयः-७६ ॥")</f>
        <v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॥प्रतापविजयः-७६ ॥</v>
      </c>
      <c r="B8978" s="4" t="s">
        <v>11</v>
      </c>
      <c r="C8978" s="4"/>
    </row>
    <row r="8979" spans="1:3" ht="24" customHeight="1">
      <c r="A8979" s="4" t="str">
        <f ca="1">IFERROR(__xludf.DUMMYFUNCTION("""COMPUTED_VALUE"""),"विदारिताऽस्यः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॥प्रतापविजयः-७७॥")</f>
        <v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॥प्रतापविजयः-७७॥</v>
      </c>
      <c r="B8979" s="4" t="s">
        <v>2</v>
      </c>
      <c r="C8979" s="4"/>
    </row>
    <row r="8980" spans="1:3" ht="24" customHeight="1">
      <c r="A8980" s="4" t="str">
        <f ca="1">IFERROR(__xludf.DUMMYFUNCTION("""COMPUTED_VALUE"""),"पदाहतः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॥प्रतापविजयः-७८॥")</f>
        <v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॥प्रतापविजयः-७८॥</v>
      </c>
      <c r="B8980" s="4" t="s">
        <v>2</v>
      </c>
      <c r="C8980" s="4"/>
    </row>
    <row r="8981" spans="1:3" ht="24" customHeight="1">
      <c r="A8981" s="4" t="str">
        <f ca="1">IFERROR(__xludf.DUMMYFUNCTION("""COMPUTED_VALUE"""),"य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॥")</f>
        <v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v>
      </c>
      <c r="B8981" s="4" t="s">
        <v>0</v>
      </c>
      <c r="C8981" s="4"/>
    </row>
    <row r="8982" spans="1:3" ht="24" customHeight="1">
      <c r="A8982" s="4" t="str">
        <f ca="1">IFERROR(__xludf.DUMMYFUNCTION("""COMPUTED_VALUE"""),"जगाद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॥")</f>
        <v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v>
      </c>
      <c r="B8982" s="4" t="s">
        <v>0</v>
      </c>
      <c r="C8982" s="4"/>
    </row>
    <row r="8983" spans="1:3" ht="24" customHeight="1">
      <c r="A8983" s="4" t="str">
        <f ca="1">IFERROR(__xludf.DUMMYFUNCTION("""COMPUTED_VALUE"""),"अलर्कवत्केसरिणः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॥")</f>
        <v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v>
      </c>
      <c r="B8983" s="4" t="s">
        <v>4</v>
      </c>
      <c r="C8983" s="4"/>
    </row>
    <row r="8984" spans="1:3" ht="24" customHeight="1">
      <c r="A8984" s="4" t="str">
        <f ca="1">IFERROR(__xludf.DUMMYFUNCTION("""COMPUTED_VALUE"""),"न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॥")</f>
        <v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v>
      </c>
      <c r="B8984" s="4" t="s">
        <v>13</v>
      </c>
      <c r="C8984" s="4"/>
    </row>
    <row r="8985" spans="1:3" ht="24" customHeight="1">
      <c r="A8985" s="4" t="str">
        <f ca="1">IFERROR(__xludf.DUMMYFUNCTION("""COMPUTED_VALUE"""),"व्रज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॥")</f>
        <v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v>
      </c>
      <c r="B8985" s="4" t="s">
        <v>1</v>
      </c>
      <c r="C8985" s="4"/>
    </row>
    <row r="8986" spans="1:3" ht="24" customHeight="1">
      <c r="A8986" s="4" t="str">
        <f ca="1">IFERROR(__xludf.DUMMYFUNCTION("""COMPUTED_VALUE"""),"विधाय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॥")</f>
        <v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v>
      </c>
      <c r="B8986" s="4" t="s">
        <v>11</v>
      </c>
      <c r="C8986" s="4"/>
    </row>
    <row r="8987" spans="1:3" ht="24" customHeight="1">
      <c r="A8987" s="4" t="str">
        <f ca="1">IFERROR(__xludf.DUMMYFUNCTION("""COMPUTED_VALUE"""),"प्रताप-वाक्य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||")</f>
        <v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||</v>
      </c>
      <c r="B8987" s="4" t="s">
        <v>24</v>
      </c>
      <c r="C8987" s="4"/>
    </row>
    <row r="8988" spans="1:3" ht="24" customHeight="1">
      <c r="A8988" s="4" t="str">
        <f ca="1">IFERROR(__xludf.DUMMYFUNCTION("""COMPUTED_VALUE"""),"अथाग्रहो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॥")</f>
        <v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v>
      </c>
      <c r="B8988" s="4" t="s">
        <v>2</v>
      </c>
      <c r="C8988" s="4"/>
    </row>
    <row r="8989" spans="1:3" ht="24" customHeight="1">
      <c r="A8989" s="4" t="str">
        <f ca="1">IFERROR(__xludf.DUMMYFUNCTION("""COMPUTED_VALUE"""),"समन्ततः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॥")</f>
        <v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v>
      </c>
      <c r="B8989" s="4" t="s">
        <v>4</v>
      </c>
      <c r="C8989" s="4"/>
    </row>
    <row r="8990" spans="1:3" ht="24" customHeight="1">
      <c r="A8990" s="4" t="str">
        <f ca="1">IFERROR(__xludf.DUMMYFUNCTION("""COMPUTED_VALUE"""),"इतः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||")</f>
        <v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||</v>
      </c>
      <c r="B8990" s="4" t="s">
        <v>4</v>
      </c>
      <c r="C8990" s="4"/>
    </row>
    <row r="8991" spans="1:3" ht="24" customHeight="1">
      <c r="A8991" s="4" t="str">
        <f ca="1">IFERROR(__xludf.DUMMYFUNCTION("""COMPUTED_VALUE"""),"अये!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॥")</f>
        <v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v>
      </c>
      <c r="B8991" s="4" t="s">
        <v>19</v>
      </c>
      <c r="C8991" s="4"/>
    </row>
    <row r="8992" spans="1:3" ht="24" customHeight="1">
      <c r="A8992" s="4" t="str">
        <f ca="1">IFERROR(__xludf.DUMMYFUNCTION("""COMPUTED_VALUE"""),"न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||")</f>
        <v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||</v>
      </c>
      <c r="B8992" s="4" t="s">
        <v>2</v>
      </c>
      <c r="C8992" s="4"/>
    </row>
    <row r="8993" spans="1:3" ht="24" customHeight="1">
      <c r="A8993" s="4" t="str">
        <f ca="1">IFERROR(__xludf.DUMMYFUNCTION("""COMPUTED_VALUE"""),"पपौ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॥")</f>
        <v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v>
      </c>
      <c r="B8993" s="4" t="s">
        <v>0</v>
      </c>
      <c r="C8993" s="4"/>
    </row>
    <row r="8994" spans="1:3" ht="24" customHeight="1">
      <c r="A8994" s="4" t="str">
        <f ca="1">IFERROR(__xludf.DUMMYFUNCTION("""COMPUTED_VALUE"""),"प्रशस्ततेजा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॥")</f>
        <v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v>
      </c>
      <c r="B8994" s="4" t="s">
        <v>11</v>
      </c>
      <c r="C8994" s="4"/>
    </row>
    <row r="8995" spans="1:3" ht="24" customHeight="1">
      <c r="A8995" s="4" t="str">
        <f ca="1">IFERROR(__xludf.DUMMYFUNCTION("""COMPUTED_VALUE"""),"मदीयदेशोऽस्म्यहमेव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॥प्रतापविजयः-९३॥")</f>
        <v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॥प्रतापविजयः-९३॥</v>
      </c>
      <c r="B8995" s="4" t="s">
        <v>2</v>
      </c>
      <c r="C8995" s="4"/>
    </row>
    <row r="8996" spans="1:3" ht="24" customHeight="1">
      <c r="A8996" s="4" t="str">
        <f ca="1">IFERROR(__xludf.DUMMYFUNCTION("""COMPUTED_VALUE"""),"अघौषभाराज्जनता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॥प्रतापविजयः-९४ ||")</f>
        <v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॥प्रतापविजयः-९४ ||</v>
      </c>
      <c r="B8996" s="4" t="s">
        <v>12</v>
      </c>
      <c r="C8996" s="4"/>
    </row>
    <row r="8997" spans="1:3" ht="24" customHeight="1">
      <c r="A8997" s="4" t="str">
        <f ca="1">IFERROR(__xludf.DUMMYFUNCTION("""COMPUTED_VALUE"""),"महोच्चलद्वारणवैरि-वारणाः!,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॥प्रतापविजयः-९५॥")</f>
        <v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॥प्रतापविजयः-९५॥</v>
      </c>
      <c r="B8997" s="4" t="s">
        <v>11</v>
      </c>
      <c r="C8997" s="4"/>
    </row>
    <row r="8998" spans="1:3" ht="24" customHeight="1">
      <c r="A8998" s="4" t="str">
        <f ca="1">IFERROR(__xludf.DUMMYFUNCTION("""COMPUTED_VALUE"""),"प्रियो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॥")</f>
        <v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v>
      </c>
      <c r="B8998" s="4" t="s">
        <v>1</v>
      </c>
      <c r="C8998" s="4"/>
    </row>
    <row r="8999" spans="1:3" ht="24" customHeight="1">
      <c r="A8999" s="4" t="str">
        <f ca="1">IFERROR(__xludf.DUMMYFUNCTION("""COMPUTED_VALUE"""),"तदद्य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||")</f>
        <v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||</v>
      </c>
      <c r="B8999" s="4" t="s">
        <v>10</v>
      </c>
      <c r="C8999" s="4"/>
    </row>
    <row r="9000" spans="1:3" ht="24" customHeight="1">
      <c r="A9000" s="4" t="str">
        <f ca="1">IFERROR(__xludf.DUMMYFUNCTION("""COMPUTED_VALUE"""),"धिग्ब्राह्मणं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||")</f>
        <v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||</v>
      </c>
      <c r="B9000" s="4" t="s">
        <v>1</v>
      </c>
      <c r="C9000" s="4"/>
    </row>
    <row r="9001" spans="1:3" ht="24" customHeight="1">
      <c r="A9001" s="4" t="str">
        <f ca="1">IFERROR(__xludf.DUMMYFUNCTION("""COMPUTED_VALUE"""),"तिष्ठन्तु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||")</f>
        <v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||</v>
      </c>
      <c r="B9001" s="4" t="s">
        <v>2</v>
      </c>
      <c r="C9001" s="4"/>
    </row>
    <row r="9002" spans="1:3" ht="24" customHeight="1">
      <c r="A9002" s="4" t="str">
        <f ca="1">IFERROR(__xludf.DUMMYFUNCTION("""COMPUTED_VALUE"""),"आयातु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||")</f>
        <v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||</v>
      </c>
      <c r="B9002" s="4" t="s">
        <v>17</v>
      </c>
      <c r="C9002" s="4"/>
    </row>
    <row r="9003" spans="1:3" ht="24" customHeight="1">
      <c r="A9003" s="4" t="str">
        <f ca="1">IFERROR(__xludf.DUMMYFUNCTION("""COMPUTED_VALUE"""),"आयातु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||")</f>
        <v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||</v>
      </c>
      <c r="B9003" s="4" t="s">
        <v>1</v>
      </c>
      <c r="C9003" s="4"/>
    </row>
    <row r="9004" spans="1:3" ht="24" customHeight="1">
      <c r="A9004" s="4" t="str">
        <f ca="1">IFERROR(__xludf.DUMMYFUNCTION("""COMPUTED_VALUE"""),"सिन्दूरबिन्दुरिव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||")</f>
        <v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||</v>
      </c>
      <c r="B9004" s="4" t="s">
        <v>12</v>
      </c>
      <c r="C9004" s="4"/>
    </row>
    <row r="9005" spans="1:3" ht="24" customHeight="1">
      <c r="A9005" s="4" t="str">
        <f ca="1">IFERROR(__xludf.DUMMYFUNCTION("""COMPUTED_VALUE"""),"धन्याऽस्ति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॥")</f>
        <v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v>
      </c>
      <c r="B9005" s="4" t="s">
        <v>2</v>
      </c>
      <c r="C9005" s="4"/>
    </row>
    <row r="9006" spans="1:3" ht="24" customHeight="1">
      <c r="A9006" s="4" t="str">
        <f ca="1">IFERROR(__xludf.DUMMYFUNCTION("""COMPUTED_VALUE"""),"स्वच्छन्द-मन्द-गमना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||")</f>
        <v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||</v>
      </c>
      <c r="B9006" s="4" t="s">
        <v>13</v>
      </c>
      <c r="C9006" s="4"/>
    </row>
    <row r="9007" spans="1:3" ht="24" customHeight="1">
      <c r="A9007" s="4" t="str">
        <f ca="1">IFERROR(__xludf.DUMMYFUNCTION("""COMPUTED_VALUE"""),"अद्यापि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॥")</f>
        <v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v>
      </c>
      <c r="B9007" s="4" t="s">
        <v>5</v>
      </c>
      <c r="C9007" s="4"/>
    </row>
    <row r="9008" spans="1:3" ht="24" customHeight="1">
      <c r="A9008" s="4" t="str">
        <f ca="1">IFERROR(__xludf.DUMMYFUNCTION("""COMPUTED_VALUE"""),"तदैव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||")</f>
        <v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||</v>
      </c>
      <c r="B9008" s="4" t="s">
        <v>2</v>
      </c>
      <c r="C9008" s="4"/>
    </row>
    <row r="9009" spans="1:3" ht="24" customHeight="1">
      <c r="A9009" s="4" t="str">
        <f ca="1">IFERROR(__xludf.DUMMYFUNCTION("""COMPUTED_VALUE"""),"स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॥")</f>
        <v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v>
      </c>
      <c r="B9009" s="4" t="s">
        <v>11</v>
      </c>
      <c r="C9009" s="4"/>
    </row>
    <row r="9010" spans="1:3" ht="24" customHeight="1">
      <c r="A9010" s="4" t="str">
        <f ca="1">IFERROR(__xludf.DUMMYFUNCTION("""COMPUTED_VALUE"""),"प्रतापसिंहस्य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॥")</f>
        <v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v>
      </c>
      <c r="B9010" s="4" t="s">
        <v>19</v>
      </c>
      <c r="C9010" s="4"/>
    </row>
    <row r="9011" spans="1:3" ht="24" customHeight="1">
      <c r="A9011" s="4" t="str">
        <f ca="1">IFERROR(__xludf.DUMMYFUNCTION("""COMPUTED_VALUE"""),"अरावली'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||")</f>
        <v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||</v>
      </c>
      <c r="B9011" s="4" t="s">
        <v>4</v>
      </c>
      <c r="C9011" s="4"/>
    </row>
    <row r="9012" spans="1:3" ht="24" customHeight="1">
      <c r="A9012" s="4" t="str">
        <f ca="1">IFERROR(__xludf.DUMMYFUNCTION("""COMPUTED_VALUE"""),"क्व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॥")</f>
        <v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v>
      </c>
      <c r="B9012" s="4" t="s">
        <v>2</v>
      </c>
      <c r="C9012" s="4"/>
    </row>
    <row r="9013" spans="1:3" ht="24" customHeight="1">
      <c r="A9013" s="4" t="str">
        <f ca="1">IFERROR(__xludf.DUMMYFUNCTION("""COMPUTED_VALUE"""),"तथापि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॥")</f>
        <v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v>
      </c>
      <c r="B9013" s="4" t="s">
        <v>11</v>
      </c>
      <c r="C9013" s="4"/>
    </row>
    <row r="9014" spans="1:3" ht="24" customHeight="1">
      <c r="A9014" s="4" t="str">
        <f ca="1">IFERROR(__xludf.DUMMYFUNCTION("""COMPUTED_VALUE"""),"धनुःप्रदात्री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॥")</f>
        <v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v>
      </c>
      <c r="B9014" s="4" t="s">
        <v>0</v>
      </c>
      <c r="C9014" s="4"/>
    </row>
    <row r="9015" spans="1:3" ht="24" customHeight="1">
      <c r="A9015" s="4" t="str">
        <f ca="1">IFERROR(__xludf.DUMMYFUNCTION("""COMPUTED_VALUE"""),"स-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||")</f>
        <v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||</v>
      </c>
      <c r="B9015" s="4" t="s">
        <v>4</v>
      </c>
      <c r="C9015" s="4"/>
    </row>
    <row r="9016" spans="1:3" ht="24" customHeight="1">
      <c r="A9016" s="4" t="str">
        <f ca="1">IFERROR(__xludf.DUMMYFUNCTION("""COMPUTED_VALUE"""),"तदैव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प्रतापविजयः-११४॥")</f>
        <v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v>
      </c>
      <c r="B9016" s="4" t="s">
        <v>4</v>
      </c>
      <c r="C9016" s="4"/>
    </row>
    <row r="9017" spans="1:3" ht="24" customHeight="1">
      <c r="A9017" s="4" t="str">
        <f ca="1">IFERROR(__xludf.DUMMYFUNCTION("""COMPUTED_VALUE"""),"तदैव सैन्ये रण- राष- लक्षणो, विलक्षणो वैरिचमूनिषूदनः । स वीरताया निकषोपलो मलो, ननाद वेगेन निसर्ग-निष्ठुरः ||")</f>
        <v>तदैव सैन्ये रण- राष- लक्षणो, विलक्षणो वैरिचमूनिषूदनः । स वीरताया निकषोपलो मलो, ननाद वेगेन निसर्ग-निष्ठुरः ||</v>
      </c>
      <c r="B9017" s="4" t="s">
        <v>0</v>
      </c>
      <c r="C9017" s="4"/>
    </row>
    <row r="9018" spans="1:3" ht="24" customHeight="1">
      <c r="A9018" s="4" t="str">
        <f ca="1">IFERROR(__xludf.DUMMYFUNCTION("""COMPUTED_VALUE"""),"भुवं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॥")</f>
        <v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v>
      </c>
      <c r="B9018" s="4" t="s">
        <v>5</v>
      </c>
      <c r="C9018" s="4"/>
    </row>
    <row r="9019" spans="1:3" ht="24" customHeight="1">
      <c r="A9019" s="4" t="str">
        <f ca="1">IFERROR(__xludf.DUMMYFUNCTION("""COMPUTED_VALUE"""),"सुरासुराणामथवाऽत्र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||")</f>
        <v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||</v>
      </c>
      <c r="B9019" s="4" t="s">
        <v>19</v>
      </c>
      <c r="C9019" s="4"/>
    </row>
    <row r="9020" spans="1:3" ht="24" customHeight="1">
      <c r="A9020" s="4" t="str">
        <f ca="1">IFERROR(__xludf.DUMMYFUNCTION("""COMPUTED_VALUE"""),"प्रहर्त्तुकामोऽरि-बलं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||")</f>
        <v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||</v>
      </c>
      <c r="B9020" s="4" t="s">
        <v>5</v>
      </c>
      <c r="C9020" s="4"/>
    </row>
    <row r="9021" spans="1:3" ht="24" customHeight="1">
      <c r="A9021" s="4" t="str">
        <f ca="1">IFERROR(__xludf.DUMMYFUNCTION("""COMPUTED_VALUE"""),"मदोत्कटो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||")</f>
        <v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||</v>
      </c>
      <c r="B9021" s="4" t="s">
        <v>1</v>
      </c>
      <c r="C9021" s="4"/>
    </row>
    <row r="9022" spans="1:3" ht="24" customHeight="1">
      <c r="A9022" s="4" t="str">
        <f ca="1">IFERROR(__xludf.DUMMYFUNCTION("""COMPUTED_VALUE"""),"मनस्वि-मानोत्रत-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प्रतापविजयः-||")</f>
        <v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प्रतापविजयः-||</v>
      </c>
      <c r="B9022" s="4" t="s">
        <v>1</v>
      </c>
      <c r="C9022" s="4"/>
    </row>
    <row r="9023" spans="1:3" ht="24" customHeight="1">
      <c r="A9023" s="4" t="str">
        <f ca="1">IFERROR(__xludf.DUMMYFUNCTION("""COMPUTED_VALUE"""),"मदोत्कटो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||")</f>
        <v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||</v>
      </c>
      <c r="B9023" s="4" t="s">
        <v>1</v>
      </c>
      <c r="C9023" s="4"/>
    </row>
    <row r="9024" spans="1:3" ht="24" customHeight="1">
      <c r="A9024" s="4" t="str">
        <f ca="1">IFERROR(__xludf.DUMMYFUNCTION("""COMPUTED_VALUE"""),"मनस्वि-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||")</f>
        <v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||</v>
      </c>
      <c r="B9024" s="4" t="s">
        <v>1</v>
      </c>
      <c r="C9024" s="4"/>
    </row>
    <row r="9025" spans="1:3" ht="24" customHeight="1">
      <c r="A9025" s="4" t="str">
        <f ca="1">IFERROR(__xludf.DUMMYFUNCTION("""COMPUTED_VALUE"""),"राङ्गणे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||")</f>
        <v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||</v>
      </c>
      <c r="B9025" s="4" t="s">
        <v>18</v>
      </c>
      <c r="C9025" s="4"/>
    </row>
    <row r="9026" spans="1:3" ht="24" customHeight="1">
      <c r="A9026" s="4" t="str">
        <f ca="1">IFERROR(__xludf.DUMMYFUNCTION("""COMPUTED_VALUE"""),"तृणीकृतास्त्रः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||")</f>
        <v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||</v>
      </c>
      <c r="B9026" s="4" t="s">
        <v>6</v>
      </c>
      <c r="C9026" s="4"/>
    </row>
    <row r="9027" spans="1:3" ht="24" customHeight="1">
      <c r="A9027" s="4" t="str">
        <f ca="1">IFERROR(__xludf.DUMMYFUNCTION("""COMPUTED_VALUE"""),"निमेषमात्रेऽगणितान्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||")</f>
        <v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||</v>
      </c>
      <c r="B9027" s="4" t="s">
        <v>4</v>
      </c>
      <c r="C9027" s="4"/>
    </row>
    <row r="9028" spans="1:3" ht="24" customHeight="1">
      <c r="A9028" s="4" t="str">
        <f ca="1">IFERROR(__xludf.DUMMYFUNCTION("""COMPUTED_VALUE"""),"सुधामधाम्नां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||")</f>
        <v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||</v>
      </c>
      <c r="B9028" s="4" t="s">
        <v>11</v>
      </c>
      <c r="C9028" s="4"/>
    </row>
    <row r="9029" spans="1:3" ht="24" customHeight="1">
      <c r="A9029" s="4" t="str">
        <f ca="1">IFERROR(__xludf.DUMMYFUNCTION("""COMPUTED_VALUE"""),"सुरक्त-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||")</f>
        <v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||</v>
      </c>
      <c r="B9029" s="4" t="s">
        <v>18</v>
      </c>
      <c r="C9029" s="4"/>
    </row>
    <row r="9030" spans="1:3" ht="24" customHeight="1">
      <c r="A9030" s="4" t="str">
        <f ca="1">IFERROR(__xludf.DUMMYFUNCTION("""COMPUTED_VALUE"""),"प्रभञ्जनस्याऽपि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॥")</f>
        <v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v>
      </c>
      <c r="B9030" s="4" t="s">
        <v>2</v>
      </c>
      <c r="C9030" s="4"/>
    </row>
    <row r="9031" spans="1:3" ht="24" customHeight="1">
      <c r="A9031" s="4" t="str">
        <f ca="1">IFERROR(__xludf.DUMMYFUNCTION("""COMPUTED_VALUE"""),"अलक्षि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||")</f>
        <v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||</v>
      </c>
      <c r="B9031" s="4" t="s">
        <v>0</v>
      </c>
      <c r="C9031" s="4"/>
    </row>
    <row r="9032" spans="1:3" ht="24" customHeight="1">
      <c r="A9032" s="4" t="str">
        <f ca="1">IFERROR(__xludf.DUMMYFUNCTION("""COMPUTED_VALUE"""),"समुज्ज्वलोऽप्यप्रिय-रक्त-रञ्जनो,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||")</f>
        <v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||</v>
      </c>
      <c r="B9032" s="4" t="s">
        <v>0</v>
      </c>
      <c r="C9032" s="4"/>
    </row>
    <row r="9033" spans="1:3" ht="24" customHeight="1">
      <c r="A9033" s="4" t="str">
        <f ca="1">IFERROR(__xludf.DUMMYFUNCTION("""COMPUTED_VALUE"""),"व्यलोकि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॥")</f>
        <v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v>
      </c>
      <c r="B9033" s="4" t="s">
        <v>2</v>
      </c>
      <c r="C9033" s="4"/>
    </row>
    <row r="9034" spans="1:3" ht="24" customHeight="1">
      <c r="A9034" s="4" t="str">
        <f ca="1">IFERROR(__xludf.DUMMYFUNCTION("""COMPUTED_VALUE"""),"निशम्य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॥")</f>
        <v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v>
      </c>
      <c r="B9034" s="4" t="s">
        <v>5</v>
      </c>
      <c r="C9034" s="4"/>
    </row>
    <row r="9035" spans="1:3" ht="24" customHeight="1">
      <c r="A9035" s="4" t="str">
        <f ca="1">IFERROR(__xludf.DUMMYFUNCTION("""COMPUTED_VALUE"""),"प्रमत्त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||")</f>
        <v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||</v>
      </c>
      <c r="B9035" s="4" t="s">
        <v>18</v>
      </c>
      <c r="C9035" s="4"/>
    </row>
    <row r="9036" spans="1:3" ht="24" customHeight="1">
      <c r="A9036" s="4" t="str">
        <f ca="1">IFERROR(__xludf.DUMMYFUNCTION("""COMPUTED_VALUE"""),"खुराग्रभागेण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||")</f>
        <v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||</v>
      </c>
      <c r="B9036" s="4" t="s">
        <v>19</v>
      </c>
      <c r="C9036" s="4"/>
    </row>
    <row r="9037" spans="1:3" ht="24" customHeight="1">
      <c r="A9037" s="4" t="str">
        <f ca="1">IFERROR(__xludf.DUMMYFUNCTION("""COMPUTED_VALUE"""),"अलक्षिताऽशान्त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||")</f>
        <v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||</v>
      </c>
      <c r="B9037" s="4" t="s">
        <v>12</v>
      </c>
      <c r="C9037" s="4"/>
    </row>
    <row r="9038" spans="1:3" ht="24" customHeight="1">
      <c r="A9038" s="4" t="str">
        <f ca="1">IFERROR(__xludf.DUMMYFUNCTION("""COMPUTED_VALUE"""),"चमूः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॥")</f>
        <v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v>
      </c>
      <c r="B9038" s="4" t="s">
        <v>0</v>
      </c>
      <c r="C9038" s="4"/>
    </row>
    <row r="9039" spans="1:3" ht="24" customHeight="1">
      <c r="A9039" s="4" t="str">
        <f ca="1">IFERROR(__xludf.DUMMYFUNCTION("""COMPUTED_VALUE"""),"य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||")</f>
        <v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||</v>
      </c>
      <c r="B9039" s="4" t="s">
        <v>2</v>
      </c>
      <c r="C9039" s="4"/>
    </row>
    <row r="9040" spans="1:3" ht="24" customHeight="1">
      <c r="A9040" s="4" t="str">
        <f ca="1">IFERROR(__xludf.DUMMYFUNCTION("""COMPUTED_VALUE"""),"स्फुरच्छटोग्नप्रतडित्प्रगर्जन,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||")</f>
        <v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||</v>
      </c>
      <c r="B9040" s="4" t="s">
        <v>2</v>
      </c>
      <c r="C9040" s="4"/>
    </row>
    <row r="9041" spans="1:3" ht="24" customHeight="1">
      <c r="A9041" s="4" t="str">
        <f ca="1">IFERROR(__xludf.DUMMYFUNCTION("""COMPUTED_VALUE"""),"धुरन्धरेण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||")</f>
        <v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||</v>
      </c>
      <c r="B9041" s="4" t="s">
        <v>12</v>
      </c>
      <c r="C9041" s="4"/>
    </row>
    <row r="9042" spans="1:3" ht="24" customHeight="1">
      <c r="A9042" s="4" t="str">
        <f ca="1">IFERROR(__xludf.DUMMYFUNCTION("""COMPUTED_VALUE"""),"कथं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||")</f>
        <v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||</v>
      </c>
      <c r="B9042" s="4" t="s">
        <v>7</v>
      </c>
      <c r="C9042" s="4"/>
    </row>
    <row r="9043" spans="1:3" ht="24" customHeight="1">
      <c r="A9043" s="4" t="str">
        <f ca="1">IFERROR(__xludf.DUMMYFUNCTION("""COMPUTED_VALUE"""),"अहो!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||")</f>
        <v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||</v>
      </c>
      <c r="B9043" s="4" t="s">
        <v>7</v>
      </c>
      <c r="C9043" s="4"/>
    </row>
    <row r="9044" spans="1:3" ht="24" customHeight="1">
      <c r="A9044" s="4" t="str">
        <f ca="1">IFERROR(__xludf.DUMMYFUNCTION("""COMPUTED_VALUE"""),"त्वं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॥")</f>
        <v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v>
      </c>
      <c r="B9044" s="4" t="s">
        <v>6</v>
      </c>
      <c r="C9044" s="4"/>
    </row>
    <row r="9045" spans="1:3" ht="24" customHeight="1">
      <c r="A9045" s="4" t="str">
        <f ca="1">IFERROR(__xludf.DUMMYFUNCTION("""COMPUTED_VALUE"""),"अश्वः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||")</f>
        <v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||</v>
      </c>
      <c r="B9045" s="4" t="s">
        <v>29</v>
      </c>
      <c r="C9045" s="4"/>
    </row>
    <row r="9046" spans="1:3" ht="24" customHeight="1">
      <c r="A9046" s="4" t="str">
        <f ca="1">IFERROR(__xludf.DUMMYFUNCTION("""COMPUTED_VALUE"""),"खड्गेन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||")</f>
        <v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||</v>
      </c>
      <c r="B9046" s="4" t="s">
        <v>2</v>
      </c>
      <c r="C9046" s="4"/>
    </row>
    <row r="9047" spans="1:3" ht="24" customHeight="1">
      <c r="A9047" s="4" t="str">
        <f ca="1">IFERROR(__xludf.DUMMYFUNCTION("""COMPUTED_VALUE"""),"एवं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||")</f>
        <v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||</v>
      </c>
      <c r="B9047" s="4" t="s">
        <v>0</v>
      </c>
      <c r="C9047" s="4"/>
    </row>
    <row r="9048" spans="1:3" ht="24" customHeight="1">
      <c r="A9048" s="4" t="str">
        <f ca="1">IFERROR(__xludf.DUMMYFUNCTION("""COMPUTED_VALUE"""),"आयाहि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||")</f>
        <v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||</v>
      </c>
      <c r="B9048" s="4" t="s">
        <v>20</v>
      </c>
      <c r="C9048" s="4"/>
    </row>
    <row r="9049" spans="1:3" ht="24" customHeight="1">
      <c r="A9049" s="4" t="str">
        <f ca="1">IFERROR(__xludf.DUMMYFUNCTION("""COMPUTED_VALUE"""),"यस्याः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||")</f>
        <v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||</v>
      </c>
      <c r="B9049" s="4" t="s">
        <v>11</v>
      </c>
      <c r="C9049" s="4"/>
    </row>
    <row r="9050" spans="1:3" ht="24" customHeight="1">
      <c r="A9050" s="4" t="str">
        <f ca="1">IFERROR(__xludf.DUMMYFUNCTION("""COMPUTED_VALUE"""),"चक्राऽऽभ-वक्र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||")</f>
        <v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||</v>
      </c>
      <c r="B9050" s="4" t="s">
        <v>11</v>
      </c>
      <c r="C9050" s="4"/>
    </row>
    <row r="9051" spans="1:3" ht="24" customHeight="1">
      <c r="A9051" s="4" t="str">
        <f ca="1">IFERROR(__xludf.DUMMYFUNCTION("""COMPUTED_VALUE"""),"जातः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||")</f>
        <v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||</v>
      </c>
      <c r="B9051" s="4" t="s">
        <v>2</v>
      </c>
      <c r="C9051" s="4"/>
    </row>
    <row r="9052" spans="1:3" ht="24" customHeight="1">
      <c r="A9052" s="4" t="str">
        <f ca="1">IFERROR(__xludf.DUMMYFUNCTION("""COMPUTED_VALUE"""),"स्तब्धं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||")</f>
        <v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||</v>
      </c>
      <c r="B9052" s="4" t="s">
        <v>5</v>
      </c>
      <c r="C9052" s="4"/>
    </row>
    <row r="9053" spans="1:3" ht="24" customHeight="1">
      <c r="A9053" s="4" t="str">
        <f ca="1">IFERROR(__xludf.DUMMYFUNCTION("""COMPUTED_VALUE"""),"तावत्स-शस्त्र-यवनाः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||")</f>
        <v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||</v>
      </c>
      <c r="B9053" s="4" t="s">
        <v>16</v>
      </c>
      <c r="C9053" s="4"/>
    </row>
    <row r="9054" spans="1:3" ht="24" customHeight="1">
      <c r="A9054" s="4" t="str">
        <f ca="1">IFERROR(__xludf.DUMMYFUNCTION("""COMPUTED_VALUE"""),"एवं प्रतापमपि वीक्ष्य रणे स-तापं, टङ्कारितं प्रतिविषाय महोग्र - चापम् । राणा शिरो-मुकुटमात्म-गतं च 'झाला माना' विधाय यवनाऽऽहनने प्रसक्तः ॥ प्रतापविजयः-१५० ||")</f>
        <v>एवं प्रतापमपि वीक्ष्य रणे स-तापं, टङ्कारितं प्रतिविषाय महोग्र - चापम् । राणा शिरो-मुकुटमात्म-गतं च 'झाला माना' विधाय यवनाऽऽहनने प्रसक्तः ॥ प्रतापविजयः-१५० ||</v>
      </c>
      <c r="B9054" s="4" t="s">
        <v>2</v>
      </c>
      <c r="C9054" s="4"/>
    </row>
    <row r="9055" spans="1:3" ht="24" customHeight="1">
      <c r="A9055" s="4" t="str">
        <f ca="1">IFERROR(__xludf.DUMMYFUNCTION("""COMPUTED_VALUE"""),"राणाऽऽकृतिञ्च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||")</f>
        <v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||</v>
      </c>
      <c r="B9055" s="4" t="s">
        <v>19</v>
      </c>
      <c r="C9055" s="4"/>
    </row>
    <row r="9056" spans="1:3" ht="24" customHeight="1">
      <c r="A9056" s="4" t="str">
        <f ca="1">IFERROR(__xludf.DUMMYFUNCTION("""COMPUTED_VALUE"""),"त्यक्त्वा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प्रतापविजयः-१५२||")</f>
        <v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प्रतापविजयः-१५२||</v>
      </c>
      <c r="B9056" s="4" t="s">
        <v>5</v>
      </c>
      <c r="C9056" s="4"/>
    </row>
    <row r="9057" spans="1:3" ht="24" customHeight="1">
      <c r="A9057" s="4" t="str">
        <f ca="1">IFERROR(__xludf.DUMMYFUNCTION("""COMPUTED_VALUE"""),"स्वाधीनताऽऽर्य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॥")</f>
        <v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v>
      </c>
      <c r="B9057" s="4" t="s">
        <v>23</v>
      </c>
      <c r="C9057" s="4"/>
    </row>
    <row r="9058" spans="1:3" ht="24" customHeight="1">
      <c r="A9058" s="4" t="str">
        <f ca="1">IFERROR(__xludf.DUMMYFUNCTION("""COMPUTED_VALUE"""),"प्राची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||")</f>
        <v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||</v>
      </c>
      <c r="B9058" s="4" t="s">
        <v>5</v>
      </c>
      <c r="C9058" s="4"/>
    </row>
    <row r="9059" spans="1:3" ht="24" customHeight="1">
      <c r="A9059" s="4" t="str">
        <f ca="1">IFERROR(__xludf.DUMMYFUNCTION("""COMPUTED_VALUE"""),"हाहा'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॥")</f>
        <v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v>
      </c>
      <c r="B9059" s="4" t="s">
        <v>7</v>
      </c>
      <c r="C9059" s="4"/>
    </row>
    <row r="9060" spans="1:3" ht="24" customHeight="1">
      <c r="A9060" s="4" t="str">
        <f ca="1">IFERROR(__xludf.DUMMYFUNCTION("""COMPUTED_VALUE"""),"आस्ते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॥")</f>
        <v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v>
      </c>
      <c r="B9060" s="4" t="s">
        <v>0</v>
      </c>
      <c r="C9060" s="4"/>
    </row>
    <row r="9061" spans="1:3" ht="24" customHeight="1">
      <c r="A9061" s="4" t="str">
        <f ca="1">IFERROR(__xludf.DUMMYFUNCTION("""COMPUTED_VALUE"""),"मा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||")</f>
        <v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||</v>
      </c>
      <c r="B9061" s="4" t="s">
        <v>2</v>
      </c>
      <c r="C9061" s="4"/>
    </row>
    <row r="9062" spans="1:3" ht="24" customHeight="1">
      <c r="A9062" s="4" t="str">
        <f ca="1">IFERROR(__xludf.DUMMYFUNCTION("""COMPUTED_VALUE"""),"वीराग्रणीरभत-युद्ध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॥")</f>
        <v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v>
      </c>
      <c r="B9062" s="4" t="s">
        <v>16</v>
      </c>
      <c r="C9062" s="4"/>
    </row>
    <row r="9063" spans="1:3" ht="24" customHeight="1">
      <c r="A9063" s="4" t="str">
        <f ca="1">IFERROR(__xludf.DUMMYFUNCTION("""COMPUTED_VALUE"""),"अद्यापि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॥")</f>
        <v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v>
      </c>
      <c r="B9063" s="4" t="s">
        <v>23</v>
      </c>
      <c r="C9063" s="4"/>
    </row>
    <row r="9064" spans="1:3" ht="24" customHeight="1">
      <c r="A9064" s="4" t="str">
        <f ca="1">IFERROR(__xludf.DUMMYFUNCTION("""COMPUTED_VALUE"""),"अद्यापि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||")</f>
        <v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||</v>
      </c>
      <c r="B9064" s="4" t="s">
        <v>1</v>
      </c>
      <c r="C9064" s="4"/>
    </row>
    <row r="9065" spans="1:3" ht="24" customHeight="1">
      <c r="A9065" s="4" t="str">
        <f ca="1">IFERROR(__xludf.DUMMYFUNCTION("""COMPUTED_VALUE"""),"पुष्पं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||")</f>
        <v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||</v>
      </c>
      <c r="B9065" s="4" t="s">
        <v>2</v>
      </c>
      <c r="C9065" s="4"/>
    </row>
    <row r="9066" spans="1:3" ht="24" customHeight="1">
      <c r="A9066" s="4" t="str">
        <f ca="1">IFERROR(__xludf.DUMMYFUNCTION("""COMPUTED_VALUE"""),"नीलेन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प्रतापविजयः-१५२।")</f>
        <v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v>
      </c>
      <c r="B9066" s="4" t="s">
        <v>2</v>
      </c>
      <c r="C9066" s="4"/>
    </row>
    <row r="9067" spans="1:3" ht="24" customHeight="1">
      <c r="A9067" s="4" t="str">
        <f ca="1">IFERROR(__xludf.DUMMYFUNCTION("""COMPUTED_VALUE"""),"वीक्ष्य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||")</f>
        <v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||</v>
      </c>
      <c r="B9067" s="4" t="s">
        <v>0</v>
      </c>
      <c r="C9067" s="4"/>
    </row>
    <row r="9068" spans="1:3" ht="24" customHeight="1">
      <c r="A9068" s="4" t="str">
        <f ca="1">IFERROR(__xludf.DUMMYFUNCTION("""COMPUTED_VALUE"""),"चूडामणिः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प्रतापविजयः-१६४||")</f>
        <v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प्रतापविजयः-१६४||</v>
      </c>
      <c r="B9068" s="4" t="s">
        <v>18</v>
      </c>
      <c r="C9068" s="4"/>
    </row>
    <row r="9069" spans="1:3" ht="24" customHeight="1">
      <c r="A9069" s="4" t="str">
        <f ca="1">IFERROR(__xludf.DUMMYFUNCTION("""COMPUTED_VALUE"""),"अत्रैव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||")</f>
        <v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||</v>
      </c>
      <c r="B9069" s="4" t="s">
        <v>6</v>
      </c>
      <c r="C9069" s="4"/>
    </row>
    <row r="9070" spans="1:3" ht="24" customHeight="1">
      <c r="A9070" s="4" t="str">
        <f ca="1">IFERROR(__xludf.DUMMYFUNCTION("""COMPUTED_VALUE"""),"लोकत्रयेऽतिविदिता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||")</f>
        <v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||</v>
      </c>
      <c r="B9070" s="4" t="s">
        <v>5</v>
      </c>
      <c r="C9070" s="4"/>
    </row>
    <row r="9071" spans="1:3" ht="24" customHeight="1">
      <c r="A9071" s="4" t="str">
        <f ca="1">IFERROR(__xludf.DUMMYFUNCTION("""COMPUTED_VALUE"""),"वीराश्चतुर्दशसहस्रमिता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||")</f>
        <v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||</v>
      </c>
      <c r="B9071" s="4" t="s">
        <v>0</v>
      </c>
      <c r="C9071" s="4"/>
    </row>
    <row r="9072" spans="1:3" ht="24" customHeight="1">
      <c r="A9072" s="4" t="str">
        <f ca="1">IFERROR(__xludf.DUMMYFUNCTION("""COMPUTED_VALUE"""),"अत्रैव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||")</f>
        <v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||</v>
      </c>
      <c r="B9072" s="4" t="s">
        <v>2</v>
      </c>
      <c r="C9072" s="4"/>
    </row>
    <row r="9073" spans="1:3" ht="24" customHeight="1">
      <c r="A9073" s="4" t="str">
        <f ca="1">IFERROR(__xludf.DUMMYFUNCTION("""COMPUTED_VALUE"""),"सैषा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 वामराणाम् ॥ प्रतापविजयः-१७० ||")</f>
        <v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 वामराणाम् ॥ प्रतापविजयः-१७० ||</v>
      </c>
      <c r="B9073" s="4" t="s">
        <v>7</v>
      </c>
      <c r="C9073" s="4"/>
    </row>
    <row r="9074" spans="1:3" ht="24" customHeight="1">
      <c r="A9074" s="4" t="str">
        <f ca="1">IFERROR(__xludf.DUMMYFUNCTION("""COMPUTED_VALUE"""),"दिक्कालाद्यनवच्छिन्नानन्तचिन्मात्रमूर्तये । स्वानुभूत्यैकमानाय नमः शान्ताय तेजसे  ||")</f>
        <v>दिक्कालाद्यनवच्छिन्नानन्तचिन्मात्रमूर्तये । स्वानुभूत्यैकमानाय नमः शान्ताय तेजसे  ||</v>
      </c>
      <c r="B9074" s="4" t="s">
        <v>18</v>
      </c>
      <c r="C9074" s="4"/>
    </row>
    <row r="9075" spans="1:3" ht="24" customHeight="1">
      <c r="A9075" s="4" t="str">
        <f ca="1">IFERROR(__xludf.DUMMYFUNCTION("""COMPUTED_VALUE"""),"बोद्धारो मत्सरग्रस्ताः, प्रभवः स्मयदूषिताः । अबोधोपहताश्चान्ये, जीर्णमङ्के सुभाषितम् ||")</f>
        <v>बोद्धारो मत्सरग्रस्ताः, प्रभवः स्मयदूषिताः । अबोधोपहताश्चान्ये, जीर्णमङ्के सुभाषितम् ||</v>
      </c>
      <c r="B9075" s="4" t="s">
        <v>2</v>
      </c>
      <c r="C9075" s="4"/>
    </row>
    <row r="9076" spans="1:3" ht="24" customHeight="1">
      <c r="A9076" s="4" t="str">
        <f ca="1">IFERROR(__xludf.DUMMYFUNCTION("""COMPUTED_VALUE"""),"अज्ञः सुखमवबोध्यः सुखतरमबबोध्यते विशेषज्ञः। ज्ञानलवदुर्विदग्धं ब्रह्मापि नरं न बोधयति ||")</f>
        <v>अज्ञः सुखमवबोध्यः सुखतरमबबोध्यते विशेषज्ञः। ज्ञानलवदुर्विदग्धं ब्रह्मापि नरं न बोधयति ||</v>
      </c>
      <c r="B9076" s="4" t="s">
        <v>2</v>
      </c>
      <c r="C9076" s="4"/>
    </row>
    <row r="9077" spans="1:3" ht="24" customHeight="1">
      <c r="A9077" s="4" t="str">
        <f ca="1">IFERROR(__xludf.DUMMYFUNCTION("""COMPUTED_VALUE"""),"प्रसह्य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||")</f>
        <v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||</v>
      </c>
      <c r="B9077" s="4" t="s">
        <v>5</v>
      </c>
      <c r="C9077" s="4"/>
    </row>
    <row r="9078" spans="1:3" ht="24" customHeight="1">
      <c r="A9078" s="4" t="str">
        <f ca="1">IFERROR(__xludf.DUMMYFUNCTION("""COMPUTED_VALUE"""),"लभेत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प्रतिनिविष्टमूर्खजनचित्तमाराधयेत्||")</f>
        <v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प्रतिनिविष्टमूर्खजनचित्तमाराधयेत्||</v>
      </c>
      <c r="B9078" s="4" t="s">
        <v>5</v>
      </c>
      <c r="C9078" s="4"/>
    </row>
    <row r="9079" spans="1:3" ht="24" customHeight="1">
      <c r="A9079" s="4" t="str">
        <f ca="1">IFERROR(__xludf.DUMMYFUNCTION("""COMPUTED_VALUE""")," 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||")</f>
        <v xml:space="preserve"> 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||</v>
      </c>
      <c r="B9079" s="4" t="s">
        <v>12</v>
      </c>
      <c r="C9079" s="4"/>
    </row>
    <row r="9080" spans="1:3" ht="24" customHeight="1">
      <c r="A9080" s="4" t="str">
        <f ca="1">IFERROR(__xludf.DUMMYFUNCTION("""COMPUTED_VALUE"""),"दौर्मन्त्र्यान्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||")</f>
        <v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||</v>
      </c>
      <c r="B9080" s="4" t="s">
        <v>1</v>
      </c>
      <c r="C9080" s="4"/>
    </row>
    <row r="9081" spans="1:3" ht="24" customHeight="1">
      <c r="A9081" s="4" t="str">
        <f ca="1">IFERROR(__xludf.DUMMYFUNCTION("""COMPUTED_VALUE"""),"मणिः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||")</f>
        <v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||</v>
      </c>
      <c r="B9081" s="4" t="s">
        <v>0</v>
      </c>
      <c r="C9081" s="4"/>
    </row>
    <row r="9082" spans="1:3" ht="24" customHeight="1">
      <c r="A9082" s="4" t="str">
        <f ca="1">IFERROR(__xludf.DUMMYFUNCTION("""COMPUTED_VALUE"""),"परिक्षीणः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||")</f>
        <v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||</v>
      </c>
      <c r="B9082" s="4" t="s">
        <v>16</v>
      </c>
      <c r="C9082" s="4"/>
    </row>
    <row r="9083" spans="1:3" ht="24" customHeight="1">
      <c r="A9083" s="4" t="str">
        <f ca="1">IFERROR(__xludf.DUMMYFUNCTION("""COMPUTED_VALUE"""),"वचसि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||")</f>
        <v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||</v>
      </c>
      <c r="B9083" s="4" t="s">
        <v>10</v>
      </c>
      <c r="C9083" s="4"/>
    </row>
    <row r="9084" spans="1:3" ht="24" customHeight="1">
      <c r="A9084" s="4" t="str">
        <f ca="1">IFERROR(__xludf.DUMMYFUNCTION("""COMPUTED_VALUE"""),"मत्तेभकुम्भदलने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||")</f>
        <v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||</v>
      </c>
      <c r="B9084" s="4" t="s">
        <v>5</v>
      </c>
      <c r="C9084" s="4"/>
    </row>
    <row r="9085" spans="1:3" ht="24" customHeight="1">
      <c r="A9085" s="4" t="str">
        <f ca="1">IFERROR(__xludf.DUMMYFUNCTION("""COMPUTED_VALUE"""),"विलासिनीनां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||")</f>
        <v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||</v>
      </c>
      <c r="B9085" s="4" t="s">
        <v>0</v>
      </c>
      <c r="C9085" s="4"/>
    </row>
    <row r="9086" spans="1:3" ht="24" customHeight="1">
      <c r="A9086" s="4" t="str">
        <f ca="1">IFERROR(__xludf.DUMMYFUNCTION("""COMPUTED_VALUE"""),"न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||")</f>
        <v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||</v>
      </c>
      <c r="B9086" s="4" t="s">
        <v>7</v>
      </c>
      <c r="C9086" s="4"/>
    </row>
    <row r="9087" spans="1:3" ht="24" customHeight="1">
      <c r="A9087" s="4" t="str">
        <f ca="1">IFERROR(__xludf.DUMMYFUNCTION("""COMPUTED_VALUE"""),"भ्रान्तं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||")</f>
        <v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||</v>
      </c>
      <c r="B9087" s="4" t="s">
        <v>18</v>
      </c>
      <c r="C9087" s="4"/>
    </row>
    <row r="9088" spans="1:3" ht="24" customHeight="1">
      <c r="A9088" s="4" t="str">
        <f ca="1">IFERROR(__xludf.DUMMYFUNCTION("""COMPUTED_VALUE"""),"उत्खातं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||")</f>
        <v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||</v>
      </c>
      <c r="B9088" s="4" t="s">
        <v>4</v>
      </c>
      <c r="C9088" s="4"/>
    </row>
    <row r="9089" spans="1:3" ht="24" customHeight="1">
      <c r="A9089" s="4" t="str">
        <f ca="1">IFERROR(__xludf.DUMMYFUNCTION("""COMPUTED_VALUE"""),"आदित्यस्य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||")</f>
        <v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||</v>
      </c>
      <c r="B9089" s="4" t="s">
        <v>15</v>
      </c>
      <c r="C9089" s="4"/>
    </row>
    <row r="9090" spans="1:3" ht="24" customHeight="1">
      <c r="A9090" s="4" t="str">
        <f ca="1">IFERROR(__xludf.DUMMYFUNCTION("""COMPUTED_VALUE"""),"दीना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||")</f>
        <v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||</v>
      </c>
      <c r="B9090" s="4" t="s">
        <v>12</v>
      </c>
      <c r="C9090" s="4"/>
    </row>
    <row r="9091" spans="1:3" ht="24" customHeight="1">
      <c r="A9091" s="4" t="str">
        <f ca="1">IFERROR(__xludf.DUMMYFUNCTION("""COMPUTED_VALUE"""),"निवृत्ता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||")</f>
        <v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||</v>
      </c>
      <c r="B9091" s="4" t="s">
        <v>2</v>
      </c>
      <c r="C9091" s="4"/>
    </row>
    <row r="9092" spans="1:3" ht="24" customHeight="1">
      <c r="A9092" s="4" t="str">
        <f ca="1">IFERROR(__xludf.DUMMYFUNCTION("""COMPUTED_VALUE"""),"हिंसाशून्यमयत्नलभ्यमशनं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||")</f>
        <v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||</v>
      </c>
      <c r="B9092" s="4" t="s">
        <v>7</v>
      </c>
      <c r="C9092" s="4"/>
    </row>
    <row r="9093" spans="1:3" ht="24" customHeight="1">
      <c r="A9093" s="4" t="str">
        <f ca="1">IFERROR(__xludf.DUMMYFUNCTION("""COMPUTED_VALUE"""),"भोगा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||")</f>
        <v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||</v>
      </c>
      <c r="B9093" s="4" t="s">
        <v>7</v>
      </c>
      <c r="C9093" s="4"/>
    </row>
    <row r="9094" spans="1:3" ht="24" customHeight="1">
      <c r="A9094" s="4" t="str">
        <f ca="1">IFERROR(__xludf.DUMMYFUNCTION("""COMPUTED_VALUE"""),"क्षान्तं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||")</f>
        <v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||</v>
      </c>
      <c r="B9094" s="4" t="s">
        <v>2</v>
      </c>
      <c r="C9094" s="4"/>
    </row>
    <row r="9095" spans="1:3" ht="24" customHeight="1">
      <c r="A9095" s="4" t="str">
        <f ca="1">IFERROR(__xludf.DUMMYFUNCTION("""COMPUTED_VALUE"""),"रात्रिः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||")</f>
        <v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||</v>
      </c>
      <c r="B9095" s="4" t="s">
        <v>24</v>
      </c>
      <c r="C9095" s="4"/>
    </row>
    <row r="9096" spans="1:3" ht="24" customHeight="1">
      <c r="A9096" s="4" t="str">
        <f ca="1">IFERROR(__xludf.DUMMYFUNCTION("""COMPUTED_VALUE"""),"येनैवाम्बरखण्डेन संवीतो निशि चन्द्रमाः। तेनैव च दिवा भानुरहो दौर्गत्यमेतयोः ||")</f>
        <v>येनैवाम्बरखण्डेन संवीतो निशि चन्द्रमाः। तेनैव च दिवा भानुरहो दौर्गत्यमेतयोः ||</v>
      </c>
      <c r="B9096" s="4" t="s">
        <v>5</v>
      </c>
      <c r="C9096" s="4"/>
    </row>
    <row r="9097" spans="1:3" ht="24" customHeight="1">
      <c r="A9097" s="4" t="str">
        <f ca="1">IFERROR(__xludf.DUMMYFUNCTION("""COMPUTED_VALUE"""),"विद्या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||")</f>
        <v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||</v>
      </c>
      <c r="B9097" s="4" t="s">
        <v>2</v>
      </c>
      <c r="C9097" s="4"/>
    </row>
    <row r="9098" spans="1:3" ht="24" customHeight="1">
      <c r="A9098" s="4" t="str">
        <f ca="1">IFERROR(__xludf.DUMMYFUNCTION("""COMPUTED_VALUE"""),"अवश्यं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||")</f>
        <v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||</v>
      </c>
      <c r="B9098" s="4" t="s">
        <v>2</v>
      </c>
      <c r="C9098" s="4"/>
    </row>
    <row r="9099" spans="1:3" ht="24" customHeight="1">
      <c r="A9099" s="4" t="str">
        <f ca="1">IFERROR(__xludf.DUMMYFUNCTION("""COMPUTED_VALUE"""),"कृशः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||")</f>
        <v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||</v>
      </c>
      <c r="B9099" s="4" t="s">
        <v>1</v>
      </c>
      <c r="C9099" s="4"/>
    </row>
    <row r="9100" spans="1:3" ht="24" customHeight="1">
      <c r="A9100" s="4" t="str">
        <f ca="1">IFERROR(__xludf.DUMMYFUNCTION("""COMPUTED_VALUE"""),"भिक्षाशनं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||")</f>
        <v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||</v>
      </c>
      <c r="B9100" s="4" t="s">
        <v>2</v>
      </c>
      <c r="C9100" s="4"/>
    </row>
    <row r="9101" spans="1:3" ht="24" customHeight="1">
      <c r="A9101" s="4" t="str">
        <f ca="1">IFERROR(__xludf.DUMMYFUNCTION("""COMPUTED_VALUE"""),"स्तनौ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||")</f>
        <v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||</v>
      </c>
      <c r="B9101" s="4" t="s">
        <v>2</v>
      </c>
      <c r="C9101" s="4"/>
    </row>
    <row r="9102" spans="1:3" ht="24" customHeight="1">
      <c r="A9102" s="4" t="str">
        <f ca="1">IFERROR(__xludf.DUMMYFUNCTION("""COMPUTED_VALUE"""),"अजानन्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||")</f>
        <v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||</v>
      </c>
      <c r="B9102" s="4" t="s">
        <v>12</v>
      </c>
      <c r="C9102" s="4"/>
    </row>
    <row r="9103" spans="1:3" ht="24" customHeight="1">
      <c r="A9103" s="4" t="str">
        <f ca="1">IFERROR(__xludf.DUMMYFUNCTION("""COMPUTED_VALUE"""),"स्मितेन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||")</f>
        <v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||</v>
      </c>
      <c r="B9103" s="4" t="s">
        <v>5</v>
      </c>
      <c r="C9103" s="4"/>
    </row>
    <row r="9104" spans="1:3" ht="24" customHeight="1">
      <c r="A9104" s="4" t="str">
        <f ca="1">IFERROR(__xludf.DUMMYFUNCTION("""COMPUTED_VALUE"""),"एताश्चलद्वलयसंहतिमेखलोत्थ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||")</f>
        <v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||</v>
      </c>
      <c r="B9104" s="4" t="s">
        <v>2</v>
      </c>
      <c r="C9104" s="4"/>
    </row>
    <row r="9105" spans="1:3" ht="24" customHeight="1">
      <c r="A9105" s="4" t="str">
        <f ca="1">IFERROR(__xludf.DUMMYFUNCTION("""COMPUTED_VALUE"""),"सिद्धाध्यासितकन्दरे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||")</f>
        <v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||</v>
      </c>
      <c r="B9105" s="4" t="s">
        <v>5</v>
      </c>
      <c r="C9105" s="4"/>
    </row>
    <row r="9106" spans="1:3" ht="24" customHeight="1">
      <c r="A9106" s="4" t="str">
        <f ca="1">IFERROR(__xludf.DUMMYFUNCTION("""COMPUTED_VALUE"""),"सत्यं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||")</f>
        <v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||</v>
      </c>
      <c r="B9106" s="4" t="s">
        <v>5</v>
      </c>
      <c r="C9106" s="4"/>
    </row>
    <row r="9107" spans="1:3" ht="24" customHeight="1">
      <c r="A9107" s="4" t="str">
        <f ca="1">IFERROR(__xludf.DUMMYFUNCTION("""COMPUTED_VALUE"""),"सिलमलमशनाय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||")</f>
        <v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||</v>
      </c>
      <c r="B9107" s="4" t="s">
        <v>1</v>
      </c>
      <c r="C9107" s="4"/>
    </row>
    <row r="9108" spans="1:3" ht="24" customHeight="1">
      <c r="A9108" s="4" t="str">
        <f ca="1">IFERROR(__xludf.DUMMYFUNCTION("""COMPUTED_VALUE"""),"शैलास्सन्ति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||")</f>
        <v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||</v>
      </c>
      <c r="B9108" s="4" t="s">
        <v>17</v>
      </c>
      <c r="C9108" s="4"/>
    </row>
    <row r="9109" spans="1:3" ht="24" customHeight="1">
      <c r="A9109" s="4" t="str">
        <f ca="1">IFERROR(__xludf.DUMMYFUNCTION("""COMPUTED_VALUE"""),"विपुलहृदयैर्धन्यैः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||")</f>
        <v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||</v>
      </c>
      <c r="B9109" s="4" t="s">
        <v>0</v>
      </c>
      <c r="C9109" s="4"/>
    </row>
    <row r="9110" spans="1:3" ht="24" customHeight="1">
      <c r="A9110" s="4" t="str">
        <f ca="1">IFERROR(__xludf.DUMMYFUNCTION("""COMPUTED_VALUE"""),"वयमिह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||")</f>
        <v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||</v>
      </c>
      <c r="B9110" s="4" t="s">
        <v>0</v>
      </c>
      <c r="C9110" s="4"/>
    </row>
    <row r="9111" spans="1:3" ht="24" customHeight="1">
      <c r="A9111" s="4" t="str">
        <f ca="1">IFERROR(__xludf.DUMMYFUNCTION("""COMPUTED_VALUE"""),"त्वं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||")</f>
        <v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||</v>
      </c>
      <c r="B9111" s="4" t="s">
        <v>24</v>
      </c>
      <c r="C9111" s="4"/>
    </row>
    <row r="9112" spans="1:3" ht="24" customHeight="1">
      <c r="A9112" s="4" t="str">
        <f ca="1">IFERROR(__xludf.DUMMYFUNCTION("""COMPUTED_VALUE"""),"अभुक्तायां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||")</f>
        <v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||</v>
      </c>
      <c r="B9112" s="4" t="s">
        <v>17</v>
      </c>
      <c r="C9112" s="4"/>
    </row>
    <row r="9113" spans="1:3" ht="24" customHeight="1">
      <c r="A9113" s="4" t="str">
        <f ca="1">IFERROR(__xludf.DUMMYFUNCTION("""COMPUTED_VALUE"""),"    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||")</f>
        <v xml:space="preserve">    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||</v>
      </c>
      <c r="B9113" s="4" t="s">
        <v>2</v>
      </c>
      <c r="C9113" s="4"/>
    </row>
    <row r="9114" spans="1:3" ht="24" customHeight="1">
      <c r="A9114" s="4" t="str">
        <f ca="1">IFERROR(__xludf.DUMMYFUNCTION("""COMPUTED_VALUE"""),"मृत्पिण्डो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||")</f>
        <v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||</v>
      </c>
      <c r="B9114" s="4" t="s">
        <v>5</v>
      </c>
      <c r="C9114" s="4"/>
    </row>
    <row r="9115" spans="1:3" ht="24" customHeight="1">
      <c r="A9115" s="4" t="str">
        <f ca="1">IFERROR(__xludf.DUMMYFUNCTION("""COMPUTED_VALUE"""),"न नटा न विटा न गायका न च सभ्येतरवादचुञ्चवः। नृपमीक्षितुमत्र के वयं स्तनभारावनता न योषितः ||")</f>
        <v>न नटा न विटा न गायका न च सभ्येतरवादचुञ्चवः। नृपमीक्षितुमत्र के वयं स्तनभारावनता न योषितः ||</v>
      </c>
      <c r="B9115" s="4" t="s">
        <v>0</v>
      </c>
      <c r="C9115" s="4"/>
    </row>
    <row r="9116" spans="1:3" ht="24" customHeight="1">
      <c r="A9116" s="4" t="str">
        <f ca="1">IFERROR(__xludf.DUMMYFUNCTION("""COMPUTED_VALUE"""),"अशीमहि वयं भिक्षामाशावासो वसीमहि । शयीमहि महीपृष्ठे कुर्वीमहि किमीश्वरेः ||")</f>
        <v>अशीमहि वयं भिक्षामाशावासो वसीमहि । शयीमहि महीपृष्ठे कुर्वीमहि किमीश्वरेः ||</v>
      </c>
      <c r="B9116" s="4" t="s">
        <v>0</v>
      </c>
      <c r="C9116" s="4"/>
    </row>
    <row r="9117" spans="1:3" ht="24" customHeight="1">
      <c r="A9117" s="4" t="str">
        <f ca="1">IFERROR(__xludf.DUMMYFUNCTION("""COMPUTED_VALUE"""),"शूरस्त्वं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||")</f>
        <v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||</v>
      </c>
      <c r="B9117" s="4" t="s">
        <v>12</v>
      </c>
      <c r="C9117" s="4"/>
    </row>
    <row r="9118" spans="1:3" ht="24" customHeight="1">
      <c r="A9118" s="4" t="str">
        <f ca="1">IFERROR(__xludf.DUMMYFUNCTION("""COMPUTED_VALUE"""),"विपदि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||")</f>
        <v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||</v>
      </c>
      <c r="B9118" s="4" t="s">
        <v>1</v>
      </c>
      <c r="C9118" s="4"/>
    </row>
    <row r="9119" spans="1:3" ht="24" customHeight="1">
      <c r="A9119" s="4" t="str">
        <f ca="1">IFERROR(__xludf.DUMMYFUNCTION("""COMPUTED_VALUE"""),"निन्दन्तु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||")</f>
        <v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||</v>
      </c>
      <c r="B9119" s="4" t="s">
        <v>0</v>
      </c>
      <c r="C9119" s="4"/>
    </row>
    <row r="9120" spans="1:3" ht="24" customHeight="1">
      <c r="A9120" s="4" t="str">
        <f ca="1">IFERROR(__xludf.DUMMYFUNCTION("""COMPUTED_VALUE"""),"हर्तुर्याति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||")</f>
        <v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||</v>
      </c>
      <c r="B9120" s="4" t="s">
        <v>2</v>
      </c>
      <c r="C9120" s="4"/>
    </row>
    <row r="9121" spans="1:3" ht="24" customHeight="1">
      <c r="A9121" s="4" t="str">
        <f ca="1">IFERROR(__xludf.DUMMYFUNCTION("""COMPUTED_VALUE"""),"यदा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||")</f>
        <v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||</v>
      </c>
      <c r="B9121" s="4" t="s">
        <v>2</v>
      </c>
      <c r="C9121" s="4"/>
    </row>
    <row r="9122" spans="1:3" ht="24" customHeight="1">
      <c r="A9122" s="4" t="str">
        <f ca="1">IFERROR(__xludf.DUMMYFUNCTION("""COMPUTED_VALUE"""),"अधिगतपरमार्थन्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||")</f>
        <v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||</v>
      </c>
      <c r="B9122" s="4" t="s">
        <v>1</v>
      </c>
      <c r="C9122" s="4"/>
    </row>
    <row r="9123" spans="1:3" ht="24" customHeight="1">
      <c r="A9123" s="4" t="str">
        <f ca="1">IFERROR(__xludf.DUMMYFUNCTION("""COMPUTED_VALUE"""),"क्षुत्क्षार्मोऽपि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||")</f>
        <v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||</v>
      </c>
      <c r="B9123" s="4" t="s">
        <v>0</v>
      </c>
      <c r="C9123" s="4"/>
    </row>
    <row r="9124" spans="1:3" ht="24" customHeight="1">
      <c r="A9124" s="4" t="str">
        <f ca="1">IFERROR(__xludf.DUMMYFUNCTION("""COMPUTED_VALUE"""),"प्रिया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||")</f>
        <v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||</v>
      </c>
      <c r="B9124" s="4" t="s">
        <v>17</v>
      </c>
      <c r="C9124" s="4"/>
    </row>
    <row r="9125" spans="1:3" ht="24" customHeight="1">
      <c r="A9125" s="4" t="str">
        <f ca="1">IFERROR(__xludf.DUMMYFUNCTION("""COMPUTED_VALUE"""),"मनसि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||")</f>
        <v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||</v>
      </c>
      <c r="B9125" s="4" t="s">
        <v>2</v>
      </c>
      <c r="C9125" s="4"/>
    </row>
    <row r="9126" spans="1:3" ht="24" customHeight="1">
      <c r="A9126" s="4" t="str">
        <f ca="1">IFERROR(__xludf.DUMMYFUNCTION("""COMPUTED_VALUE"""),"इतः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||")</f>
        <v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||</v>
      </c>
      <c r="B9126" s="4" t="s">
        <v>9</v>
      </c>
      <c r="C9126" s="4"/>
    </row>
    <row r="9127" spans="1:3" ht="24" customHeight="1">
      <c r="A9127" s="4" t="str">
        <f ca="1">IFERROR(__xludf.DUMMYFUNCTION("""COMPUTED_VALUE"""),"माने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||")</f>
        <v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||</v>
      </c>
      <c r="B9127" s="4" t="s">
        <v>16</v>
      </c>
      <c r="C9127" s="4"/>
    </row>
    <row r="9128" spans="1:3" ht="24" customHeight="1">
      <c r="A9128" s="4" t="str">
        <f ca="1">IFERROR(__xludf.DUMMYFUNCTION("""COMPUTED_VALUE"""),"परेषां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||")</f>
        <v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||</v>
      </c>
      <c r="B9128" s="4" t="s">
        <v>2</v>
      </c>
      <c r="C9128" s="4"/>
    </row>
    <row r="9129" spans="1:3" ht="24" customHeight="1">
      <c r="A9129" s="4" t="str">
        <f ca="1">IFERROR(__xludf.DUMMYFUNCTION("""COMPUTED_VALUE"""),"अमीषां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||")</f>
        <v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||</v>
      </c>
      <c r="B9129" s="4" t="s">
        <v>9</v>
      </c>
      <c r="C9129" s="4"/>
    </row>
    <row r="9130" spans="1:3" ht="24" customHeight="1">
      <c r="A9130" s="4" t="str">
        <f ca="1">IFERROR(__xludf.DUMMYFUNCTION("""COMPUTED_VALUE"""),"खलोल्लापाः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||")</f>
        <v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||</v>
      </c>
      <c r="B9130" s="4" t="s">
        <v>12</v>
      </c>
      <c r="C9130" s="4"/>
    </row>
    <row r="9131" spans="1:3" ht="24" customHeight="1">
      <c r="A9131" s="4" t="str">
        <f ca="1">IFERROR(__xludf.DUMMYFUNCTION("""COMPUTED_VALUE"""),"तत्वज्ञानविवेकनिर्मलधियः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||")</f>
        <v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||</v>
      </c>
      <c r="B9131" s="4" t="s">
        <v>12</v>
      </c>
      <c r="C9131" s="4"/>
    </row>
    <row r="9132" spans="1:3" ht="24" customHeight="1">
      <c r="A9132" s="4" t="str">
        <f ca="1">IFERROR(__xludf.DUMMYFUNCTION("""COMPUTED_VALUE"""),"भ्रान्तः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||")</f>
        <v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||</v>
      </c>
      <c r="B9132" s="4" t="s">
        <v>12</v>
      </c>
      <c r="C9132" s="4"/>
    </row>
    <row r="9133" spans="1:3" ht="24" customHeight="1">
      <c r="A9133" s="4" t="str">
        <f ca="1">IFERROR(__xludf.DUMMYFUNCTION("""COMPUTED_VALUE"""),"वयं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||")</f>
        <v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||</v>
      </c>
      <c r="B9133" s="4" t="s">
        <v>6</v>
      </c>
      <c r="C9133" s="4"/>
    </row>
    <row r="9134" spans="1:3" ht="24" customHeight="1">
      <c r="A9134" s="4" t="str">
        <f ca="1">IFERROR(__xludf.DUMMYFUNCTION("""COMPUTED_VALUE"""),"यत्रानेकः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||")</f>
        <v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||</v>
      </c>
      <c r="B9134" s="4" t="s">
        <v>0</v>
      </c>
      <c r="C9134" s="4"/>
    </row>
    <row r="9135" spans="1:3" ht="24" customHeight="1">
      <c r="A9135" s="4" t="str">
        <f ca="1">IFERROR(__xludf.DUMMYFUNCTION("""COMPUTED_VALUE"""),"तपस्यन्तः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||")</f>
        <v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||</v>
      </c>
      <c r="B9135" s="4" t="s">
        <v>1</v>
      </c>
      <c r="C9135" s="4"/>
    </row>
    <row r="9136" spans="1:3" ht="24" customHeight="1">
      <c r="A9136" s="4" t="str">
        <f ca="1">IFERROR(__xludf.DUMMYFUNCTION("""COMPUTED_VALUE"""),"गङ्गातीरे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||")</f>
        <v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||</v>
      </c>
      <c r="B9136" s="4" t="s">
        <v>5</v>
      </c>
      <c r="C9136" s="4"/>
    </row>
    <row r="9137" spans="1:3" ht="24" customHeight="1">
      <c r="A9137" s="4" t="str">
        <f ca="1">IFERROR(__xludf.DUMMYFUNCTION("""COMPUTED_VALUE"""),"वितीर्णे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||")</f>
        <v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||</v>
      </c>
      <c r="B9137" s="4" t="s">
        <v>7</v>
      </c>
      <c r="C9137" s="4"/>
    </row>
    <row r="9138" spans="1:3" ht="24" customHeight="1">
      <c r="A9138" s="4" t="str">
        <f ca="1">IFERROR(__xludf.DUMMYFUNCTION("""COMPUTED_VALUE"""),"आशा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||")</f>
        <v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||</v>
      </c>
      <c r="B9138" s="4" t="s">
        <v>0</v>
      </c>
      <c r="C9138" s="4"/>
    </row>
    <row r="9139" spans="1:3" ht="24" customHeight="1">
      <c r="A9139" s="4" t="str">
        <f ca="1">IFERROR(__xludf.DUMMYFUNCTION("""COMPUTED_VALUE"""),"आसंसारं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||")</f>
        <v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||</v>
      </c>
      <c r="B9139" s="4" t="s">
        <v>11</v>
      </c>
      <c r="C9139" s="4"/>
    </row>
    <row r="9140" spans="1:3" ht="24" customHeight="1">
      <c r="A9140" s="4" t="str">
        <f ca="1">IFERROR(__xludf.DUMMYFUNCTION("""COMPUTED_VALUE"""),"ये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||")</f>
        <v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||</v>
      </c>
      <c r="B9140" s="4" t="s">
        <v>7</v>
      </c>
      <c r="C9140" s="4"/>
    </row>
    <row r="9141" spans="1:3" ht="24" customHeight="1">
      <c r="A9141" s="4" t="str">
        <f ca="1">IFERROR(__xludf.DUMMYFUNCTION("""COMPUTED_VALUE"""),"क्वचिद्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||")</f>
        <v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||</v>
      </c>
      <c r="B9141" s="4" t="s">
        <v>14</v>
      </c>
      <c r="C9141" s="4"/>
    </row>
    <row r="9142" spans="1:3" ht="24" customHeight="1">
      <c r="A9142" s="4" t="str">
        <f ca="1">IFERROR(__xludf.DUMMYFUNCTION("""COMPUTED_VALUE"""),"यदेतत्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||")</f>
        <v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||</v>
      </c>
      <c r="B9142" s="4" t="s">
        <v>18</v>
      </c>
      <c r="C9142" s="4"/>
    </row>
    <row r="9143" spans="1:3" ht="24" customHeight="1">
      <c r="A9143" s="4" t="str">
        <f ca="1">IFERROR(__xludf.DUMMYFUNCTION("""COMPUTED_VALUE"""),"पाणिः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||")</f>
        <v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||</v>
      </c>
      <c r="B9143" s="4" t="s">
        <v>2</v>
      </c>
      <c r="C9143" s="4"/>
    </row>
    <row r="9144" spans="1:3" ht="24" customHeight="1">
      <c r="A9144" s="4" t="str">
        <f ca="1">IFERROR(__xludf.DUMMYFUNCTION("""COMPUTED_VALUE"""),"दुराराधाश्चामी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||")</f>
        <v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||</v>
      </c>
      <c r="B9144" s="4" t="s">
        <v>18</v>
      </c>
      <c r="C9144" s="4"/>
    </row>
    <row r="9145" spans="1:3" ht="24" customHeight="1">
      <c r="A9145" s="4" t="str">
        <f ca="1">IFERROR(__xludf.DUMMYFUNCTION("""COMPUTED_VALUE"""),"भोगा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||")</f>
        <v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||</v>
      </c>
      <c r="B9145" s="4" t="s">
        <v>20</v>
      </c>
      <c r="C9145" s="4"/>
    </row>
    <row r="9146" spans="1:3" ht="24" customHeight="1">
      <c r="A9146" s="4" t="str">
        <f ca="1">IFERROR(__xludf.DUMMYFUNCTION("""COMPUTED_VALUE"""),"न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||")</f>
        <v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||</v>
      </c>
      <c r="B9146" s="4" t="s">
        <v>5</v>
      </c>
      <c r="C9146" s="4"/>
    </row>
    <row r="9147" spans="1:3" ht="24" customHeight="1">
      <c r="A9147" s="4" t="str">
        <f ca="1">IFERROR(__xludf.DUMMYFUNCTION("""COMPUTED_VALUE"""),"पुण्ये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||")</f>
        <v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||</v>
      </c>
      <c r="B9147" s="4" t="s">
        <v>1</v>
      </c>
      <c r="C9147" s="4"/>
    </row>
    <row r="9148" spans="1:3" ht="24" customHeight="1">
      <c r="A9148" s="4" t="str">
        <f ca="1">IFERROR(__xludf.DUMMYFUNCTION("""COMPUTED_VALUE"""),"चण्डालः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||")</f>
        <v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||</v>
      </c>
      <c r="B9148" s="4" t="s">
        <v>1</v>
      </c>
      <c r="C9148" s="4"/>
    </row>
    <row r="9149" spans="1:3" ht="24" customHeight="1">
      <c r="A9149" s="4" t="str">
        <f ca="1">IFERROR(__xludf.DUMMYFUNCTION("""COMPUTED_VALUE"""),"असाराः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||")</f>
        <v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||</v>
      </c>
      <c r="B9149" s="4" t="s">
        <v>0</v>
      </c>
      <c r="C9149" s="4"/>
    </row>
    <row r="9150" spans="1:3" ht="24" customHeight="1">
      <c r="A9150" s="4" t="str">
        <f ca="1">IFERROR(__xludf.DUMMYFUNCTION("""COMPUTED_VALUE"""),"मात्सर्यमुत्सार्य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||")</f>
        <v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||</v>
      </c>
      <c r="B9150" s="4" t="s">
        <v>1</v>
      </c>
      <c r="C9150" s="4"/>
    </row>
    <row r="9151" spans="1:3" ht="24" customHeight="1">
      <c r="A9151" s="4" t="str">
        <f ca="1">IFERROR(__xludf.DUMMYFUNCTION("""COMPUTED_VALUE"""),"किमहि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||")</f>
        <v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||</v>
      </c>
      <c r="B9151" s="4" t="s">
        <v>4</v>
      </c>
      <c r="C9151" s="4"/>
    </row>
    <row r="9152" spans="1:3" ht="24" customHeight="1">
      <c r="A9152" s="4" t="str">
        <f ca="1">IFERROR(__xludf.DUMMYFUNCTION("""COMPUTED_VALUE"""),"विरमत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||")</f>
        <v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||</v>
      </c>
      <c r="B9152" s="4" t="s">
        <v>11</v>
      </c>
      <c r="C9152" s="4"/>
    </row>
    <row r="9153" spans="1:3" ht="24" customHeight="1">
      <c r="A9153" s="4" t="str">
        <f ca="1">IFERROR(__xludf.DUMMYFUNCTION("""COMPUTED_VALUE"""),"प्राणाघातान्निवृत्तिः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||")</f>
        <v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||</v>
      </c>
      <c r="B9153" s="4" t="s">
        <v>10</v>
      </c>
      <c r="C9153" s="4"/>
    </row>
    <row r="9154" spans="1:3" ht="24" customHeight="1">
      <c r="A9154" s="4" t="str">
        <f ca="1">IFERROR(__xludf.DUMMYFUNCTION("""COMPUTED_VALUE"""),"मातर्लक्ष्मि!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||")</f>
        <v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||</v>
      </c>
      <c r="B9154" s="4" t="s">
        <v>24</v>
      </c>
      <c r="C9154" s="4"/>
    </row>
    <row r="9155" spans="1:3" ht="24" customHeight="1">
      <c r="A9155" s="4" t="str">
        <f ca="1">IFERROR(__xludf.DUMMYFUNCTION("""COMPUTED_VALUE"""),"बाले!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||")</f>
        <v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||</v>
      </c>
      <c r="B9155" s="4" t="s">
        <v>5</v>
      </c>
      <c r="C9155" s="4"/>
    </row>
    <row r="9156" spans="1:3" ht="24" customHeight="1">
      <c r="A9156" s="4" t="str">
        <f ca="1">IFERROR(__xludf.DUMMYFUNCTION("""COMPUTED_VALUE"""),"इयं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||")</f>
        <v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||</v>
      </c>
      <c r="B9156" s="4" t="s">
        <v>2</v>
      </c>
      <c r="C9156" s="4"/>
    </row>
    <row r="9157" spans="1:3" ht="24" customHeight="1">
      <c r="A9157" s="4" t="str">
        <f ca="1">IFERROR(__xludf.DUMMYFUNCTION("""COMPUTED_VALUE"""),"रम्यं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||")</f>
        <v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||</v>
      </c>
      <c r="B9157" s="4" t="s">
        <v>2</v>
      </c>
      <c r="C9157" s="4"/>
    </row>
    <row r="9158" spans="1:3" ht="24" customHeight="1">
      <c r="A9158" s="4" t="str">
        <f ca="1">IFERROR(__xludf.DUMMYFUNCTION("""COMPUTED_VALUE"""),"किं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||")</f>
        <v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||</v>
      </c>
      <c r="B9158" s="4" t="s">
        <v>1</v>
      </c>
      <c r="C9158" s="4"/>
    </row>
    <row r="9159" spans="1:3" ht="24" customHeight="1">
      <c r="A9159" s="4" t="str">
        <f ca="1">IFERROR(__xludf.DUMMYFUNCTION("""COMPUTED_VALUE"""),"गङ्गतरङ्गकणशीकरशीतलानि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||")</f>
        <v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||</v>
      </c>
      <c r="B9159" s="4" t="s">
        <v>5</v>
      </c>
      <c r="C9159" s="4"/>
    </row>
    <row r="9160" spans="1:3" ht="24" customHeight="1">
      <c r="A9160" s="4" t="str">
        <f ca="1">IFERROR(__xludf.DUMMYFUNCTION("""COMPUTED_VALUE"""),"यदा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||")</f>
        <v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||</v>
      </c>
      <c r="B9160" s="4" t="s">
        <v>11</v>
      </c>
      <c r="C9160" s="4"/>
    </row>
    <row r="9161" spans="1:3" ht="24" customHeight="1">
      <c r="A9161" s="4" t="str">
        <f ca="1">IFERROR(__xludf.DUMMYFUNCTION("""COMPUTED_VALUE"""),"एकाकी निःस्पृहः शान्तः पाणिपात्रो दिगम्बरः । कदा शम्भुर्भविष्यामि कर्मनिर्मूलनक्ष्मः ||")</f>
        <v>एकाकी निःस्पृहः शान्तः पाणिपात्रो दिगम्बरः । कदा शम्भुर्भविष्यामि कर्मनिर्मूलनक्ष्मः ||</v>
      </c>
      <c r="B9161" s="4" t="s">
        <v>12</v>
      </c>
      <c r="C9161" s="4"/>
    </row>
    <row r="9162" spans="1:3" ht="24" customHeight="1">
      <c r="A9162" s="4" t="str">
        <f ca="1">IFERROR(__xludf.DUMMYFUNCTION("""COMPUTED_VALUE"""),"प्राप्ताः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||")</f>
        <v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||</v>
      </c>
      <c r="B9162" s="4" t="s">
        <v>19</v>
      </c>
      <c r="C9162" s="4"/>
    </row>
    <row r="9163" spans="1:3" ht="24" customHeight="1">
      <c r="A9163" s="4" t="str">
        <f ca="1">IFERROR(__xludf.DUMMYFUNCTION("""COMPUTED_VALUE"""),"भक्तिर्भवे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||")</f>
        <v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||</v>
      </c>
      <c r="B9163" s="4" t="s">
        <v>5</v>
      </c>
      <c r="C9163" s="4"/>
    </row>
    <row r="9164" spans="1:3" ht="24" customHeight="1">
      <c r="A9164" s="4" t="str">
        <f ca="1">IFERROR(__xludf.DUMMYFUNCTION("""COMPUTED_VALUE"""),"तस्मादनन्तमजरं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||")</f>
        <v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||</v>
      </c>
      <c r="B9164" s="4" t="s">
        <v>2</v>
      </c>
      <c r="C9164" s="4"/>
    </row>
    <row r="9165" spans="1:3" ht="24" customHeight="1">
      <c r="A9165" s="4" t="str">
        <f ca="1">IFERROR(__xludf.DUMMYFUNCTION("""COMPUTED_VALUE"""),"पातालमाविशसि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||")</f>
        <v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||</v>
      </c>
      <c r="B9165" s="4" t="s">
        <v>1</v>
      </c>
      <c r="C9165" s="4"/>
    </row>
    <row r="9166" spans="1:3" ht="24" customHeight="1">
      <c r="A9166" s="4" t="str">
        <f ca="1">IFERROR(__xludf.DUMMYFUNCTION("""COMPUTED_VALUE"""),"यूयं वयं वयं यूयमित्यासीन्मतिरावयोः । तज्जातमधुना येन यूयं यूयं वयं वयम् ||")</f>
        <v>यूयं वयं वयं यूयमित्यासीन्मतिरावयोः । तज्जातमधुना येन यूयं यूयं वयं वयम् ||</v>
      </c>
      <c r="B9166" s="4" t="s">
        <v>5</v>
      </c>
      <c r="C9166" s="4"/>
    </row>
    <row r="9167" spans="1:3" ht="24" customHeight="1">
      <c r="A9167" s="4" t="str">
        <f ca="1">IFERROR(__xludf.DUMMYFUNCTION("""COMPUTED_VALUE"""),"ब्रहमाण्डमण्डलीमात्रं किं लोभाय मनस्विनः । शबरीस्फुरितेनाब्धेः क्षुब्धता जातु जायते ||")</f>
        <v>ब्रहमाण्डमण्डलीमात्रं किं लोभाय मनस्विनः । शबरीस्फुरितेनाब्धेः क्षुब्धता जातु जायते ||</v>
      </c>
      <c r="B9167" s="4" t="s">
        <v>2</v>
      </c>
      <c r="C9167" s="4"/>
    </row>
    <row r="9168" spans="1:3" ht="24" customHeight="1">
      <c r="A9168" s="4" t="str">
        <f ca="1">IFERROR(__xludf.DUMMYFUNCTION("""COMPUTED_VALUE"""),"महीशय्या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||")</f>
        <v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||</v>
      </c>
      <c r="B9168" s="4" t="s">
        <v>4</v>
      </c>
      <c r="C9168" s="4"/>
    </row>
    <row r="9169" spans="1:3" ht="24" customHeight="1">
      <c r="A9169" s="4" t="str">
        <f ca="1">IFERROR(__xludf.DUMMYFUNCTION("""COMPUTED_VALUE"""),"किं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||")</f>
        <v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||</v>
      </c>
      <c r="B9169" s="4" t="s">
        <v>6</v>
      </c>
      <c r="C9169" s="4"/>
    </row>
    <row r="9170" spans="1:3" ht="24" customHeight="1">
      <c r="A9170" s="4" t="str">
        <f ca="1">IFERROR(__xludf.DUMMYFUNCTION("""COMPUTED_VALUE"""),"आयुः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||")</f>
        <v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||</v>
      </c>
      <c r="B9170" s="4" t="s">
        <v>2</v>
      </c>
      <c r="C9170" s="4"/>
    </row>
    <row r="9171" spans="1:3" ht="24" customHeight="1">
      <c r="A9171" s="4" t="str">
        <f ca="1">IFERROR(__xludf.DUMMYFUNCTION("""COMPUTED_VALUE"""),"यदाभूदज्ञानं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||")</f>
        <v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||</v>
      </c>
      <c r="B9171" s="4" t="s">
        <v>2</v>
      </c>
      <c r="C9171" s="4"/>
    </row>
    <row r="9172" spans="1:3" ht="24" customHeight="1">
      <c r="A9172" s="4" t="str">
        <f ca="1">IFERROR(__xludf.DUMMYFUNCTION("""COMPUTED_VALUE"""),"प्रशान्तशास्त्रार्थविचारचापलं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||")</f>
        <v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||</v>
      </c>
      <c r="B9172" s="4" t="s">
        <v>1</v>
      </c>
      <c r="C9172" s="4"/>
    </row>
    <row r="9173" spans="1:3" ht="24" customHeight="1">
      <c r="A9173" s="4" t="str">
        <f ca="1">IFERROR(__xludf.DUMMYFUNCTION("""COMPUTED_VALUE"""),"मातर्मेदिनि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||")</f>
        <v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||</v>
      </c>
      <c r="B9173" s="4" t="s">
        <v>7</v>
      </c>
      <c r="C9173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jayesh152005@outlook.com</cp:lastModifiedBy>
  <dcterms:modified xsi:type="dcterms:W3CDTF">2025-12-27T05:20:30Z</dcterms:modified>
</cp:coreProperties>
</file>