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2"/>
  </bookViews>
  <sheets>
    <sheet name="Notes" sheetId="51" r:id="rId1"/>
    <sheet name="ismfile" sheetId="50" r:id="rId2"/>
    <sheet name="Inputs" sheetId="1" r:id="rId3"/>
    <sheet name="AptHighrise" sheetId="61" r:id="rId4"/>
    <sheet name="OfficeSmall" sheetId="64" r:id="rId5"/>
    <sheet name="OfficeLarge" sheetId="59" r:id="rId6"/>
    <sheet name="Outputs" sheetId="5" r:id="rId7"/>
    <sheet name="Calcs" sheetId="2" state="hidden" r:id="rId8"/>
    <sheet name="Weather" sheetId="4" state="hidden" r:id="rId9"/>
    <sheet name="OfficeMedium" sheetId="68" r:id="rId10"/>
    <sheet name="AptMidrise" sheetId="60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3">AptHighrise!$C$64</definedName>
    <definedName name="DHWSysEff" localSheetId="10">AptMidrise!$C$64</definedName>
    <definedName name="DHWSysEff" localSheetId="5">OfficeLarge!$C$64</definedName>
    <definedName name="DHWSysEff" localSheetId="9">OfficeMedium!$C$64</definedName>
    <definedName name="DHWSysEff" localSheetId="4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3">AptHighrise!$C$33</definedName>
    <definedName name="LPD" localSheetId="10">AptMidrise!$C$33</definedName>
    <definedName name="LPD" localSheetId="5">OfficeLarge!$C$33</definedName>
    <definedName name="LPD" localSheetId="9">OfficeMedium!$C$33</definedName>
    <definedName name="LPD" localSheetId="4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3">AptHighrise!$C$12</definedName>
    <definedName name="PeoDOcc" localSheetId="10">AptMidrise!$C$12</definedName>
    <definedName name="PeoDOcc" localSheetId="5">OfficeLarge!$C$12</definedName>
    <definedName name="PeoDOcc" localSheetId="9">OfficeMedium!$C$12</definedName>
    <definedName name="PeoDOcc" localSheetId="4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3">AptHighrise!$C$13</definedName>
    <definedName name="PeoDUnocc" localSheetId="10">AptMidrise!$C$13</definedName>
    <definedName name="PeoDUnocc" localSheetId="5">OfficeLarge!$C$13</definedName>
    <definedName name="PeoDUnocc" localSheetId="9">OfficeMedium!$C$13</definedName>
    <definedName name="PeoDUnocc" localSheetId="4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3">AptHighrise!$C$75</definedName>
    <definedName name="Qinf" localSheetId="10">AptMidrise!$C$75</definedName>
    <definedName name="Qinf" localSheetId="5">OfficeLarge!$C$75</definedName>
    <definedName name="Qinf" localSheetId="9">OfficeMedium!$C$75</definedName>
    <definedName name="Qinf" localSheetId="4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3">AptHighrise!$K$80</definedName>
    <definedName name="RoofAbs" localSheetId="10">AptMidrise!$K$80</definedName>
    <definedName name="RoofAbs" localSheetId="5">OfficeLarge!$K$80</definedName>
    <definedName name="RoofAbs" localSheetId="9">OfficeMedium!$K$80</definedName>
    <definedName name="RoofAbs" localSheetId="4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3">AptHighrise!$K$81</definedName>
    <definedName name="RoofEmis" localSheetId="10">AptMidrise!$K$81</definedName>
    <definedName name="RoofEmis" localSheetId="5">OfficeLarge!$K$81</definedName>
    <definedName name="RoofEmis" localSheetId="9">OfficeMedium!$K$81</definedName>
    <definedName name="RoofEmis" localSheetId="4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3">AptHighrise!$K$79</definedName>
    <definedName name="RoofU" localSheetId="10">AptMidrise!$K$79</definedName>
    <definedName name="RoofU" localSheetId="5">OfficeLarge!$K$79</definedName>
    <definedName name="RoofU" localSheetId="9">OfficeMedium!$K$79</definedName>
    <definedName name="RoofU" localSheetId="4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3">AptHighrise!$J$85</definedName>
    <definedName name="SHGC" localSheetId="10">AptMidrise!$J$85</definedName>
    <definedName name="SHGC" localSheetId="5">OfficeLarge!$J$85</definedName>
    <definedName name="SHGC" localSheetId="9">OfficeMedium!$J$85</definedName>
    <definedName name="SHGC" localSheetId="4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3">AptHighrise!$C$23</definedName>
    <definedName name="TCoolOcc" localSheetId="10">AptMidrise!$C$23</definedName>
    <definedName name="TCoolOcc" localSheetId="5">OfficeLarge!$C$23</definedName>
    <definedName name="TCoolOcc" localSheetId="9">OfficeMedium!$C$23</definedName>
    <definedName name="TCoolOcc" localSheetId="4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3">AptHighrise!$C$24</definedName>
    <definedName name="TCoolUnocc" localSheetId="10">AptMidrise!$C$24</definedName>
    <definedName name="TCoolUnocc" localSheetId="5">OfficeLarge!$C$24</definedName>
    <definedName name="TCoolUnocc" localSheetId="9">OfficeMedium!$C$24</definedName>
    <definedName name="TCoolUnocc" localSheetId="4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3">AptHighrise!$C$21</definedName>
    <definedName name="THeatOcc" localSheetId="10">AptMidrise!$C$21</definedName>
    <definedName name="THeatOcc" localSheetId="5">OfficeLarge!$C$21</definedName>
    <definedName name="THeatOcc" localSheetId="9">OfficeMedium!$C$21</definedName>
    <definedName name="THeatOcc" localSheetId="4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3">AptHighrise!$C$22</definedName>
    <definedName name="THeatUnocc" localSheetId="10">AptMidrise!$C$22</definedName>
    <definedName name="THeatUnocc" localSheetId="5">OfficeLarge!$C$22</definedName>
    <definedName name="THeatUnocc" localSheetId="9">OfficeMedium!$C$22</definedName>
    <definedName name="THeatUnocc" localSheetId="4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3">AptHighrise!$J$80</definedName>
    <definedName name="WallAbs" localSheetId="10">AptMidrise!$J$80</definedName>
    <definedName name="WallAbs" localSheetId="5">OfficeLarge!$J$80</definedName>
    <definedName name="WallAbs" localSheetId="9">OfficeMedium!$J$80</definedName>
    <definedName name="WallAbs" localSheetId="4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3">AptHighrise!$J$81</definedName>
    <definedName name="WallEmis" localSheetId="10">AptMidrise!$J$81</definedName>
    <definedName name="WallEmis" localSheetId="5">OfficeLarge!$J$81</definedName>
    <definedName name="WallEmis" localSheetId="9">OfficeMedium!$J$81</definedName>
    <definedName name="WallEmis" localSheetId="4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3">AptHighrise!$J$79</definedName>
    <definedName name="WallU" localSheetId="10">AptMidrise!$J$79</definedName>
    <definedName name="WallU" localSheetId="5">OfficeLarge!$J$79</definedName>
    <definedName name="WallU" localSheetId="9">OfficeMedium!$J$79</definedName>
    <definedName name="WallU" localSheetId="4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3">AptHighrise!$J$84</definedName>
    <definedName name="WinU" localSheetId="10">AptMidrise!$J$84</definedName>
    <definedName name="WinU" localSheetId="5">OfficeLarge!$J$84</definedName>
    <definedName name="WinU" localSheetId="9">OfficeMedium!$J$84</definedName>
    <definedName name="WinU" localSheetId="4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<sst xmlns="http://schemas.openxmlformats.org/spreadsheetml/2006/main" count="3485" uniqueCount="1178">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</sst>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7" Type="http://schemas.openxmlformats.org/officeDocument/2006/relationships/comments" Target="../comments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apt_highrise.xlsx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AptHighrise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30.48</v>
      </c>
    </row>
    <row r="8" spans="1:6" x14ac:dyDescent="0.25">
      <c r="A8" s="429" t="str">
        <f>"floorArea = "&amp;Inputs!C11</f>
        <v>floorArea = 7836.6</v>
      </c>
    </row>
    <row r="9" spans="1:6" x14ac:dyDescent="0.25">
      <c r="A9" s="429" t="str">
        <f>"peopleDensityOccupied = "&amp;Inputs!C12</f>
        <v>peopleDensityOccupied = 65.88</v>
      </c>
    </row>
    <row r="10" spans="1:6" s="429" customFormat="1" x14ac:dyDescent="0.25">
      <c r="A10" s="429" t="str">
        <f>"peopleDensityUnoccupied = "&amp;Inputs!C13</f>
        <v>peopleDensityUnoccupied = 42.44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6</v>
      </c>
    </row>
    <row r="13" spans="1:6" x14ac:dyDescent="0.25">
      <c r="A13" s="429" t="str">
        <f>"occupancyHourStart= "&amp;Inputs!C16</f>
        <v>occupancyHourStart= 0</v>
      </c>
    </row>
    <row r="14" spans="1:6" x14ac:dyDescent="0.25">
      <c r="A14" s="429" t="str">
        <f>"occupancyHourEnd= "&amp;Inputs!C17</f>
        <v>occupancyHourEnd= 17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0.87</v>
      </c>
    </row>
    <row r="17" spans="1:1" x14ac:dyDescent="0.25">
      <c r="A17" s="429" t="str">
        <f>"lightingPowerDensityUnoccupied = "&amp;Inputs!C34</f>
        <v>lightingPowerDensityUnoccupied = 1.28</v>
      </c>
    </row>
    <row r="18" spans="1:1" x14ac:dyDescent="0.25">
      <c r="A18" s="429" t="str">
        <f>"electricAppliancePowerDensityOccupied = "&amp;Inputs!C27</f>
        <v>electricAppliancePowerDensityOccupied = 3.61</v>
      </c>
    </row>
    <row r="19" spans="1:1" x14ac:dyDescent="0.25">
      <c r="A19" s="429" t="str">
        <f>"electricAppliancePowerDensityUnoccupied = "&amp;Inputs!C28</f>
        <v>electricAppliancePowerDensityUnoccupied = 4.93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1270</v>
      </c>
    </row>
    <row r="23" spans="1:1" x14ac:dyDescent="0.25">
      <c r="A23" s="429" t="str">
        <f>"heatGainPerPerson = "&amp;Inputs!C18</f>
        <v>heatGainPerPerson = 95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21.7</v>
      </c>
    </row>
    <row r="30" spans="1:1" x14ac:dyDescent="0.25">
      <c r="A30" s="429" t="str">
        <f>"heatingSetpointUnoccupied = "&amp;Inputs!C22</f>
        <v>heatingSetpointUnoccupied = 17.7</v>
      </c>
    </row>
    <row r="31" spans="1:1" x14ac:dyDescent="0.25">
      <c r="A31" s="429" t="str">
        <f>"coolingSetpointOccupied = "&amp;Inputs!C23</f>
        <v>coolingSetpointOccupied = 24.4</v>
      </c>
    </row>
    <row r="32" spans="1:1" x14ac:dyDescent="0.25">
      <c r="A32" s="429" t="str">
        <f>"coolingSetpointUnoccupied = "&amp;Inputs!C24</f>
        <v>coolingSetpointUnoccupied = 29.4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0.08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5</v>
      </c>
    </row>
    <row r="39" spans="1:1" x14ac:dyDescent="0.25">
      <c r="A39" s="429" t="str">
        <f>"coolingSystemIPLVToCopRatio= "&amp;Inputs!C44</f>
        <v>coolingSystemIPLVToCopRatio= 1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2000</v>
      </c>
    </row>
    <row r="47" spans="1:1" s="429" customFormat="1" x14ac:dyDescent="0.25">
      <c r="A47" s="429" t="str">
        <f>"ventilationIntakeRateUnoccupied= "&amp;Inputs!C51</f>
        <v>ventilationIntakeRateUnoccupied= 2000</v>
      </c>
    </row>
    <row r="48" spans="1:1" x14ac:dyDescent="0.25">
      <c r="A48" s="429" t="str">
        <f>"ventilationExhaustRateOccupied= "&amp;Inputs!C52</f>
        <v>ventilationExhaustRateOccupied= 2000</v>
      </c>
    </row>
    <row r="49" spans="1:1" s="429" customFormat="1" x14ac:dyDescent="0.25">
      <c r="A49" s="429" t="str">
        <f>"ventilationExhaustRateUnoccupied= "&amp;Inputs!C53</f>
        <v>ventilationExhaustRateUnoccupied= 2000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4778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1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46324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0.89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7</v>
      </c>
    </row>
    <row r="70" spans="1:1" s="429" customFormat="1" x14ac:dyDescent="0.25">
      <c r="A70" s="429" t="str">
        <f>"infiltrationRateUnoccupied= "&amp;Inputs!C76</f>
        <v>infiltrationRateUnoccupied= 7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0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783.66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0</v>
      </c>
    </row>
    <row r="81" spans="1:1" x14ac:dyDescent="0.25">
      <c r="A81" s="429" t="str">
        <f>"skylightUValue= "&amp;Inputs!K84</f>
        <v>skylightUValue= 0</v>
      </c>
    </row>
    <row r="82" spans="1:1" s="429" customFormat="1" x14ac:dyDescent="0.25">
      <c r="A82" s="429" t="str">
        <f>"skylightSHGC= "&amp;Inputs!K85</f>
        <v>skylightSHGC= 0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1204</v>
      </c>
    </row>
    <row r="86" spans="1:1" x14ac:dyDescent="0.25">
      <c r="A86" s="429" t="str">
        <f>"WallUvalueS= "&amp;Inputs!C79</f>
        <v>WallUvalueS= 0.363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0.363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431.4</v>
      </c>
    </row>
    <row r="94" spans="1:1" x14ac:dyDescent="0.25">
      <c r="A94" s="429" t="str">
        <f>"WallUvalueE= "&amp;Inputs!E79</f>
        <v>WallUvalueE= 0.363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0.363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1204</v>
      </c>
    </row>
    <row r="102" spans="1:1" x14ac:dyDescent="0.25">
      <c r="A102" s="429" t="str">
        <f>"WallUvalueN= "&amp;Inputs!G79</f>
        <v>WallUvalueN= 0.363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0.363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431.4</v>
      </c>
    </row>
    <row r="110" spans="1:1" x14ac:dyDescent="0.25">
      <c r="A110" s="429" t="str">
        <f>"WallUvalueW= "&amp;Inputs!I79</f>
        <v>WallUvalueW= 0.363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208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84.15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208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84.15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tabSelected="1" zoomScale="80" zoomScaleNormal="80" workbookViewId="0">
      <pane ySplit="1" topLeftCell="A47" activePane="bottomLeft" state="frozen"/>
      <selection pane="bottomLeft" activeCell="E74" sqref="E74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118.4  kWh/m2 = 37.5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1163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H8" s="430"/>
      <c r="I8" s="430"/>
      <c r="J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H9" s="430"/>
      <c r="I9" s="430"/>
      <c r="J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H13" s="430"/>
      <c r="I13" s="430"/>
      <c r="J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0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7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  <dataValidation type="list" allowBlank="1" showInputMessage="1" showErrorMessage="1" sqref="C54">
      <formula1>"0.4, 0.6, 0.65, 0.7"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65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2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0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16.190624627158993</v>
      </c>
      <c r="R4" s="316" t="s">
        <v>589</v>
      </c>
      <c r="S4" s="270">
        <f ca="1">Q4*Calcs!$N$23/Calcs!$N$20</f>
        <v>5.1324009784981008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7.2385890908287385</v>
      </c>
      <c r="C5" s="269">
        <f ca="1">(Calcs!D558+Calcs!G558)/Calcs!$C$2/Calcs!$N$22</f>
        <v>3.6697267124262481E-3</v>
      </c>
      <c r="D5" s="269">
        <f>Calcs!J48/Calcs!$C$2/Calcs!$N$22</f>
        <v>1.0120438356164385</v>
      </c>
      <c r="E5" s="269">
        <f>Calcs!Q48</f>
        <v>5.5262486282316309E-2</v>
      </c>
      <c r="F5" s="269">
        <f ca="1">Calcs!L424</f>
        <v>0.52425049557427694</v>
      </c>
      <c r="G5" s="269">
        <f ca="1">Calcs!K701/Calcs!$C$2/Calcs!$N$22</f>
        <v>0.47713931544376847</v>
      </c>
      <c r="H5" s="269">
        <f>SUM(H22,H39)</f>
        <v>2.97228</v>
      </c>
      <c r="I5" s="269">
        <f ca="1">Calcs!M731/Calcs!$C$2</f>
        <v>2.9978738242297558</v>
      </c>
      <c r="J5" s="269">
        <f>Calcs!AR766/Calcs!$C$2/Calcs!$N$22</f>
        <v>0</v>
      </c>
      <c r="K5" s="269">
        <f t="shared" ref="K5:K16" ca="1" si="0">SUM(B5:I5)-J5</f>
        <v>15.28110877468772</v>
      </c>
      <c r="L5" s="379">
        <f ca="1">K5*Inputs!$C$11</f>
        <v>119751.93702371779</v>
      </c>
      <c r="O5" s="314" t="s">
        <v>690</v>
      </c>
      <c r="P5" s="314"/>
      <c r="Q5" s="270">
        <f ca="1">Calcs!V842</f>
        <v>32.964283416164363</v>
      </c>
      <c r="R5" s="316" t="s">
        <v>589</v>
      </c>
      <c r="S5" s="270">
        <f ca="1">Q5*Calcs!$N$23/Calcs!$N$20</f>
        <v>10.449622812995704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4.8415228574839064</v>
      </c>
      <c r="C6" s="269">
        <f ca="1">(Calcs!D559+Calcs!G559)/Calcs!$C$2/Calcs!$N$22</f>
        <v>8.0603139661650346E-3</v>
      </c>
      <c r="D6" s="269">
        <f>Calcs!J49/Calcs!$C$2/Calcs!$N$22</f>
        <v>0.9141041095890412</v>
      </c>
      <c r="E6" s="269">
        <f>Calcs!Q49</f>
        <v>4.9914503738866349E-2</v>
      </c>
      <c r="F6" s="269">
        <f ca="1">Calcs!L425</f>
        <v>0.35453791136267887</v>
      </c>
      <c r="G6" s="269">
        <f ca="1">Calcs!K702/Calcs!$C$2/Calcs!$N$22</f>
        <v>0.47345163731945161</v>
      </c>
      <c r="H6" s="269">
        <f t="shared" ref="H6:H16" si="1">SUM(H23,H40)</f>
        <v>2.6846399999999999</v>
      </c>
      <c r="I6" s="269">
        <f ca="1">Calcs!M732/Calcs!$C$2</f>
        <v>2.7077570025301014</v>
      </c>
      <c r="J6" s="269">
        <f>Calcs!AR767/Calcs!$C$2/Calcs!$N$22</f>
        <v>0</v>
      </c>
      <c r="K6" s="269">
        <f t="shared" ca="1" si="0"/>
        <v>12.033988335990211</v>
      </c>
      <c r="L6" s="379">
        <f ca="1">K6*Inputs!$C$11</f>
        <v>94305.552993820893</v>
      </c>
      <c r="O6" s="314" t="s">
        <v>688</v>
      </c>
      <c r="P6" s="314"/>
      <c r="Q6" s="270">
        <f ca="1">SUM(Q4:Q5)</f>
        <v>49.15490804332336</v>
      </c>
      <c r="R6" s="316" t="s">
        <v>589</v>
      </c>
      <c r="S6" s="270">
        <f ca="1">Q6*Calcs!$N$23/Calcs!$N$20</f>
        <v>15.582023791493807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1.4638371117045077</v>
      </c>
      <c r="C7" s="269">
        <f ca="1">(Calcs!D560+Calcs!G560)/Calcs!$C$2/Calcs!$N$22</f>
        <v>6.4502009694784992E-2</v>
      </c>
      <c r="D7" s="269">
        <f>Calcs!J50/Calcs!$C$2/Calcs!$N$22</f>
        <v>1.0120438356164385</v>
      </c>
      <c r="E7" s="269">
        <f>Calcs!Q50</f>
        <v>5.5262486282316309E-2</v>
      </c>
      <c r="F7" s="269">
        <f ca="1">Calcs!L426</f>
        <v>0.14009990628544955</v>
      </c>
      <c r="G7" s="269">
        <f ca="1">Calcs!K703/Calcs!$C$2/Calcs!$N$22</f>
        <v>0.3690158446488887</v>
      </c>
      <c r="H7" s="269">
        <f t="shared" si="1"/>
        <v>2.97228</v>
      </c>
      <c r="I7" s="269">
        <f ca="1">Calcs!M733/Calcs!$C$2</f>
        <v>2.9978738242297558</v>
      </c>
      <c r="J7" s="269">
        <f>Calcs!AR768/Calcs!$C$2/Calcs!$N$22</f>
        <v>0</v>
      </c>
      <c r="K7" s="269">
        <f t="shared" ca="1" si="0"/>
        <v>9.0749150184621428</v>
      </c>
      <c r="L7" s="379">
        <f ca="1">K7*Inputs!$C$11</f>
        <v>71116.479033680429</v>
      </c>
      <c r="O7" s="320" t="s">
        <v>608</v>
      </c>
      <c r="P7" s="313"/>
      <c r="Q7" s="270">
        <f ca="1">K34</f>
        <v>61.311288003946601</v>
      </c>
      <c r="R7" s="316" t="s">
        <v>589</v>
      </c>
      <c r="S7" s="270">
        <f ca="1">Q7*Calcs!$N$23/Calcs!$N$20</f>
        <v>19.435575945389022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8.5776655780860064E-2</v>
      </c>
      <c r="C8" s="269">
        <f ca="1">(Calcs!D561+Calcs!G561)/Calcs!$C$2/Calcs!$N$22</f>
        <v>0.31062000538309237</v>
      </c>
      <c r="D8" s="269">
        <f>Calcs!J51/Calcs!$C$2/Calcs!$N$22</f>
        <v>0.97939726027397256</v>
      </c>
      <c r="E8" s="269">
        <f>Calcs!Q51</f>
        <v>5.3479825434499653E-2</v>
      </c>
      <c r="F8" s="269">
        <f ca="1">Calcs!L427</f>
        <v>0.16604310923930873</v>
      </c>
      <c r="G8" s="269">
        <f ca="1">Calcs!K704/Calcs!$C$2/Calcs!$N$22</f>
        <v>1.8817040286412592E-2</v>
      </c>
      <c r="H8" s="269">
        <f t="shared" si="1"/>
        <v>2.8764000000000003</v>
      </c>
      <c r="I8" s="269">
        <f ca="1">Calcs!M734/Calcs!$C$2</f>
        <v>2.9011682169965383</v>
      </c>
      <c r="J8" s="269">
        <f>Calcs!AR769/Calcs!$C$2/Calcs!$N$22</f>
        <v>0</v>
      </c>
      <c r="K8" s="269">
        <f t="shared" ca="1" si="0"/>
        <v>7.3917021133946843</v>
      </c>
      <c r="L8" s="379">
        <f ca="1">K8*Inputs!$C$11</f>
        <v>57925.812781828783</v>
      </c>
      <c r="O8" s="320" t="s">
        <v>609</v>
      </c>
      <c r="P8" s="320"/>
      <c r="Q8" s="270">
        <f ca="1">K51</f>
        <v>57.09368932569852</v>
      </c>
      <c r="R8" s="316" t="s">
        <v>589</v>
      </c>
      <c r="S8" s="270">
        <f ca="1">Q8*Calcs!$N$23/Calcs!$N$20</f>
        <v>18.098604205160918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4.2047548569910709E-4</v>
      </c>
      <c r="C9" s="269">
        <f ca="1">(Calcs!D562+Calcs!G562)/Calcs!$C$2/Calcs!$N$22</f>
        <v>0.82065278103321193</v>
      </c>
      <c r="D9" s="269">
        <f>Calcs!J52/Calcs!$C$2/Calcs!$N$22</f>
        <v>1.0120438356164385</v>
      </c>
      <c r="E9" s="269">
        <f>Calcs!Q52</f>
        <v>5.5262486282316309E-2</v>
      </c>
      <c r="F9" s="269">
        <f ca="1">Calcs!L428</f>
        <v>0.42196891905163286</v>
      </c>
      <c r="G9" s="269">
        <f ca="1">Calcs!K705/Calcs!$C$2/Calcs!$N$22</f>
        <v>3.6339030134307083E-5</v>
      </c>
      <c r="H9" s="269">
        <f t="shared" si="1"/>
        <v>2.97228</v>
      </c>
      <c r="I9" s="269">
        <f ca="1">Calcs!M735/Calcs!$C$2</f>
        <v>2.9978738242297558</v>
      </c>
      <c r="J9" s="269">
        <f>Calcs!AR770/Calcs!$C$2/Calcs!$N$22</f>
        <v>0</v>
      </c>
      <c r="K9" s="269">
        <f t="shared" ca="1" si="0"/>
        <v>8.2805386607291886</v>
      </c>
      <c r="L9" s="379">
        <f ca="1">K9*Inputs!$C$11</f>
        <v>64891.269268670359</v>
      </c>
      <c r="O9" s="320" t="s">
        <v>610</v>
      </c>
      <c r="P9" s="320"/>
      <c r="Q9" s="270">
        <f ca="1">K17</f>
        <v>118.40497732964513</v>
      </c>
      <c r="R9" s="316" t="s">
        <v>589</v>
      </c>
      <c r="S9" s="270">
        <f ca="1">Q9*Calcs!$N$23/Calcs!$N$20</f>
        <v>37.534180150549943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3.8799269593040349E-12</v>
      </c>
      <c r="C10" s="269">
        <f ca="1">(Calcs!D563+Calcs!G563)/Calcs!$C$2/Calcs!$N$22</f>
        <v>1.2233999391027173</v>
      </c>
      <c r="D10" s="269">
        <f>Calcs!J53/Calcs!$C$2/Calcs!$N$22</f>
        <v>0.97939726027397256</v>
      </c>
      <c r="E10" s="269">
        <f>Calcs!Q53</f>
        <v>5.3479825434499653E-2</v>
      </c>
      <c r="F10" s="269">
        <f ca="1">Calcs!L429</f>
        <v>0.62900936339249092</v>
      </c>
      <c r="G10" s="269">
        <f ca="1">Calcs!K706/Calcs!$C$2/Calcs!$N$22</f>
        <v>2.2494697461615963E-13</v>
      </c>
      <c r="H10" s="269">
        <f t="shared" si="1"/>
        <v>2.8764000000000003</v>
      </c>
      <c r="I10" s="269">
        <f ca="1">Calcs!M736/Calcs!$C$2</f>
        <v>2.9011682169965383</v>
      </c>
      <c r="J10" s="269">
        <f>Calcs!AR771/Calcs!$C$2/Calcs!$N$22</f>
        <v>0</v>
      </c>
      <c r="K10" s="269">
        <f t="shared" ca="1" si="0"/>
        <v>8.6628546052043234</v>
      </c>
      <c r="L10" s="379">
        <f ca="1">K10*Inputs!$C$11</f>
        <v>67887.326399144207</v>
      </c>
      <c r="O10" s="314" t="s">
        <v>686</v>
      </c>
      <c r="P10" s="314"/>
      <c r="Q10" s="270">
        <f ca="1">Q20/Inputs!C11*1000</f>
        <v>268.6587928769431</v>
      </c>
      <c r="R10" s="312" t="s">
        <v>589</v>
      </c>
      <c r="S10" s="270">
        <f ca="1">Q10*Calcs!$N$23/Calcs!$N$20</f>
        <v>85.16438884826978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1.4889373928322347</v>
      </c>
      <c r="D11" s="269">
        <f>Calcs!J54/Calcs!$C$2/Calcs!$N$22</f>
        <v>1.0120438356164385</v>
      </c>
      <c r="E11" s="269">
        <f>Calcs!Q54</f>
        <v>5.5262486282316309E-2</v>
      </c>
      <c r="F11" s="269">
        <f ca="1">Calcs!L430</f>
        <v>0.76553507292401912</v>
      </c>
      <c r="G11" s="269">
        <f ca="1">Calcs!K707/Calcs!$C$2/Calcs!$N$22</f>
        <v>0</v>
      </c>
      <c r="H11" s="269">
        <f t="shared" si="1"/>
        <v>2.97228</v>
      </c>
      <c r="I11" s="269">
        <f ca="1">Calcs!M737/Calcs!$C$2</f>
        <v>2.9978738242297558</v>
      </c>
      <c r="J11" s="269">
        <f>Calcs!AR772/Calcs!$C$2/Calcs!$N$22</f>
        <v>0</v>
      </c>
      <c r="K11" s="269">
        <f t="shared" ca="1" si="0"/>
        <v>9.2919326118847643</v>
      </c>
      <c r="L11" s="379">
        <f ca="1">K11*Inputs!$C$11</f>
        <v>72817.159106296152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1.2831971205975432</v>
      </c>
      <c r="D12" s="269">
        <f>Calcs!J55/Calcs!$C$2/Calcs!$N$22</f>
        <v>1.0120438356164385</v>
      </c>
      <c r="E12" s="269">
        <f>Calcs!Q55</f>
        <v>5.5262486282316309E-2</v>
      </c>
      <c r="F12" s="269">
        <f ca="1">Calcs!L431</f>
        <v>0.65975400041767596</v>
      </c>
      <c r="G12" s="269">
        <f ca="1">Calcs!K708/Calcs!$C$2/Calcs!$N$22</f>
        <v>0</v>
      </c>
      <c r="H12" s="269">
        <f t="shared" si="1"/>
        <v>2.97228</v>
      </c>
      <c r="I12" s="269">
        <f ca="1">Calcs!M738/Calcs!$C$2</f>
        <v>2.9978738242297558</v>
      </c>
      <c r="J12" s="269">
        <f>Calcs!AR773/Calcs!$C$2/Calcs!$N$22</f>
        <v>0</v>
      </c>
      <c r="K12" s="269">
        <f t="shared" ca="1" si="0"/>
        <v>8.9804112671437295</v>
      </c>
      <c r="L12" s="379">
        <f ca="1">K12*Inputs!$C$11</f>
        <v>70375.890936098556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3.9685965308569783E-6</v>
      </c>
      <c r="C13" s="269">
        <f ca="1">(Calcs!D566+Calcs!G566)/Calcs!$C$2/Calcs!$N$22</f>
        <v>0.95906435083092223</v>
      </c>
      <c r="D13" s="269">
        <f>Calcs!J56/Calcs!$C$2/Calcs!$N$22</f>
        <v>0.97939726027397256</v>
      </c>
      <c r="E13" s="269">
        <f>Calcs!Q56</f>
        <v>5.3479825434499653E-2</v>
      </c>
      <c r="F13" s="269">
        <f ca="1">Calcs!L432</f>
        <v>0.49310189030561741</v>
      </c>
      <c r="G13" s="269">
        <f ca="1">Calcs!K709/Calcs!$C$2/Calcs!$N$22</f>
        <v>2.9350398021720499E-7</v>
      </c>
      <c r="H13" s="269">
        <f t="shared" si="1"/>
        <v>2.8764000000000003</v>
      </c>
      <c r="I13" s="269">
        <f ca="1">Calcs!M739/Calcs!$C$2</f>
        <v>2.9011682169965383</v>
      </c>
      <c r="J13" s="269">
        <f>Calcs!AR774/Calcs!$C$2/Calcs!$N$22</f>
        <v>0</v>
      </c>
      <c r="K13" s="269">
        <f t="shared" ca="1" si="0"/>
        <v>8.2626158059420618</v>
      </c>
      <c r="L13" s="379">
        <f ca="1">K13*Inputs!$C$11</f>
        <v>64750.815024845564</v>
      </c>
      <c r="O13" s="320" t="s">
        <v>619</v>
      </c>
      <c r="P13" s="313"/>
      <c r="Q13" s="285">
        <f ca="1">Q7*Inputs!C11/1000</f>
        <v>480.47203957172798</v>
      </c>
      <c r="R13" s="312" t="s">
        <v>685</v>
      </c>
      <c r="S13" s="270">
        <f ca="1">Q13</f>
        <v>480.47203957172798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5.0248575898240708E-2</v>
      </c>
      <c r="C14" s="269">
        <f ca="1">(Calcs!D567+Calcs!G567)/Calcs!$C$2/Calcs!$N$22</f>
        <v>0.35994376599282324</v>
      </c>
      <c r="D14" s="269">
        <f>Calcs!J57/Calcs!$C$2/Calcs!$N$22</f>
        <v>1.0120438356164385</v>
      </c>
      <c r="E14" s="269">
        <f>Calcs!Q57</f>
        <v>5.5262486282316309E-2</v>
      </c>
      <c r="F14" s="269">
        <f ca="1">Calcs!L433</f>
        <v>0.188779948099185</v>
      </c>
      <c r="G14" s="269">
        <f ca="1">Calcs!K710/Calcs!$C$2/Calcs!$N$22</f>
        <v>9.7011641420086912E-3</v>
      </c>
      <c r="H14" s="269">
        <f t="shared" si="1"/>
        <v>2.97228</v>
      </c>
      <c r="I14" s="269">
        <f ca="1">Calcs!M740/Calcs!$C$2</f>
        <v>2.9978738242297558</v>
      </c>
      <c r="J14" s="269">
        <f>Calcs!AR775/Calcs!$C$2/Calcs!$N$22</f>
        <v>0</v>
      </c>
      <c r="K14" s="269">
        <f t="shared" ca="1" si="0"/>
        <v>7.646133600260768</v>
      </c>
      <c r="L14" s="379">
        <f ca="1">K14*Inputs!$C$11</f>
        <v>59919.690571803534</v>
      </c>
      <c r="O14" s="314" t="s">
        <v>620</v>
      </c>
      <c r="P14" s="315"/>
      <c r="Q14" s="285">
        <f ca="1">Q8*Inputs!C11/1000</f>
        <v>447.42040576976905</v>
      </c>
      <c r="R14" s="312" t="s">
        <v>685</v>
      </c>
      <c r="S14" s="270">
        <f ca="1">Q14*Calcs!$N$23/1000*10</f>
        <v>15.266617940380522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1.450424886559788</v>
      </c>
      <c r="C15" s="269">
        <f ca="1">(Calcs!D568+Calcs!G568)/Calcs!$C$2/Calcs!$N$22</f>
        <v>4.8183937908050721E-2</v>
      </c>
      <c r="D15" s="269">
        <f>Calcs!J58/Calcs!$C$2/Calcs!$N$22</f>
        <v>0.97939726027397256</v>
      </c>
      <c r="E15" s="269">
        <f>Calcs!Q58</f>
        <v>5.3479825434499653E-2</v>
      </c>
      <c r="F15" s="269">
        <f ca="1">Calcs!L434</f>
        <v>0.13097446343043037</v>
      </c>
      <c r="G15" s="269">
        <f ca="1">Calcs!K711/Calcs!$C$2/Calcs!$N$22</f>
        <v>0.39107736783419411</v>
      </c>
      <c r="H15" s="269">
        <f t="shared" si="1"/>
        <v>2.8764000000000003</v>
      </c>
      <c r="I15" s="269">
        <f ca="1">Calcs!M741/Calcs!$C$2</f>
        <v>2.9011682169965383</v>
      </c>
      <c r="J15" s="269">
        <f>Calcs!AR776/Calcs!$C$2/Calcs!$N$22</f>
        <v>0</v>
      </c>
      <c r="K15" s="269">
        <f t="shared" ca="1" si="0"/>
        <v>8.8311059584374725</v>
      </c>
      <c r="L15" s="379">
        <f ca="1">K15*Inputs!$C$11</f>
        <v>69205.844953891094</v>
      </c>
      <c r="O15" s="314" t="s">
        <v>621</v>
      </c>
      <c r="P15" s="321"/>
      <c r="Q15" s="285">
        <f ca="1">Q9*Inputs!C11/1000</f>
        <v>927.89244534149702</v>
      </c>
      <c r="R15" s="312" t="s">
        <v>685</v>
      </c>
      <c r="S15" s="270">
        <f ca="1">Q15*Calcs!$N$23/1000</f>
        <v>3.1661004438146692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6.6653190632318298</v>
      </c>
      <c r="C16" s="269">
        <f ca="1">(Calcs!D569+Calcs!G569)/Calcs!$C$2/Calcs!$N$22</f>
        <v>4.1653404658490217E-3</v>
      </c>
      <c r="D16" s="269">
        <f>Calcs!J59/Calcs!$C$2/Calcs!$N$22</f>
        <v>1.0120438356164385</v>
      </c>
      <c r="E16" s="269">
        <f>Calcs!Q59</f>
        <v>5.5262486282316309E-2</v>
      </c>
      <c r="F16" s="269">
        <f ca="1">Calcs!L435</f>
        <v>0.48396502989092754</v>
      </c>
      <c r="G16" s="269">
        <f ca="1">Calcs!K712/Calcs!$C$2/Calcs!$N$22</f>
        <v>0.47676099779093634</v>
      </c>
      <c r="H16" s="269">
        <f t="shared" si="1"/>
        <v>2.97228</v>
      </c>
      <c r="I16" s="269">
        <f ca="1">Calcs!M742/Calcs!$C$2</f>
        <v>2.9978738242297558</v>
      </c>
      <c r="J16" s="269">
        <f>Calcs!AR777/Calcs!$C$2/Calcs!$N$22</f>
        <v>0</v>
      </c>
      <c r="K16" s="269">
        <f t="shared" ca="1" si="0"/>
        <v>14.667670577508055</v>
      </c>
      <c r="L16" s="379">
        <f ca="1">K16*Inputs!$C$11</f>
        <v>114944.66724769963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21.796142685573979</v>
      </c>
      <c r="C17" s="271">
        <f ca="1">SUM(C5:C16)</f>
        <v>6.5743966845198205</v>
      </c>
      <c r="D17" s="271">
        <f>SUM(D5:D16)</f>
        <v>11.916</v>
      </c>
      <c r="E17" s="271">
        <f t="shared" ref="E17:H17" si="2">SUM(E5:E16)</f>
        <v>0.6506712094530791</v>
      </c>
      <c r="F17" s="271">
        <f ca="1">SUM(F5:F16)</f>
        <v>4.9580201099736936</v>
      </c>
      <c r="G17" s="271">
        <f ca="1">SUM(G5:G16)</f>
        <v>2.2159999999999997</v>
      </c>
      <c r="H17" s="271">
        <f t="shared" si="2"/>
        <v>34.996200000000002</v>
      </c>
      <c r="I17" s="271">
        <f ca="1">SUM(I5:I16)</f>
        <v>35.297546640124551</v>
      </c>
      <c r="J17" s="271">
        <f>SUM(J5:J16)</f>
        <v>0</v>
      </c>
      <c r="K17" s="272">
        <f ca="1">SUM(K5:K16)</f>
        <v>118.40497732964513</v>
      </c>
      <c r="L17" s="383">
        <f ca="1">K17*Inputs!$C$11</f>
        <v>927892.44534149708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1616.7884131588648</v>
      </c>
      <c r="R18" s="312" t="s">
        <v>685</v>
      </c>
      <c r="S18" s="323">
        <f ca="1">Q18*Calcs!$N$23/1000</f>
        <v>5.5167110564983171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488.58308310058783</v>
      </c>
      <c r="R19" s="312" t="s">
        <v>685</v>
      </c>
      <c r="S19" s="323">
        <f ca="1">Q19*Calcs!$N$23/1000</f>
        <v>1.667114679089553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2105.3714962594527</v>
      </c>
      <c r="R20" s="312" t="s">
        <v>685</v>
      </c>
      <c r="S20" s="270">
        <f ca="1">Q20*Calcs!$N$23/1000</f>
        <v>7.1838257355878694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3.6697267124262481E-3</v>
      </c>
      <c r="D22" s="269">
        <f t="shared" ref="D22:D33" si="3">D5</f>
        <v>1.0120438356164385</v>
      </c>
      <c r="E22" s="269">
        <f t="shared" ref="E22" si="4">E5</f>
        <v>5.5262486282316309E-2</v>
      </c>
      <c r="F22" s="269">
        <f t="shared" ref="F22:G33" ca="1" si="5">F5</f>
        <v>0.52425049557427694</v>
      </c>
      <c r="G22" s="269">
        <f t="shared" ca="1" si="5"/>
        <v>0.47713931544376847</v>
      </c>
      <c r="H22" s="269">
        <f>Calcs!H747</f>
        <v>2.97228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5.0446458596292265</v>
      </c>
      <c r="L22" s="379">
        <f ca="1">K22*Inputs!$C$11</f>
        <v>39532.871743570395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8.0603139661650346E-3</v>
      </c>
      <c r="D23" s="269">
        <f t="shared" si="3"/>
        <v>0.9141041095890412</v>
      </c>
      <c r="E23" s="269">
        <f t="shared" ref="E23:E33" si="8">E6</f>
        <v>4.9914503738866349E-2</v>
      </c>
      <c r="F23" s="269">
        <f t="shared" ca="1" si="5"/>
        <v>0.35453791136267887</v>
      </c>
      <c r="G23" s="269">
        <f t="shared" ca="1" si="5"/>
        <v>0.47345163731945161</v>
      </c>
      <c r="H23" s="269">
        <f>Calcs!H748</f>
        <v>2.6846399999999999</v>
      </c>
      <c r="I23" s="269">
        <f>IF(Inputs!$C$66=2,0,Outputs!I6)</f>
        <v>0</v>
      </c>
      <c r="J23" s="269">
        <f t="shared" si="6"/>
        <v>0</v>
      </c>
      <c r="K23" s="381">
        <f t="shared" ca="1" si="7"/>
        <v>4.4847084759762028</v>
      </c>
      <c r="L23" s="379">
        <f ca="1">K23*Inputs!$C$11</f>
        <v>35144.866442835111</v>
      </c>
      <c r="O23" s="313" t="s">
        <v>616</v>
      </c>
      <c r="P23" s="313"/>
      <c r="Q23" s="270">
        <f ca="1">Calcs!U9*$Q$13+SUM(Calcs!T15:U15)*$Q$14</f>
        <v>382.0599944932008</v>
      </c>
      <c r="R23" s="312" t="s">
        <v>622</v>
      </c>
      <c r="S23" s="270">
        <f ca="1">Q23</f>
        <v>382.0599944932008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6.4502009694784992E-2</v>
      </c>
      <c r="D24" s="269">
        <f t="shared" si="3"/>
        <v>1.0120438356164385</v>
      </c>
      <c r="E24" s="269">
        <f t="shared" si="8"/>
        <v>5.5262486282316309E-2</v>
      </c>
      <c r="F24" s="269">
        <f t="shared" ca="1" si="5"/>
        <v>0.14009990628544955</v>
      </c>
      <c r="G24" s="269">
        <f t="shared" ca="1" si="5"/>
        <v>0.3690158446488887</v>
      </c>
      <c r="H24" s="269">
        <f>Calcs!H749</f>
        <v>2.97228</v>
      </c>
      <c r="I24" s="269">
        <f>IF(Inputs!$C$66=2,0,Outputs!I7)</f>
        <v>0</v>
      </c>
      <c r="J24" s="269">
        <f t="shared" si="6"/>
        <v>0</v>
      </c>
      <c r="K24" s="381">
        <f t="shared" ca="1" si="7"/>
        <v>4.6132040825278784</v>
      </c>
      <c r="L24" s="379">
        <f ca="1">K24*Inputs!$C$11</f>
        <v>36151.835113137975</v>
      </c>
      <c r="O24" s="313" t="s">
        <v>617</v>
      </c>
      <c r="P24" s="313"/>
      <c r="Q24" s="285">
        <f ca="1">Calcs!U10*$Q$13+SUM(Calcs!T16:U16)*$Q$14</f>
        <v>0.62553207213609163</v>
      </c>
      <c r="R24" s="312" t="s">
        <v>622</v>
      </c>
      <c r="S24" s="285">
        <f t="shared" ref="S24:S25" ca="1" si="9">Q24</f>
        <v>0.62553207213609163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0.31062000538309237</v>
      </c>
      <c r="D25" s="269">
        <f t="shared" si="3"/>
        <v>0.97939726027397256</v>
      </c>
      <c r="E25" s="269">
        <f t="shared" si="8"/>
        <v>5.3479825434499653E-2</v>
      </c>
      <c r="F25" s="269">
        <f t="shared" ca="1" si="5"/>
        <v>0.16604310923930873</v>
      </c>
      <c r="G25" s="269">
        <f t="shared" ca="1" si="5"/>
        <v>1.8817040286412592E-2</v>
      </c>
      <c r="H25" s="269">
        <f>Calcs!H750</f>
        <v>2.8764000000000003</v>
      </c>
      <c r="I25" s="269">
        <f>IF(Inputs!$C$66=2,0,Outputs!I8)</f>
        <v>0</v>
      </c>
      <c r="J25" s="269">
        <f t="shared" si="6"/>
        <v>0</v>
      </c>
      <c r="K25" s="381">
        <f t="shared" ca="1" si="7"/>
        <v>4.4047572406172861</v>
      </c>
      <c r="L25" s="379">
        <f ca="1">K25*Inputs!$C$11</f>
        <v>34518.320591821423</v>
      </c>
      <c r="O25" s="313" t="s">
        <v>618</v>
      </c>
      <c r="P25" s="313"/>
      <c r="Q25" s="285">
        <f ca="1">Calcs!U11*$Q$13+SUM(Calcs!T17:U17)*$Q$14</f>
        <v>1.8729071846248773</v>
      </c>
      <c r="R25" s="312" t="s">
        <v>622</v>
      </c>
      <c r="S25" s="285">
        <f t="shared" ca="1" si="9"/>
        <v>1.8729071846248773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0.82065278103321193</v>
      </c>
      <c r="D26" s="269">
        <f t="shared" si="3"/>
        <v>1.0120438356164385</v>
      </c>
      <c r="E26" s="269">
        <f t="shared" si="8"/>
        <v>5.5262486282316309E-2</v>
      </c>
      <c r="F26" s="269">
        <f t="shared" ca="1" si="5"/>
        <v>0.42196891905163286</v>
      </c>
      <c r="G26" s="269">
        <f t="shared" ca="1" si="5"/>
        <v>3.6339030134307083E-5</v>
      </c>
      <c r="H26" s="269">
        <f>Calcs!H751</f>
        <v>2.97228</v>
      </c>
      <c r="I26" s="269">
        <f>IF(Inputs!$C$66=2,0,Outputs!I9)</f>
        <v>0</v>
      </c>
      <c r="J26" s="269">
        <f t="shared" si="6"/>
        <v>0</v>
      </c>
      <c r="K26" s="381">
        <f t="shared" ca="1" si="7"/>
        <v>5.282244361013734</v>
      </c>
      <c r="L26" s="379">
        <f ca="1">K26*Inputs!$C$11</f>
        <v>41394.83615952023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1.2233999391027173</v>
      </c>
      <c r="D27" s="269">
        <f t="shared" si="3"/>
        <v>0.97939726027397256</v>
      </c>
      <c r="E27" s="269">
        <f t="shared" si="8"/>
        <v>5.3479825434499653E-2</v>
      </c>
      <c r="F27" s="269">
        <f t="shared" ca="1" si="5"/>
        <v>0.62900936339249092</v>
      </c>
      <c r="G27" s="269">
        <f t="shared" ca="1" si="5"/>
        <v>2.2494697461615963E-13</v>
      </c>
      <c r="H27" s="269">
        <f>Calcs!H752</f>
        <v>2.8764000000000003</v>
      </c>
      <c r="I27" s="269">
        <f>IF(Inputs!$C$66=2,0,Outputs!I10)</f>
        <v>0</v>
      </c>
      <c r="J27" s="269">
        <f t="shared" si="6"/>
        <v>0</v>
      </c>
      <c r="K27" s="381">
        <f t="shared" ca="1" si="7"/>
        <v>5.7616863882039056</v>
      </c>
      <c r="L27" s="379">
        <f ca="1">K27*Inputs!$C$11</f>
        <v>45152.031549798725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1.4889373928322347</v>
      </c>
      <c r="D28" s="269">
        <f t="shared" si="3"/>
        <v>1.0120438356164385</v>
      </c>
      <c r="E28" s="269">
        <f t="shared" si="8"/>
        <v>5.5262486282316309E-2</v>
      </c>
      <c r="F28" s="269">
        <f t="shared" ca="1" si="5"/>
        <v>0.76553507292401912</v>
      </c>
      <c r="G28" s="269">
        <f t="shared" ca="1" si="5"/>
        <v>0</v>
      </c>
      <c r="H28" s="269">
        <f>Calcs!H753</f>
        <v>2.97228</v>
      </c>
      <c r="I28" s="269">
        <f>IF(Inputs!$C$66=2,0,Outputs!I11)</f>
        <v>0</v>
      </c>
      <c r="J28" s="269">
        <f t="shared" si="6"/>
        <v>0</v>
      </c>
      <c r="K28" s="381">
        <f t="shared" ca="1" si="7"/>
        <v>6.2940587876550085</v>
      </c>
      <c r="L28" s="379">
        <f ca="1">K28*Inputs!$C$11</f>
        <v>49324.021095337244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1.2831971205975432</v>
      </c>
      <c r="D29" s="269">
        <f t="shared" si="3"/>
        <v>1.0120438356164385</v>
      </c>
      <c r="E29" s="269">
        <f t="shared" si="8"/>
        <v>5.5262486282316309E-2</v>
      </c>
      <c r="F29" s="269">
        <f t="shared" ca="1" si="5"/>
        <v>0.65975400041767596</v>
      </c>
      <c r="G29" s="269">
        <f t="shared" ca="1" si="5"/>
        <v>0</v>
      </c>
      <c r="H29" s="269">
        <f>Calcs!H754</f>
        <v>2.97228</v>
      </c>
      <c r="I29" s="269">
        <f>IF(Inputs!$C$66=2,0,Outputs!I12)</f>
        <v>0</v>
      </c>
      <c r="J29" s="269">
        <f t="shared" si="6"/>
        <v>0</v>
      </c>
      <c r="K29" s="381">
        <f t="shared" ca="1" si="7"/>
        <v>5.9825374429139737</v>
      </c>
      <c r="L29" s="379">
        <f ca="1">K29*Inputs!$C$11</f>
        <v>46882.752925139648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0.95906435083092223</v>
      </c>
      <c r="D30" s="269">
        <f t="shared" si="3"/>
        <v>0.97939726027397256</v>
      </c>
      <c r="E30" s="269">
        <f t="shared" si="8"/>
        <v>5.3479825434499653E-2</v>
      </c>
      <c r="F30" s="269">
        <f t="shared" ca="1" si="5"/>
        <v>0.49310189030561741</v>
      </c>
      <c r="G30" s="269">
        <f t="shared" ca="1" si="5"/>
        <v>2.9350398021720499E-7</v>
      </c>
      <c r="H30" s="269">
        <f>Calcs!H755</f>
        <v>2.8764000000000003</v>
      </c>
      <c r="I30" s="269">
        <f>IF(Inputs!$C$66=2,0,Outputs!I13)</f>
        <v>0</v>
      </c>
      <c r="J30" s="269">
        <f t="shared" si="6"/>
        <v>0</v>
      </c>
      <c r="K30" s="381">
        <f t="shared" ca="1" si="7"/>
        <v>5.361443620348993</v>
      </c>
      <c r="L30" s="379">
        <f ca="1">K30*Inputs!$C$11</f>
        <v>42015.48907522692</v>
      </c>
      <c r="O30" s="313" t="s">
        <v>696</v>
      </c>
      <c r="P30" s="313"/>
      <c r="Q30" s="325">
        <f>Calcs!C821</f>
        <v>537.50246085604374</v>
      </c>
      <c r="R30" s="312" t="s">
        <v>589</v>
      </c>
      <c r="S30" s="325">
        <f>Q30*Calcs!$N$23/Calcs!$N$20</f>
        <v>170.38738279529662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0.35994376599282324</v>
      </c>
      <c r="D31" s="269">
        <f t="shared" si="3"/>
        <v>1.0120438356164385</v>
      </c>
      <c r="E31" s="269">
        <f t="shared" si="8"/>
        <v>5.5262486282316309E-2</v>
      </c>
      <c r="F31" s="269">
        <f t="shared" ca="1" si="5"/>
        <v>0.188779948099185</v>
      </c>
      <c r="G31" s="269">
        <f t="shared" ca="1" si="5"/>
        <v>9.7011641420086912E-3</v>
      </c>
      <c r="H31" s="269">
        <f>Calcs!H756</f>
        <v>2.97228</v>
      </c>
      <c r="I31" s="269">
        <f>IF(Inputs!$C$66=2,0,Outputs!I14)</f>
        <v>0</v>
      </c>
      <c r="J31" s="269">
        <f t="shared" si="6"/>
        <v>0</v>
      </c>
      <c r="K31" s="381">
        <f t="shared" ca="1" si="7"/>
        <v>4.5980112001327722</v>
      </c>
      <c r="L31" s="379">
        <f ca="1">K31*Inputs!$C$11</f>
        <v>36032.774570960486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4.8183937908050721E-2</v>
      </c>
      <c r="D32" s="269">
        <f t="shared" si="3"/>
        <v>0.97939726027397256</v>
      </c>
      <c r="E32" s="269">
        <f t="shared" si="8"/>
        <v>5.3479825434499653E-2</v>
      </c>
      <c r="F32" s="269">
        <f t="shared" ca="1" si="5"/>
        <v>0.13097446343043037</v>
      </c>
      <c r="G32" s="269">
        <f t="shared" ca="1" si="5"/>
        <v>0.39107736783419411</v>
      </c>
      <c r="H32" s="269">
        <f>Calcs!H757</f>
        <v>2.8764000000000003</v>
      </c>
      <c r="I32" s="269">
        <f>IF(Inputs!$C$66=2,0,Outputs!I15)</f>
        <v>0</v>
      </c>
      <c r="J32" s="269">
        <f t="shared" si="6"/>
        <v>0</v>
      </c>
      <c r="K32" s="381">
        <f t="shared" ca="1" si="7"/>
        <v>4.4795128548811478</v>
      </c>
      <c r="L32" s="379">
        <f ca="1">K32*Inputs!$C$11</f>
        <v>35104.150438561606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4.1653404658490217E-3</v>
      </c>
      <c r="D33" s="269">
        <f t="shared" si="3"/>
        <v>1.0120438356164385</v>
      </c>
      <c r="E33" s="269">
        <f t="shared" si="8"/>
        <v>5.5262486282316309E-2</v>
      </c>
      <c r="F33" s="269">
        <f t="shared" ca="1" si="5"/>
        <v>0.48396502989092754</v>
      </c>
      <c r="G33" s="269">
        <f t="shared" ca="1" si="5"/>
        <v>0.47676099779093634</v>
      </c>
      <c r="H33" s="269">
        <f>Calcs!H758</f>
        <v>2.97228</v>
      </c>
      <c r="I33" s="269">
        <f>IF(Inputs!$C$66=2,0,Outputs!I16)</f>
        <v>0</v>
      </c>
      <c r="J33" s="269">
        <f t="shared" si="6"/>
        <v>0</v>
      </c>
      <c r="K33" s="381">
        <f t="shared" ca="1" si="7"/>
        <v>5.0044776900464676</v>
      </c>
      <c r="L33" s="379">
        <f ca="1">K33*Inputs!$C$11</f>
        <v>39218.089865818147</v>
      </c>
      <c r="O33" s="314" t="s">
        <v>693</v>
      </c>
      <c r="P33" s="313"/>
      <c r="Q33" s="285">
        <f ca="1">Q6/Q28</f>
        <v>0.41656701731629964</v>
      </c>
      <c r="R33" s="313"/>
      <c r="S33" s="285">
        <f ca="1">Q33</f>
        <v>0.41656701731629964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6.5743966845198205</v>
      </c>
      <c r="D34" s="272">
        <f>SUM(D22:D33)</f>
        <v>11.916</v>
      </c>
      <c r="E34" s="272">
        <f t="shared" si="10"/>
        <v>0.6506712094530791</v>
      </c>
      <c r="F34" s="272">
        <f ca="1">SUM(F22:F33)</f>
        <v>4.9580201099736936</v>
      </c>
      <c r="G34" s="272">
        <f ca="1">SUM(G22:G33)</f>
        <v>2.2159999999999997</v>
      </c>
      <c r="H34" s="272">
        <f t="shared" si="10"/>
        <v>34.996200000000002</v>
      </c>
      <c r="I34" s="272">
        <f t="shared" si="10"/>
        <v>0</v>
      </c>
      <c r="J34" s="272">
        <f>SUM(J22:J33)</f>
        <v>0</v>
      </c>
      <c r="K34" s="382">
        <f ca="1">SUM(K22:K33)</f>
        <v>61.311288003946601</v>
      </c>
      <c r="L34" s="383">
        <f ca="1">K34*Inputs!$C$11</f>
        <v>480472.03957172798</v>
      </c>
      <c r="O34" s="314" t="s">
        <v>691</v>
      </c>
      <c r="P34" s="313"/>
      <c r="Q34" s="285">
        <f ca="1">Q9/Q29</f>
        <v>0.59202488664822572</v>
      </c>
      <c r="R34" s="313"/>
      <c r="S34" s="285">
        <f t="shared" ref="S34:S35" ca="1" si="11">Q34</f>
        <v>0.59202488664822572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0.49982802394814796</v>
      </c>
      <c r="R35" s="313"/>
      <c r="S35" s="285">
        <f t="shared" ca="1" si="11"/>
        <v>0.49982802394814796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7.2385890908287385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2.9978738242297558</v>
      </c>
      <c r="J39" s="269"/>
      <c r="K39" s="381">
        <f t="shared" ref="K39:K50" ca="1" si="13">SUM(B39:I39)-J39</f>
        <v>10.236462915058494</v>
      </c>
      <c r="L39" s="379">
        <f ca="1">K39*Inputs!$C$11</f>
        <v>80219.065280147406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4.8415228574839064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2.7077570025301014</v>
      </c>
      <c r="J40" s="269"/>
      <c r="K40" s="381">
        <f t="shared" ca="1" si="13"/>
        <v>7.5492798600140079</v>
      </c>
      <c r="L40" s="379">
        <f ca="1">K40*Inputs!$C$11</f>
        <v>59160.686550985774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1.4638371117045077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2.9978738242297558</v>
      </c>
      <c r="J41" s="269"/>
      <c r="K41" s="381">
        <f t="shared" ca="1" si="13"/>
        <v>4.4617109359342635</v>
      </c>
      <c r="L41" s="379">
        <f ca="1">K41*Inputs!$C$11</f>
        <v>34964.643920542454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8.5776655780860064E-2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2.9011682169965383</v>
      </c>
      <c r="J42" s="269"/>
      <c r="K42" s="381">
        <f t="shared" ca="1" si="13"/>
        <v>2.9869448727773982</v>
      </c>
      <c r="L42" s="379">
        <f ca="1">K42*Inputs!$C$11</f>
        <v>23407.49219000736</v>
      </c>
    </row>
    <row r="43" spans="1:20" ht="13.5" customHeight="1" x14ac:dyDescent="0.2">
      <c r="A43" s="9" t="s">
        <v>118</v>
      </c>
      <c r="B43" s="269">
        <f ca="1">Calcs!F562/Calcs!$C$2/Calcs!$N$22</f>
        <v>4.2047548569910709E-4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2.9978738242297558</v>
      </c>
      <c r="J43" s="269"/>
      <c r="K43" s="381">
        <f t="shared" ca="1" si="13"/>
        <v>2.9982942997154547</v>
      </c>
      <c r="L43" s="379">
        <f ca="1">K43*Inputs!$C$11</f>
        <v>23496.433109150134</v>
      </c>
    </row>
    <row r="44" spans="1:20" ht="13.5" customHeight="1" x14ac:dyDescent="0.2">
      <c r="A44" s="9" t="s">
        <v>119</v>
      </c>
      <c r="B44" s="269">
        <f ca="1">Calcs!F563/Calcs!$C$2/Calcs!$N$22</f>
        <v>3.8799269593040349E-12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2.9011682169965383</v>
      </c>
      <c r="J44" s="269"/>
      <c r="K44" s="381">
        <f t="shared" ca="1" si="13"/>
        <v>2.9011682170004183</v>
      </c>
      <c r="L44" s="379">
        <f ca="1">K44*Inputs!$C$11</f>
        <v>22735.294849345479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2.9978738242297558</v>
      </c>
      <c r="J45" s="269"/>
      <c r="K45" s="381">
        <f t="shared" ca="1" si="13"/>
        <v>2.9978738242297558</v>
      </c>
      <c r="L45" s="379">
        <f ca="1">K45*Inputs!$C$11</f>
        <v>23493.138010958904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2.9978738242297558</v>
      </c>
      <c r="J46" s="269"/>
      <c r="K46" s="381">
        <f t="shared" ca="1" si="13"/>
        <v>2.9978738242297558</v>
      </c>
      <c r="L46" s="379">
        <f ca="1">K46*Inputs!$C$11</f>
        <v>23493.138010958904</v>
      </c>
    </row>
    <row r="47" spans="1:20" ht="13.5" customHeight="1" x14ac:dyDescent="0.2">
      <c r="A47" s="9" t="s">
        <v>122</v>
      </c>
      <c r="B47" s="269">
        <f ca="1">Calcs!F566/Calcs!$C$2/Calcs!$N$22</f>
        <v>3.9685965308569783E-6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2.9011682169965383</v>
      </c>
      <c r="J47" s="269"/>
      <c r="K47" s="381">
        <f t="shared" ca="1" si="13"/>
        <v>2.9011721855930692</v>
      </c>
      <c r="L47" s="379">
        <f ca="1">K47*Inputs!$C$11</f>
        <v>22735.325949618647</v>
      </c>
    </row>
    <row r="48" spans="1:20" ht="13.5" customHeight="1" x14ac:dyDescent="0.2">
      <c r="A48" s="9" t="s">
        <v>123</v>
      </c>
      <c r="B48" s="269">
        <f ca="1">Calcs!F567/Calcs!$C$2/Calcs!$N$22</f>
        <v>5.0248575898240708E-2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2.9978738242297558</v>
      </c>
      <c r="J48" s="269"/>
      <c r="K48" s="381">
        <f t="shared" ca="1" si="13"/>
        <v>3.0481224001279963</v>
      </c>
      <c r="L48" s="379">
        <f ca="1">K48*Inputs!$C$11</f>
        <v>23886.916000843055</v>
      </c>
    </row>
    <row r="49" spans="1:12" ht="13.5" customHeight="1" x14ac:dyDescent="0.2">
      <c r="A49" s="9" t="s">
        <v>124</v>
      </c>
      <c r="B49" s="269">
        <f ca="1">Calcs!F568/Calcs!$C$2/Calcs!$N$22</f>
        <v>1.450424886559788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2.9011682169965383</v>
      </c>
      <c r="J49" s="269"/>
      <c r="K49" s="381">
        <f t="shared" ca="1" si="13"/>
        <v>4.3515931035563264</v>
      </c>
      <c r="L49" s="379">
        <f ca="1">K49*Inputs!$C$11</f>
        <v>34101.694515329509</v>
      </c>
    </row>
    <row r="50" spans="1:12" ht="13.5" customHeight="1" x14ac:dyDescent="0.2">
      <c r="A50" s="9" t="s">
        <v>125</v>
      </c>
      <c r="B50" s="269">
        <f ca="1">Calcs!F569/Calcs!$C$2/Calcs!$N$22</f>
        <v>6.6653190632318298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2.9978738242297558</v>
      </c>
      <c r="J50" s="269"/>
      <c r="K50" s="381">
        <f t="shared" ca="1" si="13"/>
        <v>9.6631928874615856</v>
      </c>
      <c r="L50" s="379">
        <f ca="1">K50*Inputs!$C$11</f>
        <v>75726.577381881463</v>
      </c>
    </row>
    <row r="51" spans="1:12" ht="13.5" customHeight="1" x14ac:dyDescent="0.2">
      <c r="A51" s="9" t="s">
        <v>178</v>
      </c>
      <c r="B51" s="272">
        <f ca="1">SUM(B39:B50)</f>
        <v>21.796142685573979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35.297546640124551</v>
      </c>
      <c r="J51" s="272">
        <f t="shared" si="14"/>
        <v>0</v>
      </c>
      <c r="K51" s="382">
        <f ca="1">SUM(K39:K50)</f>
        <v>57.09368932569852</v>
      </c>
      <c r="L51" s="383">
        <f ca="1">K51*Inputs!$C$11</f>
        <v>447420.40576976904</v>
      </c>
    </row>
  </sheetData>
  <pageMargins left="0.7" right="0.7" top="0.75" bottom="0.75" header="0.3" footer="0.3"/>
  <pageSetup paperSize="9"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7836.6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1.8972</v>
      </c>
      <c r="AB5" s="569">
        <f>O5*$F$18</f>
        <v>0.66959999999999997</v>
      </c>
      <c r="AC5" s="569">
        <f>O5*$G$18</f>
        <v>0</v>
      </c>
      <c r="AD5" s="569">
        <f>O5*$H$18</f>
        <v>0.11159999999999999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-3.9166729917773568</v>
      </c>
      <c r="CS5" s="584">
        <f t="shared" ref="CS5:CS16" ca="1" si="1">SUMPRODUCT($BP$19:$CM$19,AR5:BO5)/SUM($BP$19:$CM$19)</f>
        <v>-6.4193548387096753</v>
      </c>
      <c r="CT5" s="510"/>
      <c r="CU5" s="584">
        <f t="shared" ref="CU5:CU16" ca="1" si="2">SUMPRODUCT($BP$18:$CM$18,BP5:CM5)/SUM($BP$18:$CM$18)</f>
        <v>103.7628083491461</v>
      </c>
      <c r="CV5" s="584">
        <f t="shared" ref="CV5:CV16" ca="1" si="3">SUMPRODUCT($BP$19:$CM$19,BP5:CM5)/SUM($BP$19:$CM$19)</f>
        <v>0</v>
      </c>
      <c r="CW5" s="584">
        <f t="shared" ref="CW5:CW16" ca="1" si="4">$CU5*AA5</f>
        <v>196.85879999999997</v>
      </c>
      <c r="CX5" s="584">
        <f t="shared" ref="CX5:CX16" ca="1" si="5">$CV5*AB5</f>
        <v>0</v>
      </c>
      <c r="CY5" s="584">
        <f t="shared" ref="CY5:CY16" ca="1" si="6">$CU5*AC5</f>
        <v>0</v>
      </c>
      <c r="CZ5" s="584">
        <f t="shared" ref="CZ5:CZ16" ca="1" si="7">$CV5*AD5</f>
        <v>0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1</v>
      </c>
      <c r="DD5" s="569">
        <f t="shared" ref="DD5:DD16" ca="1" si="10">CX5/$DA5</f>
        <v>0</v>
      </c>
      <c r="DE5" s="569">
        <f t="shared" ref="DE5:DE16" ca="1" si="11">CY5/$DA5</f>
        <v>0</v>
      </c>
      <c r="DF5" s="569">
        <f t="shared" ref="DF5:DF16" ca="1" si="12">CZ5/$DA5</f>
        <v>0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0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1.7136</v>
      </c>
      <c r="AB6" s="569">
        <f t="shared" ref="AB6:AB16" si="14">O6*$F$18</f>
        <v>0.6048</v>
      </c>
      <c r="AC6" s="569">
        <f t="shared" ref="AC6:AC16" si="15">O6*$G$18</f>
        <v>0</v>
      </c>
      <c r="AD6" s="569">
        <f t="shared" ref="AD6:AD16" si="16">O6*$H$18</f>
        <v>0.1008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-1.7182773109243696</v>
      </c>
      <c r="CS6" s="584">
        <f t="shared" ca="1" si="1"/>
        <v>-4.4984693877551027</v>
      </c>
      <c r="CT6" s="510"/>
      <c r="CU6" s="584">
        <f t="shared" ca="1" si="2"/>
        <v>146.48739495798318</v>
      </c>
      <c r="CV6" s="584">
        <f t="shared" ca="1" si="3"/>
        <v>0.43877551020408168</v>
      </c>
      <c r="CW6" s="584">
        <f t="shared" ca="1" si="4"/>
        <v>251.02079999999998</v>
      </c>
      <c r="CX6" s="584">
        <f t="shared" ca="1" si="5"/>
        <v>0.26537142857142859</v>
      </c>
      <c r="CY6" s="584">
        <f t="shared" ca="1" si="6"/>
        <v>0</v>
      </c>
      <c r="CZ6" s="584">
        <f t="shared" ca="1" si="7"/>
        <v>4.4228571428571437E-2</v>
      </c>
      <c r="DA6" s="691">
        <f t="shared" ca="1" si="8"/>
        <v>251.33039999999997</v>
      </c>
      <c r="DB6" s="539"/>
      <c r="DC6" s="569">
        <f t="shared" ca="1" si="9"/>
        <v>0.99876815538430697</v>
      </c>
      <c r="DD6" s="569">
        <f t="shared" ca="1" si="10"/>
        <v>1.0558668134512522E-3</v>
      </c>
      <c r="DE6" s="569">
        <f t="shared" ca="1" si="11"/>
        <v>0</v>
      </c>
      <c r="DF6" s="569">
        <f t="shared" ca="1" si="12"/>
        <v>1.759778022418754E-4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17</v>
      </c>
      <c r="E7" s="510"/>
      <c r="F7" s="529" t="s">
        <v>89</v>
      </c>
      <c r="G7" s="530">
        <f>Inputs!$C$15+1</f>
        <v>7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1.8972</v>
      </c>
      <c r="AB7" s="569">
        <f t="shared" si="14"/>
        <v>0.66959999999999997</v>
      </c>
      <c r="AC7" s="569">
        <f t="shared" si="15"/>
        <v>0</v>
      </c>
      <c r="AD7" s="569">
        <f t="shared" si="16"/>
        <v>0.11159999999999999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4.7924098671726743</v>
      </c>
      <c r="CS7" s="584">
        <f t="shared" ca="1" si="1"/>
        <v>1.4755760368663595</v>
      </c>
      <c r="CT7" s="510"/>
      <c r="CU7" s="584">
        <f t="shared" ca="1" si="2"/>
        <v>200.45920303605311</v>
      </c>
      <c r="CV7" s="584">
        <f t="shared" ca="1" si="3"/>
        <v>4.622119815668202</v>
      </c>
      <c r="CW7" s="584">
        <f t="shared" ca="1" si="4"/>
        <v>380.31119999999999</v>
      </c>
      <c r="CX7" s="584">
        <f t="shared" ca="1" si="5"/>
        <v>3.0949714285714278</v>
      </c>
      <c r="CY7" s="584">
        <f t="shared" ca="1" si="6"/>
        <v>0</v>
      </c>
      <c r="CZ7" s="584">
        <f t="shared" ca="1" si="7"/>
        <v>0.5158285714285713</v>
      </c>
      <c r="DA7" s="691">
        <f t="shared" ca="1" si="8"/>
        <v>383.92200000000003</v>
      </c>
      <c r="DB7" s="539"/>
      <c r="DC7" s="569">
        <f t="shared" ca="1" si="9"/>
        <v>0.99059496460218477</v>
      </c>
      <c r="DD7" s="569">
        <f t="shared" ca="1" si="10"/>
        <v>8.0614589124130102E-3</v>
      </c>
      <c r="DE7" s="569">
        <f t="shared" ca="1" si="11"/>
        <v>0</v>
      </c>
      <c r="DF7" s="569">
        <f t="shared" ca="1" si="12"/>
        <v>1.3435764854021683E-3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17</v>
      </c>
      <c r="E8" s="510"/>
      <c r="F8" s="531" t="s">
        <v>93</v>
      </c>
      <c r="G8" s="532">
        <f>IF(G7-G6&lt;0,7+(G7-G6),G7-G6)</f>
        <v>7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1.8360000000000001</v>
      </c>
      <c r="AB8" s="569">
        <f t="shared" si="14"/>
        <v>0.64800000000000002</v>
      </c>
      <c r="AC8" s="569">
        <f t="shared" si="15"/>
        <v>0</v>
      </c>
      <c r="AD8" s="569">
        <f t="shared" si="16"/>
        <v>0.108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10.957450980392156</v>
      </c>
      <c r="CS8" s="584">
        <f t="shared" ca="1" si="1"/>
        <v>7.4642857142857153</v>
      </c>
      <c r="CT8" s="510"/>
      <c r="CU8" s="584">
        <f t="shared" ca="1" si="2"/>
        <v>249.3294117647059</v>
      </c>
      <c r="CV8" s="584">
        <f t="shared" ca="1" si="3"/>
        <v>22.219047619047618</v>
      </c>
      <c r="CW8" s="584">
        <f t="shared" ca="1" si="4"/>
        <v>457.76880000000006</v>
      </c>
      <c r="CX8" s="584">
        <f t="shared" ca="1" si="5"/>
        <v>14.397942857142857</v>
      </c>
      <c r="CY8" s="584">
        <f t="shared" ca="1" si="6"/>
        <v>0</v>
      </c>
      <c r="CZ8" s="584">
        <f t="shared" ca="1" si="7"/>
        <v>2.3996571428571429</v>
      </c>
      <c r="DA8" s="691">
        <f t="shared" ca="1" si="8"/>
        <v>474.5664000000001</v>
      </c>
      <c r="DB8" s="539"/>
      <c r="DC8" s="569">
        <f t="shared" ca="1" si="9"/>
        <v>0.96460432091273207</v>
      </c>
      <c r="DD8" s="569">
        <f t="shared" ca="1" si="10"/>
        <v>3.0339153503372455E-2</v>
      </c>
      <c r="DE8" s="569">
        <f t="shared" ca="1" si="11"/>
        <v>0</v>
      </c>
      <c r="DF8" s="569">
        <f t="shared" ca="1" si="12"/>
        <v>5.0565255838954095E-3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1.8972</v>
      </c>
      <c r="AB9" s="569">
        <f t="shared" si="14"/>
        <v>0.66959999999999997</v>
      </c>
      <c r="AC9" s="569">
        <f t="shared" si="15"/>
        <v>0</v>
      </c>
      <c r="AD9" s="569">
        <f t="shared" si="16"/>
        <v>0.11159999999999999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17.129411764705882</v>
      </c>
      <c r="CS9" s="584">
        <f t="shared" ca="1" si="1"/>
        <v>10.847465437788017</v>
      </c>
      <c r="CT9" s="510"/>
      <c r="CU9" s="584">
        <f t="shared" ca="1" si="2"/>
        <v>335.07969639468689</v>
      </c>
      <c r="CV9" s="584">
        <f t="shared" ca="1" si="3"/>
        <v>39.930875576036861</v>
      </c>
      <c r="CW9" s="584">
        <f t="shared" ca="1" si="4"/>
        <v>635.71319999999992</v>
      </c>
      <c r="CX9" s="584">
        <f t="shared" ca="1" si="5"/>
        <v>26.737714285714283</v>
      </c>
      <c r="CY9" s="584">
        <f t="shared" ca="1" si="6"/>
        <v>0</v>
      </c>
      <c r="CZ9" s="584">
        <f t="shared" ca="1" si="7"/>
        <v>4.4562857142857135</v>
      </c>
      <c r="DA9" s="691">
        <f t="shared" ca="1" si="8"/>
        <v>666.90719999999999</v>
      </c>
      <c r="DB9" s="539"/>
      <c r="DC9" s="569">
        <f t="shared" ca="1" si="9"/>
        <v>0.95322587610390164</v>
      </c>
      <c r="DD9" s="569">
        <f t="shared" ca="1" si="10"/>
        <v>4.0092106196655673E-2</v>
      </c>
      <c r="DE9" s="569">
        <f t="shared" ca="1" si="11"/>
        <v>0</v>
      </c>
      <c r="DF9" s="569">
        <f t="shared" ca="1" si="12"/>
        <v>6.6820176994426116E-3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65.88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1.8360000000000001</v>
      </c>
      <c r="AB10" s="569">
        <f t="shared" si="14"/>
        <v>0.64800000000000002</v>
      </c>
      <c r="AC10" s="569">
        <f t="shared" si="15"/>
        <v>0</v>
      </c>
      <c r="AD10" s="569">
        <f t="shared" si="16"/>
        <v>0.108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22.578431372549019</v>
      </c>
      <c r="CS10" s="584">
        <f t="shared" ca="1" si="1"/>
        <v>17.543809523809522</v>
      </c>
      <c r="CT10" s="510"/>
      <c r="CU10" s="584">
        <f t="shared" ca="1" si="2"/>
        <v>349.9588235294118</v>
      </c>
      <c r="CV10" s="584">
        <f t="shared" ca="1" si="3"/>
        <v>49.171428571428571</v>
      </c>
      <c r="CW10" s="584">
        <f t="shared" ca="1" si="4"/>
        <v>642.52440000000013</v>
      </c>
      <c r="CX10" s="584">
        <f t="shared" ca="1" si="5"/>
        <v>31.863085714285713</v>
      </c>
      <c r="CY10" s="584">
        <f t="shared" ca="1" si="6"/>
        <v>0</v>
      </c>
      <c r="CZ10" s="584">
        <f t="shared" ca="1" si="7"/>
        <v>5.3105142857142855</v>
      </c>
      <c r="DA10" s="691">
        <f t="shared" ca="1" si="8"/>
        <v>679.69800000000009</v>
      </c>
      <c r="DB10" s="539"/>
      <c r="DC10" s="569">
        <f t="shared" ca="1" si="9"/>
        <v>0.94530865178358625</v>
      </c>
      <c r="DD10" s="569">
        <f t="shared" ca="1" si="10"/>
        <v>4.6878298471211784E-2</v>
      </c>
      <c r="DE10" s="569">
        <f t="shared" ca="1" si="11"/>
        <v>0</v>
      </c>
      <c r="DF10" s="569">
        <f t="shared" ca="1" si="12"/>
        <v>7.8130497452019651E-3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118.95264116575594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1.8972</v>
      </c>
      <c r="AB11" s="569">
        <f t="shared" si="14"/>
        <v>0.66959999999999997</v>
      </c>
      <c r="AC11" s="569">
        <f t="shared" si="15"/>
        <v>0</v>
      </c>
      <c r="AD11" s="569">
        <f t="shared" si="16"/>
        <v>0.11159999999999999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25.636053130929788</v>
      </c>
      <c r="CS11" s="584">
        <f t="shared" ca="1" si="1"/>
        <v>20.470967741935482</v>
      </c>
      <c r="CT11" s="510"/>
      <c r="CU11" s="584">
        <f t="shared" ca="1" si="2"/>
        <v>347.44212523719165</v>
      </c>
      <c r="CV11" s="584">
        <f t="shared" ca="1" si="3"/>
        <v>38.608294930875573</v>
      </c>
      <c r="CW11" s="584">
        <f t="shared" ca="1" si="4"/>
        <v>659.16719999999998</v>
      </c>
      <c r="CX11" s="584">
        <f t="shared" ca="1" si="5"/>
        <v>25.852114285714283</v>
      </c>
      <c r="CY11" s="584">
        <f t="shared" ca="1" si="6"/>
        <v>0</v>
      </c>
      <c r="CZ11" s="584">
        <f t="shared" ca="1" si="7"/>
        <v>4.3086857142857138</v>
      </c>
      <c r="DA11" s="691">
        <f t="shared" ca="1" si="8"/>
        <v>689.32799999999997</v>
      </c>
      <c r="DB11" s="539"/>
      <c r="DC11" s="569">
        <f t="shared" ca="1" si="9"/>
        <v>0.95624608314184245</v>
      </c>
      <c r="DD11" s="569">
        <f t="shared" ca="1" si="10"/>
        <v>3.7503357306992148E-2</v>
      </c>
      <c r="DE11" s="569">
        <f t="shared" ca="1" si="11"/>
        <v>0</v>
      </c>
      <c r="DF11" s="569">
        <f t="shared" ca="1" si="12"/>
        <v>6.2505595511653583E-3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1.8972</v>
      </c>
      <c r="AB12" s="569">
        <f t="shared" si="14"/>
        <v>0.66959999999999997</v>
      </c>
      <c r="AC12" s="569">
        <f t="shared" si="15"/>
        <v>0</v>
      </c>
      <c r="AD12" s="569">
        <f t="shared" si="16"/>
        <v>0.11159999999999999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23.188425047438326</v>
      </c>
      <c r="CS12" s="584">
        <f t="shared" ca="1" si="1"/>
        <v>18.360829493087557</v>
      </c>
      <c r="CT12" s="510"/>
      <c r="CU12" s="584">
        <f t="shared" ca="1" si="2"/>
        <v>293.57115749525616</v>
      </c>
      <c r="CV12" s="584">
        <f t="shared" ca="1" si="3"/>
        <v>24.387096774193544</v>
      </c>
      <c r="CW12" s="584">
        <f t="shared" ca="1" si="4"/>
        <v>556.96320000000003</v>
      </c>
      <c r="CX12" s="584">
        <f t="shared" ca="1" si="5"/>
        <v>16.329599999999996</v>
      </c>
      <c r="CY12" s="584">
        <f t="shared" ca="1" si="6"/>
        <v>0</v>
      </c>
      <c r="CZ12" s="584">
        <f t="shared" ca="1" si="7"/>
        <v>2.7215999999999991</v>
      </c>
      <c r="DA12" s="691">
        <f t="shared" ca="1" si="8"/>
        <v>576.01440000000002</v>
      </c>
      <c r="DB12" s="539"/>
      <c r="DC12" s="569">
        <f t="shared" ca="1" si="9"/>
        <v>0.96692582685432871</v>
      </c>
      <c r="DD12" s="569">
        <f t="shared" ca="1" si="10"/>
        <v>2.8349291267718298E-2</v>
      </c>
      <c r="DE12" s="569">
        <f t="shared" ca="1" si="11"/>
        <v>0</v>
      </c>
      <c r="DF12" s="569">
        <f t="shared" ca="1" si="12"/>
        <v>4.7248818779530499E-3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1.8360000000000001</v>
      </c>
      <c r="AB13" s="569">
        <f t="shared" si="14"/>
        <v>0.64800000000000002</v>
      </c>
      <c r="AC13" s="569">
        <f t="shared" si="15"/>
        <v>0</v>
      </c>
      <c r="AD13" s="569">
        <f t="shared" si="16"/>
        <v>0.108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19.713725490196079</v>
      </c>
      <c r="CS13" s="584">
        <f t="shared" ca="1" si="1"/>
        <v>14.325238095238095</v>
      </c>
      <c r="CT13" s="510"/>
      <c r="CU13" s="584">
        <f t="shared" ca="1" si="2"/>
        <v>240.88627450980391</v>
      </c>
      <c r="CV13" s="584">
        <f t="shared" ca="1" si="3"/>
        <v>13.93809523809524</v>
      </c>
      <c r="CW13" s="584">
        <f t="shared" ca="1" si="4"/>
        <v>442.2672</v>
      </c>
      <c r="CX13" s="584">
        <f t="shared" ca="1" si="5"/>
        <v>9.0318857142857158</v>
      </c>
      <c r="CY13" s="584">
        <f t="shared" ca="1" si="6"/>
        <v>0</v>
      </c>
      <c r="CZ13" s="584">
        <f t="shared" ca="1" si="7"/>
        <v>1.5053142857142858</v>
      </c>
      <c r="DA13" s="691">
        <f t="shared" ca="1" si="8"/>
        <v>452.80439999999999</v>
      </c>
      <c r="DB13" s="539"/>
      <c r="DC13" s="569">
        <f t="shared" ca="1" si="9"/>
        <v>0.97672902471795775</v>
      </c>
      <c r="DD13" s="569">
        <f t="shared" ca="1" si="10"/>
        <v>1.9946550241750557E-2</v>
      </c>
      <c r="DE13" s="569">
        <f t="shared" ca="1" si="11"/>
        <v>0</v>
      </c>
      <c r="DF13" s="569">
        <f t="shared" ca="1" si="12"/>
        <v>3.3244250402917593E-3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1.8972</v>
      </c>
      <c r="AB14" s="569">
        <f t="shared" si="14"/>
        <v>0.66959999999999997</v>
      </c>
      <c r="AC14" s="569">
        <f t="shared" si="15"/>
        <v>0</v>
      </c>
      <c r="AD14" s="569">
        <f t="shared" si="16"/>
        <v>0.11159999999999999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12.214990512333967</v>
      </c>
      <c r="CS14" s="584">
        <f t="shared" ca="1" si="1"/>
        <v>7.9917050691244231</v>
      </c>
      <c r="CT14" s="510"/>
      <c r="CU14" s="584">
        <f t="shared" ca="1" si="2"/>
        <v>171.02846299810247</v>
      </c>
      <c r="CV14" s="584">
        <f t="shared" ca="1" si="3"/>
        <v>4.8156682027649769</v>
      </c>
      <c r="CW14" s="584">
        <f t="shared" ca="1" si="4"/>
        <v>324.47520000000003</v>
      </c>
      <c r="CX14" s="584">
        <f t="shared" ca="1" si="5"/>
        <v>3.2245714285714282</v>
      </c>
      <c r="CY14" s="584">
        <f t="shared" ca="1" si="6"/>
        <v>0</v>
      </c>
      <c r="CZ14" s="584">
        <f t="shared" ca="1" si="7"/>
        <v>0.53742857142857137</v>
      </c>
      <c r="DA14" s="691">
        <f t="shared" ca="1" si="8"/>
        <v>328.23720000000003</v>
      </c>
      <c r="DB14" s="539"/>
      <c r="DC14" s="569">
        <f t="shared" ca="1" si="9"/>
        <v>0.98853877622646058</v>
      </c>
      <c r="DD14" s="569">
        <f t="shared" ca="1" si="10"/>
        <v>9.8239060916051803E-3</v>
      </c>
      <c r="DE14" s="569">
        <f t="shared" ca="1" si="11"/>
        <v>0</v>
      </c>
      <c r="DF14" s="569">
        <f t="shared" ca="1" si="12"/>
        <v>1.6373176819341967E-3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7</v>
      </c>
      <c r="F15" s="508">
        <f>E15-1</f>
        <v>6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1.8360000000000001</v>
      </c>
      <c r="AB15" s="569">
        <f t="shared" si="14"/>
        <v>0.64800000000000002</v>
      </c>
      <c r="AC15" s="569">
        <f t="shared" si="15"/>
        <v>0</v>
      </c>
      <c r="AD15" s="569">
        <f t="shared" si="16"/>
        <v>0.108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5.364705882352939</v>
      </c>
      <c r="CS15" s="584">
        <f t="shared" ca="1" si="1"/>
        <v>3.2204761904761905</v>
      </c>
      <c r="CT15" s="510"/>
      <c r="CU15" s="584">
        <f t="shared" ca="1" si="2"/>
        <v>106.69999999999999</v>
      </c>
      <c r="CV15" s="584">
        <f t="shared" ca="1" si="3"/>
        <v>0.67619047619047623</v>
      </c>
      <c r="CW15" s="584">
        <f t="shared" ca="1" si="4"/>
        <v>195.90119999999999</v>
      </c>
      <c r="CX15" s="584">
        <f t="shared" ca="1" si="5"/>
        <v>0.4381714285714286</v>
      </c>
      <c r="CY15" s="584">
        <f t="shared" ca="1" si="6"/>
        <v>0</v>
      </c>
      <c r="CZ15" s="584">
        <f t="shared" ca="1" si="7"/>
        <v>7.3028571428571429E-2</v>
      </c>
      <c r="DA15" s="691">
        <f t="shared" ca="1" si="8"/>
        <v>196.41239999999999</v>
      </c>
      <c r="DB15" s="539"/>
      <c r="DC15" s="569">
        <f t="shared" ca="1" si="9"/>
        <v>0.99739731300060486</v>
      </c>
      <c r="DD15" s="569">
        <f t="shared" ca="1" si="10"/>
        <v>2.2308745709101289E-3</v>
      </c>
      <c r="DE15" s="569">
        <f t="shared" ca="1" si="11"/>
        <v>0</v>
      </c>
      <c r="DF15" s="569">
        <f t="shared" ca="1" si="12"/>
        <v>3.7181242848502145E-4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17</v>
      </c>
      <c r="F16" s="511">
        <f>24-E16</f>
        <v>7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1.8972</v>
      </c>
      <c r="AB16" s="569">
        <f t="shared" si="14"/>
        <v>0.66959999999999997</v>
      </c>
      <c r="AC16" s="569">
        <f t="shared" si="15"/>
        <v>0</v>
      </c>
      <c r="AD16" s="569">
        <f t="shared" si="16"/>
        <v>0.11159999999999999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-3.0425996204933585</v>
      </c>
      <c r="CS16" s="584">
        <f t="shared" ca="1" si="1"/>
        <v>-5.2129032258064516</v>
      </c>
      <c r="CT16" s="510"/>
      <c r="CU16" s="584">
        <f t="shared" ca="1" si="2"/>
        <v>88.470588235294102</v>
      </c>
      <c r="CV16" s="584">
        <f t="shared" ca="1" si="3"/>
        <v>0</v>
      </c>
      <c r="CW16" s="584">
        <f t="shared" ca="1" si="4"/>
        <v>167.84639999999996</v>
      </c>
      <c r="CX16" s="584">
        <f t="shared" ca="1" si="5"/>
        <v>0</v>
      </c>
      <c r="CY16" s="584">
        <f t="shared" ca="1" si="6"/>
        <v>0</v>
      </c>
      <c r="CZ16" s="584">
        <f t="shared" ca="1" si="7"/>
        <v>0</v>
      </c>
      <c r="DA16" s="691">
        <f t="shared" ca="1" si="8"/>
        <v>167.84639999999996</v>
      </c>
      <c r="DB16" s="539"/>
      <c r="DC16" s="569">
        <f t="shared" ca="1" si="9"/>
        <v>1</v>
      </c>
      <c r="DD16" s="569">
        <f t="shared" ca="1" si="10"/>
        <v>0</v>
      </c>
      <c r="DE16" s="569">
        <f t="shared" ca="1" si="11"/>
        <v>0</v>
      </c>
      <c r="DF16" s="569">
        <f t="shared" ca="1" si="12"/>
        <v>0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119</v>
      </c>
      <c r="F17" s="511">
        <f>F16*F15</f>
        <v>42</v>
      </c>
      <c r="G17" s="513">
        <f>(7-E15)*E16</f>
        <v>0</v>
      </c>
      <c r="H17" s="513">
        <f>I17-G17</f>
        <v>7</v>
      </c>
      <c r="I17" s="513">
        <f>D17-E17-F17</f>
        <v>7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0.70833333333333337</v>
      </c>
      <c r="F18" s="517">
        <f>F17/D17</f>
        <v>0.25</v>
      </c>
      <c r="G18" s="517">
        <f>G17/D17</f>
        <v>0</v>
      </c>
      <c r="H18" s="517">
        <f>H17/D17</f>
        <v>4.1666666666666664E-2</v>
      </c>
      <c r="I18" s="517">
        <f>I17/D17</f>
        <v>4.1666666666666664E-2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1</v>
      </c>
      <c r="CG18" s="581">
        <f t="shared" si="17"/>
        <v>1</v>
      </c>
      <c r="CH18" s="581">
        <f t="shared" si="17"/>
        <v>1</v>
      </c>
      <c r="CI18" s="581">
        <f t="shared" si="17"/>
        <v>1</v>
      </c>
      <c r="CJ18" s="581">
        <f t="shared" si="17"/>
        <v>1</v>
      </c>
      <c r="CK18" s="581">
        <f t="shared" si="17"/>
        <v>1</v>
      </c>
      <c r="CL18" s="581">
        <f t="shared" si="17"/>
        <v>1</v>
      </c>
      <c r="CM18" s="581">
        <f t="shared" si="17"/>
        <v>1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0</v>
      </c>
      <c r="CG19" s="581">
        <f>IF(AND(((BI4-8)&gt;=0),((BI4-8)&lt;Calcs!$E$16)),0,1)</f>
        <v>0</v>
      </c>
      <c r="CH19" s="581">
        <f>IF(AND(((BJ4-8)&gt;=0),((BJ4-8)&lt;Calcs!$E$16)),0,1)</f>
        <v>0</v>
      </c>
      <c r="CI19" s="581">
        <f>IF(AND(((BK4-8)&gt;=0),((BK4-8)&lt;Calcs!$E$16)),0,1)</f>
        <v>0</v>
      </c>
      <c r="CJ19" s="581">
        <f>IF(AND(((BL4-8)&gt;=0),((BL4-8)&lt;Calcs!$E$16)),0,1)</f>
        <v>0</v>
      </c>
      <c r="CK19" s="581">
        <f>IF(AND(((BM4-8)&gt;=0),((BM4-8)&lt;Calcs!$E$16)),0,1)</f>
        <v>0</v>
      </c>
      <c r="CL19" s="581">
        <f>IF(AND(((BN4-8)&gt;=0),((BN4-8)&lt;Calcs!$E$16)),0,1)</f>
        <v>0</v>
      </c>
      <c r="CM19" s="581">
        <f>IF(AND(((BO4-8)&gt;=0),((BO4-8)&lt;Calcs!$E$16)),0,1)</f>
        <v>0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0.90315725561627214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0.99225258044930187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0.87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4000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2800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46361.325600000004</v>
      </c>
      <c r="E47" s="536">
        <f>D34*C2</f>
        <v>47019.600000000006</v>
      </c>
      <c r="F47" s="536">
        <f>D47+E47</f>
        <v>93380.925600000017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3937.5372427397269</v>
      </c>
      <c r="E48" s="536">
        <f t="shared" si="18"/>
        <v>3993.4454794520557</v>
      </c>
      <c r="F48" s="536">
        <f t="shared" ref="F48:F59" si="19">D48+E48</f>
        <v>7930.9827221917822</v>
      </c>
      <c r="G48" s="539"/>
      <c r="H48" s="536">
        <f t="shared" ref="H48:H59" si="20">D48*$N$22</f>
        <v>14214.935894367245</v>
      </c>
      <c r="I48" s="536">
        <f t="shared" ref="I48:I59" si="21">E48*$N$22</f>
        <v>14416.770683942439</v>
      </c>
      <c r="J48" s="750">
        <f t="shared" ref="J48:J59" si="22">H48+I48</f>
        <v>28631.706578309684</v>
      </c>
      <c r="K48" s="548"/>
      <c r="L48" s="555"/>
      <c r="M48" s="539" t="s">
        <v>671</v>
      </c>
      <c r="N48" s="558">
        <f>Inputs!C35</f>
        <v>1270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5.5262486282316309E-2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3556.4852515068496</v>
      </c>
      <c r="E49" s="536">
        <f t="shared" si="18"/>
        <v>3606.9830136986307</v>
      </c>
      <c r="F49" s="536">
        <f t="shared" si="19"/>
        <v>7163.4682652054798</v>
      </c>
      <c r="G49" s="539"/>
      <c r="H49" s="536">
        <f t="shared" si="20"/>
        <v>12839.296936847832</v>
      </c>
      <c r="I49" s="536">
        <f t="shared" si="21"/>
        <v>13021.599327431879</v>
      </c>
      <c r="J49" s="750">
        <f t="shared" si="22"/>
        <v>25860.896264279712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4.9914503738866349E-2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3937.5372427397269</v>
      </c>
      <c r="E50" s="536">
        <f t="shared" si="18"/>
        <v>3993.4454794520557</v>
      </c>
      <c r="F50" s="536">
        <f t="shared" si="19"/>
        <v>7930.9827221917822</v>
      </c>
      <c r="G50" s="539"/>
      <c r="H50" s="536">
        <f t="shared" si="20"/>
        <v>14214.935894367245</v>
      </c>
      <c r="I50" s="536">
        <f t="shared" si="21"/>
        <v>14416.770683942439</v>
      </c>
      <c r="J50" s="750">
        <f t="shared" si="22"/>
        <v>28631.706578309684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5.5262486282316309E-2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3810.5199123287675</v>
      </c>
      <c r="E51" s="536">
        <f t="shared" si="18"/>
        <v>3864.6246575342475</v>
      </c>
      <c r="F51" s="536">
        <f t="shared" si="19"/>
        <v>7675.144569863015</v>
      </c>
      <c r="G51" s="539"/>
      <c r="H51" s="536">
        <f t="shared" si="20"/>
        <v>13756.389575194105</v>
      </c>
      <c r="I51" s="536">
        <f t="shared" si="21"/>
        <v>13951.713565105585</v>
      </c>
      <c r="J51" s="750">
        <f t="shared" si="22"/>
        <v>27708.103140299689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5.3479825434499653E-2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3937.5372427397269</v>
      </c>
      <c r="E52" s="536">
        <f t="shared" si="18"/>
        <v>3993.4454794520557</v>
      </c>
      <c r="F52" s="536">
        <f t="shared" si="19"/>
        <v>7930.9827221917822</v>
      </c>
      <c r="G52" s="539"/>
      <c r="H52" s="536">
        <f t="shared" si="20"/>
        <v>14214.935894367245</v>
      </c>
      <c r="I52" s="536">
        <f t="shared" si="21"/>
        <v>14416.770683942439</v>
      </c>
      <c r="J52" s="750">
        <f t="shared" si="22"/>
        <v>28631.706578309684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5.5262486282316309E-2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3810.5199123287675</v>
      </c>
      <c r="E53" s="536">
        <f t="shared" si="18"/>
        <v>3864.6246575342475</v>
      </c>
      <c r="F53" s="536">
        <f t="shared" si="19"/>
        <v>7675.144569863015</v>
      </c>
      <c r="G53" s="539"/>
      <c r="H53" s="536">
        <f t="shared" si="20"/>
        <v>13756.389575194105</v>
      </c>
      <c r="I53" s="536">
        <f t="shared" si="21"/>
        <v>13951.713565105585</v>
      </c>
      <c r="J53" s="750">
        <f t="shared" si="22"/>
        <v>27708.103140299689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5.3479825434499653E-2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3937.5372427397269</v>
      </c>
      <c r="E54" s="536">
        <f t="shared" si="18"/>
        <v>3993.4454794520557</v>
      </c>
      <c r="F54" s="536">
        <f t="shared" si="19"/>
        <v>7930.9827221917822</v>
      </c>
      <c r="G54" s="539"/>
      <c r="H54" s="536">
        <f t="shared" si="20"/>
        <v>14214.935894367245</v>
      </c>
      <c r="I54" s="536">
        <f t="shared" si="21"/>
        <v>14416.770683942439</v>
      </c>
      <c r="J54" s="750">
        <f t="shared" si="22"/>
        <v>28631.706578309684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5.5262486282316309E-2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3937.5372427397269</v>
      </c>
      <c r="E55" s="536">
        <f t="shared" si="18"/>
        <v>3993.4454794520557</v>
      </c>
      <c r="F55" s="536">
        <f t="shared" si="19"/>
        <v>7930.9827221917822</v>
      </c>
      <c r="G55" s="539"/>
      <c r="H55" s="536">
        <f t="shared" si="20"/>
        <v>14214.935894367245</v>
      </c>
      <c r="I55" s="536">
        <f t="shared" si="21"/>
        <v>14416.770683942439</v>
      </c>
      <c r="J55" s="750">
        <f t="shared" si="22"/>
        <v>28631.706578309684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5.5262486282316309E-2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3810.5199123287675</v>
      </c>
      <c r="E56" s="536">
        <f t="shared" si="18"/>
        <v>3864.6246575342475</v>
      </c>
      <c r="F56" s="536">
        <f t="shared" si="19"/>
        <v>7675.144569863015</v>
      </c>
      <c r="G56" s="539"/>
      <c r="H56" s="536">
        <f t="shared" si="20"/>
        <v>13756.389575194105</v>
      </c>
      <c r="I56" s="536">
        <f t="shared" si="21"/>
        <v>13951.713565105585</v>
      </c>
      <c r="J56" s="750">
        <f t="shared" si="22"/>
        <v>27708.103140299689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5.3479825434499653E-2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3937.5372427397269</v>
      </c>
      <c r="E57" s="536">
        <f t="shared" si="18"/>
        <v>3993.4454794520557</v>
      </c>
      <c r="F57" s="536">
        <f t="shared" si="19"/>
        <v>7930.9827221917822</v>
      </c>
      <c r="G57" s="539"/>
      <c r="H57" s="536">
        <f t="shared" si="20"/>
        <v>14214.935894367245</v>
      </c>
      <c r="I57" s="536">
        <f t="shared" si="21"/>
        <v>14416.770683942439</v>
      </c>
      <c r="J57" s="750">
        <f t="shared" si="22"/>
        <v>28631.706578309684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5.5262486282316309E-2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3810.5199123287675</v>
      </c>
      <c r="E58" s="536">
        <f t="shared" si="18"/>
        <v>3864.6246575342475</v>
      </c>
      <c r="F58" s="536">
        <f t="shared" si="19"/>
        <v>7675.144569863015</v>
      </c>
      <c r="G58" s="539"/>
      <c r="H58" s="536">
        <f t="shared" si="20"/>
        <v>13756.389575194105</v>
      </c>
      <c r="I58" s="536">
        <f t="shared" si="21"/>
        <v>13951.713565105585</v>
      </c>
      <c r="J58" s="750">
        <f t="shared" si="22"/>
        <v>27708.103140299689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5.3479825434499653E-2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3937.5372427397269</v>
      </c>
      <c r="E59" s="536">
        <f t="shared" si="18"/>
        <v>3993.4454794520557</v>
      </c>
      <c r="F59" s="536">
        <f t="shared" si="19"/>
        <v>7930.9827221917822</v>
      </c>
      <c r="G59" s="539"/>
      <c r="H59" s="536">
        <f t="shared" si="20"/>
        <v>14214.935894367245</v>
      </c>
      <c r="I59" s="536">
        <f t="shared" si="21"/>
        <v>14416.770683942439</v>
      </c>
      <c r="J59" s="750">
        <f t="shared" si="22"/>
        <v>28631.706578309684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5.5262486282316309E-2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0.6506712094530791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1204</v>
      </c>
      <c r="E67" s="558">
        <f>Inputs!D78</f>
        <v>0</v>
      </c>
      <c r="F67" s="558">
        <f>Inputs!E78</f>
        <v>431.4</v>
      </c>
      <c r="G67" s="558">
        <f>Inputs!F78</f>
        <v>0</v>
      </c>
      <c r="H67" s="558">
        <f>Inputs!G78</f>
        <v>1204</v>
      </c>
      <c r="I67" s="558">
        <f>Inputs!H78</f>
        <v>0</v>
      </c>
      <c r="J67" s="558">
        <f>Inputs!I78</f>
        <v>431.4</v>
      </c>
      <c r="K67" s="558">
        <f>Inputs!J78</f>
        <v>0</v>
      </c>
      <c r="L67" s="558">
        <f>Inputs!K78</f>
        <v>783.66</v>
      </c>
      <c r="M67" s="342">
        <f>SUM(D67:L67)</f>
        <v>4054.46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208</v>
      </c>
      <c r="E68" s="558">
        <f>Inputs!D83</f>
        <v>0</v>
      </c>
      <c r="F68" s="558">
        <f>Inputs!E83</f>
        <v>84.15</v>
      </c>
      <c r="G68" s="558">
        <f>Inputs!F83</f>
        <v>0</v>
      </c>
      <c r="H68" s="558">
        <f>Inputs!G83</f>
        <v>208</v>
      </c>
      <c r="I68" s="558">
        <f>Inputs!H83</f>
        <v>0</v>
      </c>
      <c r="J68" s="558">
        <f>Inputs!I83</f>
        <v>84.15</v>
      </c>
      <c r="K68" s="558">
        <f>Inputs!J83</f>
        <v>0</v>
      </c>
      <c r="L68" s="558">
        <f>Inputs!K83</f>
        <v>0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0.36299999999999999</v>
      </c>
      <c r="E73" s="539">
        <f>Inputs!D79</f>
        <v>0.36299999999999999</v>
      </c>
      <c r="F73" s="539">
        <f>Inputs!E79</f>
        <v>0.36299999999999999</v>
      </c>
      <c r="G73" s="539">
        <f>Inputs!F79</f>
        <v>0.36299999999999999</v>
      </c>
      <c r="H73" s="539">
        <f>Inputs!G79</f>
        <v>0.36299999999999999</v>
      </c>
      <c r="I73" s="539">
        <f>Inputs!H79</f>
        <v>0.36299999999999999</v>
      </c>
      <c r="J73" s="539">
        <f>Inputs!I79</f>
        <v>0.36299999999999999</v>
      </c>
      <c r="K73" s="570">
        <f>Inputs!J79</f>
        <v>0.36299999999999999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0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437.05199999999996</v>
      </c>
      <c r="E78" s="599">
        <f t="shared" si="25"/>
        <v>0</v>
      </c>
      <c r="F78" s="599">
        <f t="shared" si="25"/>
        <v>156.59819999999999</v>
      </c>
      <c r="G78" s="599">
        <f t="shared" si="25"/>
        <v>0</v>
      </c>
      <c r="H78" s="599">
        <f t="shared" si="25"/>
        <v>437.05199999999996</v>
      </c>
      <c r="I78" s="599">
        <f t="shared" si="25"/>
        <v>0</v>
      </c>
      <c r="J78" s="599">
        <f t="shared" si="25"/>
        <v>156.59819999999999</v>
      </c>
      <c r="K78" s="599">
        <f t="shared" si="25"/>
        <v>0</v>
      </c>
      <c r="L78" s="599">
        <f t="shared" si="25"/>
        <v>211.5882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551.82399999999996</v>
      </c>
      <c r="E79" s="599">
        <f t="shared" si="26"/>
        <v>0</v>
      </c>
      <c r="F79" s="599">
        <f t="shared" si="26"/>
        <v>223.24995000000001</v>
      </c>
      <c r="G79" s="599">
        <f t="shared" si="26"/>
        <v>0</v>
      </c>
      <c r="H79" s="599">
        <f t="shared" si="26"/>
        <v>551.82399999999996</v>
      </c>
      <c r="I79" s="599">
        <f t="shared" si="26"/>
        <v>0</v>
      </c>
      <c r="J79" s="599">
        <f t="shared" si="26"/>
        <v>223.24995000000001</v>
      </c>
      <c r="K79" s="599">
        <f t="shared" si="26"/>
        <v>0</v>
      </c>
      <c r="L79" s="599">
        <f t="shared" si="26"/>
        <v>0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988.87599999999998</v>
      </c>
      <c r="E81" s="595">
        <f t="shared" si="27"/>
        <v>0</v>
      </c>
      <c r="F81" s="595">
        <f t="shared" si="27"/>
        <v>379.84815000000003</v>
      </c>
      <c r="G81" s="595">
        <f t="shared" si="27"/>
        <v>0</v>
      </c>
      <c r="H81" s="595">
        <f t="shared" si="27"/>
        <v>988.87599999999998</v>
      </c>
      <c r="I81" s="595">
        <f t="shared" si="27"/>
        <v>0</v>
      </c>
      <c r="J81" s="595">
        <f t="shared" si="27"/>
        <v>379.84815000000003</v>
      </c>
      <c r="K81" s="595">
        <f t="shared" si="27"/>
        <v>0</v>
      </c>
      <c r="L81" s="595">
        <f t="shared" si="27"/>
        <v>211.5882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2949.0365000000002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208</v>
      </c>
      <c r="E116" s="631">
        <f>Calcs!E68</f>
        <v>0</v>
      </c>
      <c r="F116" s="631">
        <f>Calcs!F68</f>
        <v>84.15</v>
      </c>
      <c r="G116" s="631">
        <f>Calcs!G68</f>
        <v>0</v>
      </c>
      <c r="H116" s="631">
        <f>Calcs!H68</f>
        <v>208</v>
      </c>
      <c r="I116" s="631">
        <f>Calcs!I68</f>
        <v>0</v>
      </c>
      <c r="J116" s="631">
        <f>Calcs!J68</f>
        <v>84.15</v>
      </c>
      <c r="K116" s="631">
        <f>Calcs!K68</f>
        <v>0</v>
      </c>
      <c r="L116" s="631">
        <f>Calcs!L68</f>
        <v>0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1204</v>
      </c>
      <c r="AC116" s="631">
        <f>Calcs!E67</f>
        <v>0</v>
      </c>
      <c r="AD116" s="631">
        <f>Calcs!F67</f>
        <v>431.4</v>
      </c>
      <c r="AE116" s="631">
        <f>Calcs!G67</f>
        <v>0</v>
      </c>
      <c r="AF116" s="631">
        <f>Calcs!H67</f>
        <v>1204</v>
      </c>
      <c r="AG116" s="631">
        <f>Calcs!I67</f>
        <v>0</v>
      </c>
      <c r="AH116" s="631">
        <f>Calcs!J67</f>
        <v>431.4</v>
      </c>
      <c r="AI116" s="631">
        <f>Calcs!K67</f>
        <v>0</v>
      </c>
      <c r="AJ116" s="631">
        <f>Calcs!L67</f>
        <v>783.66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0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0.36299999999999999</v>
      </c>
      <c r="AC117" s="664">
        <f>Calcs!E73</f>
        <v>0.36299999999999999</v>
      </c>
      <c r="AD117" s="664">
        <f>Calcs!F73</f>
        <v>0.36299999999999999</v>
      </c>
      <c r="AE117" s="664">
        <f>Calcs!G73</f>
        <v>0.36299999999999999</v>
      </c>
      <c r="AF117" s="664">
        <f>Calcs!H73</f>
        <v>0.36299999999999999</v>
      </c>
      <c r="AG117" s="664">
        <f>Calcs!I73</f>
        <v>0.36299999999999999</v>
      </c>
      <c r="AH117" s="664">
        <f>Calcs!J73</f>
        <v>0.36299999999999999</v>
      </c>
      <c r="AI117" s="664">
        <f>Calcs!K73</f>
        <v>0.36299999999999999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59.810400000000008</v>
      </c>
      <c r="E135" s="678">
        <f t="shared" si="38"/>
        <v>0</v>
      </c>
      <c r="F135" s="678">
        <f t="shared" si="38"/>
        <v>24.197332500000005</v>
      </c>
      <c r="G135" s="678">
        <f t="shared" si="38"/>
        <v>0</v>
      </c>
      <c r="H135" s="678">
        <f t="shared" si="38"/>
        <v>59.810400000000008</v>
      </c>
      <c r="I135" s="678">
        <f t="shared" si="38"/>
        <v>0</v>
      </c>
      <c r="J135" s="678">
        <f t="shared" si="38"/>
        <v>24.197332500000005</v>
      </c>
      <c r="K135" s="678">
        <f t="shared" si="38"/>
        <v>0</v>
      </c>
      <c r="L135" s="678">
        <f t="shared" si="38"/>
        <v>0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13.301582608695652</v>
      </c>
      <c r="AC135" s="669">
        <f t="shared" si="40"/>
        <v>0</v>
      </c>
      <c r="AD135" s="669">
        <f t="shared" si="40"/>
        <v>4.7660321739130431</v>
      </c>
      <c r="AE135" s="669">
        <f t="shared" si="40"/>
        <v>0</v>
      </c>
      <c r="AF135" s="669">
        <f t="shared" si="40"/>
        <v>13.301582608695652</v>
      </c>
      <c r="AG135" s="669">
        <f t="shared" si="40"/>
        <v>0</v>
      </c>
      <c r="AH135" s="669">
        <f t="shared" si="40"/>
        <v>4.7660321739130431</v>
      </c>
      <c r="AI135" s="669">
        <f t="shared" si="40"/>
        <v>0</v>
      </c>
      <c r="AJ135" s="669">
        <f t="shared" si="40"/>
        <v>6.439640869565217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940.61191304347824</v>
      </c>
      <c r="AC140" s="632">
        <f t="shared" si="42"/>
        <v>0</v>
      </c>
      <c r="AD140" s="632">
        <f t="shared" si="42"/>
        <v>337.02656086956512</v>
      </c>
      <c r="AE140" s="632">
        <f t="shared" si="42"/>
        <v>0</v>
      </c>
      <c r="AF140" s="632">
        <f t="shared" si="42"/>
        <v>940.61191304347824</v>
      </c>
      <c r="AG140" s="632">
        <f t="shared" si="42"/>
        <v>0</v>
      </c>
      <c r="AH140" s="632">
        <f t="shared" si="42"/>
        <v>337.02656086956512</v>
      </c>
      <c r="AI140" s="632">
        <f t="shared" si="42"/>
        <v>0</v>
      </c>
      <c r="AJ140" s="632">
        <f t="shared" si="42"/>
        <v>455.37460434782611</v>
      </c>
      <c r="AK140" s="649">
        <f>SUM(AB140:AJ140)</f>
        <v>3010.6515521739129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20072.380084906985</v>
      </c>
      <c r="E144" s="632">
        <f ca="1">(E$118*E$119*E$135*Calcs!AJ5)*Calcs!$O5</f>
        <v>0</v>
      </c>
      <c r="F144" s="632">
        <f ca="1">(F$118*F$119*F$135*Calcs!AK5)*Calcs!$O5</f>
        <v>2788.4726262877948</v>
      </c>
      <c r="G144" s="632">
        <f ca="1">(G$118*G$119*G$135*Calcs!AL5)*Calcs!$O5</f>
        <v>0</v>
      </c>
      <c r="H144" s="632">
        <f ca="1">(H$118*H$119*H$135*Calcs!AM5)*Calcs!$O5</f>
        <v>3686.5886745929465</v>
      </c>
      <c r="I144" s="632">
        <f ca="1">(I$118*I$119*I$135*Calcs!AN5)*Calcs!$O5</f>
        <v>0</v>
      </c>
      <c r="J144" s="632">
        <f ca="1">(J$118*J$119*J$135*Calcs!AO5)*Calcs!$O5</f>
        <v>3812.0089602520602</v>
      </c>
      <c r="K144" s="632">
        <f ca="1">(K$118*K$119*K$135*Calcs!AP5)*Calcs!$O5</f>
        <v>0</v>
      </c>
      <c r="L144" s="632">
        <f ca="1">(L$118*L$119*L$135*Calcs!AQ5)*Calcs!$O5</f>
        <v>0</v>
      </c>
      <c r="M144" s="675">
        <f t="shared" ref="M144:M155" ca="1" si="45">SUM(D144:L144)</f>
        <v>30359.450346039786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3204.3458389965394</v>
      </c>
      <c r="AC144" s="632">
        <f ca="1">(AC$135*Calcs!AJ5-AC$140*AC$122)*Calcs!$O5</f>
        <v>0</v>
      </c>
      <c r="AD144" s="632">
        <f ca="1">(AD$135*Calcs!AK5-AD$140*AD$122)*Calcs!$O5</f>
        <v>97.886068089506381</v>
      </c>
      <c r="AE144" s="632">
        <f ca="1">(AE$135*Calcs!AL5-AE$140*AE$122)*Calcs!$O5</f>
        <v>0</v>
      </c>
      <c r="AF144" s="632">
        <f ca="1">(AF$135*Calcs!AM5-AF$140*AF$122)*Calcs!$O5</f>
        <v>-439.78558385212551</v>
      </c>
      <c r="AG144" s="632">
        <f ca="1">(AG$135*Calcs!AN5-AG$140*AG$122)*Calcs!$O5</f>
        <v>0</v>
      </c>
      <c r="AH144" s="632">
        <f ca="1">(AH$135*Calcs!AO5-AH$140*AH$122)*Calcs!$O5</f>
        <v>299.48709575826666</v>
      </c>
      <c r="AI144" s="632">
        <f ca="1">(AI$135*Calcs!AP5-AI$140*AI$122)*Calcs!$O5</f>
        <v>0</v>
      </c>
      <c r="AJ144" s="632">
        <f ca="1">(AJ$135*Calcs!AQ5-AJ$140*AJ$122)*Calcs!$O5</f>
        <v>49.730824810465414</v>
      </c>
      <c r="AK144" s="682">
        <f t="shared" ref="AK144:AK155" ca="1" si="47">SUM(AB144:AJ144)</f>
        <v>3211.6642438026524</v>
      </c>
      <c r="AL144" s="510"/>
      <c r="AM144" s="685">
        <f t="shared" ref="AM144:AM155" ca="1" si="48">M144+Y144+AK144</f>
        <v>33571.114589842437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20731.577418862984</v>
      </c>
      <c r="E145" s="632">
        <f ca="1">(E$118*E$119*E$135*Calcs!AJ6)*Calcs!$O6</f>
        <v>0</v>
      </c>
      <c r="F145" s="632">
        <f ca="1">(F$118*F$119*F$135*Calcs!AK6)*Calcs!$O6</f>
        <v>3538.1035342600881</v>
      </c>
      <c r="G145" s="632">
        <f ca="1">(G$118*G$119*G$135*Calcs!AL6)*Calcs!$O6</f>
        <v>0</v>
      </c>
      <c r="H145" s="632">
        <f ca="1">(H$118*H$119*H$135*Calcs!AM6)*Calcs!$O6</f>
        <v>4644.4546027543211</v>
      </c>
      <c r="I145" s="632">
        <f ca="1">(I$118*I$119*I$135*Calcs!AN6)*Calcs!$O6</f>
        <v>0</v>
      </c>
      <c r="J145" s="632">
        <f ca="1">(J$118*J$119*J$135*Calcs!AO6)*Calcs!$O6</f>
        <v>4653.7460181403203</v>
      </c>
      <c r="K145" s="632">
        <f ca="1">(K$118*K$119*K$135*Calcs!AP6)*Calcs!$O6</f>
        <v>0</v>
      </c>
      <c r="L145" s="632">
        <f ca="1">(L$118*L$119*L$135*Calcs!AQ6)*Calcs!$O6</f>
        <v>0</v>
      </c>
      <c r="M145" s="675">
        <f t="shared" ca="1" si="45"/>
        <v>33567.881574017716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3472.8518707644012</v>
      </c>
      <c r="AC145" s="632">
        <f ca="1">(AC$135*Calcs!AJ6-AC$140*AC$122)*Calcs!$O6</f>
        <v>0</v>
      </c>
      <c r="AD145" s="632">
        <f ca="1">(AD$135*Calcs!AK6-AD$140*AD$122)*Calcs!$O6</f>
        <v>289.21590399450633</v>
      </c>
      <c r="AE145" s="632">
        <f ca="1">(AE$135*Calcs!AL6-AE$140*AE$122)*Calcs!$O6</f>
        <v>0</v>
      </c>
      <c r="AF145" s="632">
        <f ca="1">(AF$135*Calcs!AM6-AF$140*AF$122)*Calcs!$O6</f>
        <v>-104.85690688466951</v>
      </c>
      <c r="AG145" s="632">
        <f ca="1">(AG$135*Calcs!AN6-AG$140*AG$122)*Calcs!$O6</f>
        <v>0</v>
      </c>
      <c r="AH145" s="632">
        <f ca="1">(AH$135*Calcs!AO6-AH$140*AH$122)*Calcs!$O6</f>
        <v>508.95863690762599</v>
      </c>
      <c r="AI145" s="632">
        <f ca="1">(AI$135*Calcs!AP6-AI$140*AI$122)*Calcs!$O6</f>
        <v>0</v>
      </c>
      <c r="AJ145" s="632">
        <f ca="1">(AJ$135*Calcs!AQ6-AJ$140*AJ$122)*Calcs!$O6</f>
        <v>516.8352727659128</v>
      </c>
      <c r="AK145" s="682">
        <f t="shared" ca="1" si="47"/>
        <v>4683.0047775477769</v>
      </c>
      <c r="AL145" s="510"/>
      <c r="AM145" s="685">
        <f t="shared" ca="1" si="48"/>
        <v>38250.886351565496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23421.572098642948</v>
      </c>
      <c r="E146" s="632">
        <f ca="1">(E$118*E$119*E$135*Calcs!AJ7)*Calcs!$O7</f>
        <v>0</v>
      </c>
      <c r="F146" s="632">
        <f ca="1">(F$118*F$119*F$135*Calcs!AK7)*Calcs!$O7</f>
        <v>5492.9472032877129</v>
      </c>
      <c r="G146" s="632">
        <f ca="1">(G$118*G$119*G$135*Calcs!AL7)*Calcs!$O7</f>
        <v>0</v>
      </c>
      <c r="H146" s="632">
        <f ca="1">(H$118*H$119*H$135*Calcs!AM7)*Calcs!$O7</f>
        <v>6860.1885306120485</v>
      </c>
      <c r="I146" s="632">
        <f ca="1">(I$118*I$119*I$135*Calcs!AN7)*Calcs!$O7</f>
        <v>0</v>
      </c>
      <c r="J146" s="632">
        <f ca="1">(J$118*J$119*J$135*Calcs!AO7)*Calcs!$O7</f>
        <v>6478.1486882128547</v>
      </c>
      <c r="K146" s="632">
        <f ca="1">(K$118*K$119*K$135*Calcs!AP7)*Calcs!$O7</f>
        <v>0</v>
      </c>
      <c r="L146" s="632">
        <f ca="1">(L$118*L$119*L$135*Calcs!AQ7)*Calcs!$O7</f>
        <v>0</v>
      </c>
      <c r="M146" s="675">
        <f t="shared" ca="1" si="45"/>
        <v>42252.856520755558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3949.1921239752828</v>
      </c>
      <c r="AC146" s="632">
        <f ca="1">(AC$135*Calcs!AJ7-AC$140*AC$122)*Calcs!$O7</f>
        <v>0</v>
      </c>
      <c r="AD146" s="632">
        <f ca="1">(AD$135*Calcs!AK7-AD$140*AD$122)*Calcs!$O7</f>
        <v>630.57341482541085</v>
      </c>
      <c r="AE146" s="632">
        <f ca="1">(AE$135*Calcs!AL7-AE$140*AE$122)*Calcs!$O7</f>
        <v>0</v>
      </c>
      <c r="AF146" s="632">
        <f ca="1">(AF$135*Calcs!AM7-AF$140*AF$122)*Calcs!$O7</f>
        <v>266.00974023503477</v>
      </c>
      <c r="AG146" s="632">
        <f ca="1">(AG$135*Calcs!AN7-AG$140*AG$122)*Calcs!$O7</f>
        <v>0</v>
      </c>
      <c r="AH146" s="632">
        <f ca="1">(AH$135*Calcs!AO7-AH$140*AH$122)*Calcs!$O7</f>
        <v>824.62381170036133</v>
      </c>
      <c r="AI146" s="632">
        <f ca="1">(AI$135*Calcs!AP7-AI$140*AI$122)*Calcs!$O7</f>
        <v>0</v>
      </c>
      <c r="AJ146" s="632">
        <f ca="1">(AJ$135*Calcs!AQ7-AJ$140*AJ$122)*Calcs!$O7</f>
        <v>1252.6444616399997</v>
      </c>
      <c r="AK146" s="682">
        <f t="shared" ca="1" si="47"/>
        <v>6923.0435523760889</v>
      </c>
      <c r="AL146" s="510"/>
      <c r="AM146" s="685">
        <f t="shared" ca="1" si="48"/>
        <v>49175.900073131648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20083.285891020172</v>
      </c>
      <c r="E147" s="632">
        <f ca="1">(E$118*E$119*E$135*Calcs!AJ8)*Calcs!$O8</f>
        <v>0</v>
      </c>
      <c r="F147" s="632">
        <f ca="1">(F$118*F$119*F$135*Calcs!AK8)*Calcs!$O8</f>
        <v>6580.037460040493</v>
      </c>
      <c r="G147" s="632">
        <f ca="1">(G$118*G$119*G$135*Calcs!AL8)*Calcs!$O8</f>
        <v>0</v>
      </c>
      <c r="H147" s="632">
        <f ca="1">(H$118*H$119*H$135*Calcs!AM8)*Calcs!$O8</f>
        <v>8390.6864032377434</v>
      </c>
      <c r="I147" s="632">
        <f ca="1">(I$118*I$119*I$135*Calcs!AN8)*Calcs!$O8</f>
        <v>0</v>
      </c>
      <c r="J147" s="632">
        <f ca="1">(J$118*J$119*J$135*Calcs!AO8)*Calcs!$O8</f>
        <v>7817.672946175202</v>
      </c>
      <c r="K147" s="632">
        <f ca="1">(K$118*K$119*K$135*Calcs!AP8)*Calcs!$O8</f>
        <v>0</v>
      </c>
      <c r="L147" s="632">
        <f ca="1">(L$118*L$119*L$135*Calcs!AQ8)*Calcs!$O8</f>
        <v>0</v>
      </c>
      <c r="M147" s="675">
        <f t="shared" ca="1" si="45"/>
        <v>42871.682700473611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3247.4056792706265</v>
      </c>
      <c r="AC147" s="632">
        <f ca="1">(AC$135*Calcs!AJ8-AC$140*AC$122)*Calcs!$O8</f>
        <v>0</v>
      </c>
      <c r="AD147" s="632">
        <f ca="1">(AD$135*Calcs!AK8-AD$140*AD$122)*Calcs!$O8</f>
        <v>859.2519003499558</v>
      </c>
      <c r="AE147" s="632">
        <f ca="1">(AE$135*Calcs!AL8-AE$140*AE$122)*Calcs!$O8</f>
        <v>0</v>
      </c>
      <c r="AF147" s="632">
        <f ca="1">(AF$135*Calcs!AM8-AF$140*AF$122)*Calcs!$O8</f>
        <v>647.02049547097931</v>
      </c>
      <c r="AG147" s="632">
        <f ca="1">(AG$135*Calcs!AN8-AG$140*AG$122)*Calcs!$O8</f>
        <v>0</v>
      </c>
      <c r="AH147" s="632">
        <f ca="1">(AH$135*Calcs!AO8-AH$140*AH$122)*Calcs!$O8</f>
        <v>1103.0230080327772</v>
      </c>
      <c r="AI147" s="632">
        <f ca="1">(AI$135*Calcs!AP8-AI$140*AI$122)*Calcs!$O8</f>
        <v>0</v>
      </c>
      <c r="AJ147" s="632">
        <f ca="1">(AJ$135*Calcs!AQ8-AJ$140*AJ$122)*Calcs!$O8</f>
        <v>1875.7062102928696</v>
      </c>
      <c r="AK147" s="682">
        <f t="shared" ca="1" si="47"/>
        <v>7732.4072934172091</v>
      </c>
      <c r="AL147" s="510"/>
      <c r="AM147" s="685">
        <f t="shared" ca="1" si="48"/>
        <v>50604.089993890819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21175.622447614151</v>
      </c>
      <c r="E148" s="632">
        <f ca="1">(E$118*E$119*E$135*Calcs!AJ9)*Calcs!$O9</f>
        <v>0</v>
      </c>
      <c r="F148" s="632">
        <f ca="1">(F$118*F$119*F$135*Calcs!AK9)*Calcs!$O9</f>
        <v>8940.4385729568457</v>
      </c>
      <c r="G148" s="632">
        <f ca="1">(G$118*G$119*G$135*Calcs!AL9)*Calcs!$O9</f>
        <v>0</v>
      </c>
      <c r="H148" s="632">
        <f ca="1">(H$118*H$119*H$135*Calcs!AM9)*Calcs!$O9</f>
        <v>12264.702064894205</v>
      </c>
      <c r="I148" s="632">
        <f ca="1">(I$118*I$119*I$135*Calcs!AN9)*Calcs!$O9</f>
        <v>0</v>
      </c>
      <c r="J148" s="632">
        <f ca="1">(J$118*J$119*J$135*Calcs!AO9)*Calcs!$O9</f>
        <v>10294.715509486065</v>
      </c>
      <c r="K148" s="632">
        <f ca="1">(K$118*K$119*K$135*Calcs!AP9)*Calcs!$O9</f>
        <v>0</v>
      </c>
      <c r="L148" s="632">
        <f ca="1">(L$118*L$119*L$135*Calcs!AQ9)*Calcs!$O9</f>
        <v>0</v>
      </c>
      <c r="M148" s="675">
        <f t="shared" ca="1" si="45"/>
        <v>52675.478594951266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3449.702322567322</v>
      </c>
      <c r="AC148" s="632">
        <f ca="1">(AC$135*Calcs!AJ9-AC$140*AC$122)*Calcs!$O9</f>
        <v>0</v>
      </c>
      <c r="AD148" s="632">
        <f ca="1">(AD$135*Calcs!AK9-AD$140*AD$122)*Calcs!$O9</f>
        <v>1309.609204705582</v>
      </c>
      <c r="AE148" s="632">
        <f ca="1">(AE$135*Calcs!AL9-AE$140*AE$122)*Calcs!$O9</f>
        <v>0</v>
      </c>
      <c r="AF148" s="632">
        <f ca="1">(AF$135*Calcs!AM9-AF$140*AF$122)*Calcs!$O9</f>
        <v>1467.9509283238585</v>
      </c>
      <c r="AG148" s="632">
        <f ca="1">(AG$135*Calcs!AN9-AG$140*AG$122)*Calcs!$O9</f>
        <v>0</v>
      </c>
      <c r="AH148" s="632">
        <f ca="1">(AH$135*Calcs!AO9-AH$140*AH$122)*Calcs!$O9</f>
        <v>1576.3546177335115</v>
      </c>
      <c r="AI148" s="632">
        <f ca="1">(AI$135*Calcs!AP9-AI$140*AI$122)*Calcs!$O9</f>
        <v>0</v>
      </c>
      <c r="AJ148" s="632">
        <f ca="1">(AJ$135*Calcs!AQ9-AJ$140*AJ$122)*Calcs!$O9</f>
        <v>3074.9675210420869</v>
      </c>
      <c r="AK148" s="682">
        <f t="shared" ca="1" si="47"/>
        <v>10878.58459437236</v>
      </c>
      <c r="AL148" s="510"/>
      <c r="AM148" s="685">
        <f t="shared" ca="1" si="48"/>
        <v>63554.063189323628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18770.800213527637</v>
      </c>
      <c r="E149" s="632">
        <f ca="1">(E$118*E$119*E$135*Calcs!AJ10)*Calcs!$O10</f>
        <v>0</v>
      </c>
      <c r="F149" s="632">
        <f ca="1">(F$118*F$119*F$135*Calcs!AK10)*Calcs!$O10</f>
        <v>9287.7638716476558</v>
      </c>
      <c r="G149" s="632">
        <f ca="1">(G$118*G$119*G$135*Calcs!AL10)*Calcs!$O10</f>
        <v>0</v>
      </c>
      <c r="H149" s="632">
        <f ca="1">(H$118*H$119*H$135*Calcs!AM10)*Calcs!$O10</f>
        <v>13637.609727991219</v>
      </c>
      <c r="I149" s="632">
        <f ca="1">(I$118*I$119*I$135*Calcs!AN10)*Calcs!$O10</f>
        <v>0</v>
      </c>
      <c r="J149" s="632">
        <f ca="1">(J$118*J$119*J$135*Calcs!AO10)*Calcs!$O10</f>
        <v>10333.449208302547</v>
      </c>
      <c r="K149" s="632">
        <f ca="1">(K$118*K$119*K$135*Calcs!AP10)*Calcs!$O10</f>
        <v>0</v>
      </c>
      <c r="L149" s="632">
        <f ca="1">(L$118*L$119*L$135*Calcs!AQ10)*Calcs!$O10</f>
        <v>0</v>
      </c>
      <c r="M149" s="675">
        <f t="shared" ca="1" si="45"/>
        <v>52029.623021469059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2955.5143583315116</v>
      </c>
      <c r="AC149" s="632">
        <f ca="1">(AC$135*Calcs!AJ10-AC$140*AC$122)*Calcs!$O10</f>
        <v>0</v>
      </c>
      <c r="AD149" s="632">
        <f ca="1">(AD$135*Calcs!AK10-AD$140*AD$122)*Calcs!$O10</f>
        <v>1392.5797453045122</v>
      </c>
      <c r="AE149" s="632">
        <f ca="1">(AE$135*Calcs!AL10-AE$140*AE$122)*Calcs!$O10</f>
        <v>0</v>
      </c>
      <c r="AF149" s="632">
        <f ca="1">(AF$135*Calcs!AM10-AF$140*AF$122)*Calcs!$O10</f>
        <v>1813.9142805936401</v>
      </c>
      <c r="AG149" s="632">
        <f ca="1">(AG$135*Calcs!AN10-AG$140*AG$122)*Calcs!$O10</f>
        <v>0</v>
      </c>
      <c r="AH149" s="632">
        <f ca="1">(AH$135*Calcs!AO10-AH$140*AH$122)*Calcs!$O10</f>
        <v>1598.5433554787453</v>
      </c>
      <c r="AI149" s="632">
        <f ca="1">(AI$135*Calcs!AP10-AI$140*AI$122)*Calcs!$O10</f>
        <v>0</v>
      </c>
      <c r="AJ149" s="632">
        <f ca="1">(AJ$135*Calcs!AQ10-AJ$140*AJ$122)*Calcs!$O10</f>
        <v>3196.6800452921743</v>
      </c>
      <c r="AK149" s="682">
        <f t="shared" ca="1" si="47"/>
        <v>10957.231785000582</v>
      </c>
      <c r="AL149" s="510"/>
      <c r="AM149" s="685">
        <f t="shared" ca="1" si="48"/>
        <v>62986.854806469637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20846.221767660038</v>
      </c>
      <c r="E150" s="632">
        <f ca="1">(E$118*E$119*E$135*Calcs!AJ11)*Calcs!$O11</f>
        <v>0</v>
      </c>
      <c r="F150" s="632">
        <f ca="1">(F$118*F$119*F$135*Calcs!AK11)*Calcs!$O11</f>
        <v>9120.0441518032349</v>
      </c>
      <c r="G150" s="632">
        <f ca="1">(G$118*G$119*G$135*Calcs!AL11)*Calcs!$O11</f>
        <v>0</v>
      </c>
      <c r="H150" s="632">
        <f ca="1">(H$118*H$119*H$135*Calcs!AM11)*Calcs!$O11</f>
        <v>13626.218518715819</v>
      </c>
      <c r="I150" s="632">
        <f ca="1">(I$118*I$119*I$135*Calcs!AN11)*Calcs!$O11</f>
        <v>0</v>
      </c>
      <c r="J150" s="632">
        <f ca="1">(J$118*J$119*J$135*Calcs!AO11)*Calcs!$O11</f>
        <v>10768.038288680833</v>
      </c>
      <c r="K150" s="632">
        <f ca="1">(K$118*K$119*K$135*Calcs!AP11)*Calcs!$O11</f>
        <v>0</v>
      </c>
      <c r="L150" s="632">
        <f ca="1">(L$118*L$119*L$135*Calcs!AQ11)*Calcs!$O11</f>
        <v>0</v>
      </c>
      <c r="M150" s="675">
        <f t="shared" ca="1" si="45"/>
        <v>54360.522726859926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3376.4449901339967</v>
      </c>
      <c r="AC150" s="632">
        <f ca="1">(AC$135*Calcs!AJ11-AC$140*AC$122)*Calcs!$O11</f>
        <v>0</v>
      </c>
      <c r="AD150" s="632">
        <f ca="1">(AD$135*Calcs!AK11-AD$140*AD$122)*Calcs!$O11</f>
        <v>1344.9852515238072</v>
      </c>
      <c r="AE150" s="632">
        <f ca="1">(AE$135*Calcs!AL11-AE$140*AE$122)*Calcs!$O11</f>
        <v>0</v>
      </c>
      <c r="AF150" s="632">
        <f ca="1">(AF$135*Calcs!AM11-AF$140*AF$122)*Calcs!$O11</f>
        <v>1770.7464886880525</v>
      </c>
      <c r="AG150" s="632">
        <f ca="1">(AG$135*Calcs!AN11-AG$140*AG$122)*Calcs!$O11</f>
        <v>0</v>
      </c>
      <c r="AH150" s="632">
        <f ca="1">(AH$135*Calcs!AO11-AH$140*AH$122)*Calcs!$O11</f>
        <v>1669.5827284886207</v>
      </c>
      <c r="AI150" s="632">
        <f ca="1">(AI$135*Calcs!AP11-AI$140*AI$122)*Calcs!$O11</f>
        <v>0</v>
      </c>
      <c r="AJ150" s="632">
        <f ca="1">(AJ$135*Calcs!AQ11-AJ$140*AJ$122)*Calcs!$O11</f>
        <v>3219.3494210504341</v>
      </c>
      <c r="AK150" s="682">
        <f t="shared" ca="1" si="47"/>
        <v>11381.108879884912</v>
      </c>
      <c r="AL150" s="510"/>
      <c r="AM150" s="685">
        <f t="shared" ca="1" si="48"/>
        <v>65741.631606744835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21801.858189109269</v>
      </c>
      <c r="E151" s="632">
        <f ca="1">(E$118*E$119*E$135*Calcs!AJ12)*Calcs!$O12</f>
        <v>0</v>
      </c>
      <c r="F151" s="632">
        <f ca="1">(F$118*F$119*F$135*Calcs!AK12)*Calcs!$O12</f>
        <v>8019.8705378541645</v>
      </c>
      <c r="G151" s="632">
        <f ca="1">(G$118*G$119*G$135*Calcs!AL12)*Calcs!$O12</f>
        <v>0</v>
      </c>
      <c r="H151" s="632">
        <f ca="1">(H$118*H$119*H$135*Calcs!AM12)*Calcs!$O12</f>
        <v>10614.01059808476</v>
      </c>
      <c r="I151" s="632">
        <f ca="1">(I$118*I$119*I$135*Calcs!AN12)*Calcs!$O12</f>
        <v>0</v>
      </c>
      <c r="J151" s="632">
        <f ca="1">(J$118*J$119*J$135*Calcs!AO12)*Calcs!$O12</f>
        <v>9291.4563262086849</v>
      </c>
      <c r="K151" s="632">
        <f ca="1">(K$118*K$119*K$135*Calcs!AP12)*Calcs!$O12</f>
        <v>0</v>
      </c>
      <c r="L151" s="632">
        <f ca="1">(L$118*L$119*L$135*Calcs!AQ12)*Calcs!$O12</f>
        <v>0</v>
      </c>
      <c r="M151" s="675">
        <f t="shared" ca="1" si="45"/>
        <v>49727.195651256872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3588.9745302103925</v>
      </c>
      <c r="AC151" s="632">
        <f ca="1">(AC$135*Calcs!AJ12-AC$140*AC$122)*Calcs!$O12</f>
        <v>0</v>
      </c>
      <c r="AD151" s="632">
        <f ca="1">(AD$135*Calcs!AK12-AD$140*AD$122)*Calcs!$O12</f>
        <v>1128.2893475033347</v>
      </c>
      <c r="AE151" s="632">
        <f ca="1">(AE$135*Calcs!AL12-AE$140*AE$122)*Calcs!$O12</f>
        <v>0</v>
      </c>
      <c r="AF151" s="632">
        <f ca="1">(AF$135*Calcs!AM12-AF$140*AF$122)*Calcs!$O12</f>
        <v>1100.8440554851081</v>
      </c>
      <c r="AG151" s="632">
        <f ca="1">(AG$135*Calcs!AN12-AG$140*AG$122)*Calcs!$O12</f>
        <v>0</v>
      </c>
      <c r="AH151" s="632">
        <f ca="1">(AH$135*Calcs!AO12-AH$140*AH$122)*Calcs!$O12</f>
        <v>1378.7474828861596</v>
      </c>
      <c r="AI151" s="632">
        <f ca="1">(AI$135*Calcs!AP12-AI$140*AI$122)*Calcs!$O12</f>
        <v>0</v>
      </c>
      <c r="AJ151" s="632">
        <f ca="1">(AJ$135*Calcs!AQ12-AJ$140*AJ$122)*Calcs!$O12</f>
        <v>2489.6505314128694</v>
      </c>
      <c r="AK151" s="682">
        <f t="shared" ca="1" si="47"/>
        <v>9686.5059474978643</v>
      </c>
      <c r="AL151" s="510"/>
      <c r="AM151" s="685">
        <f t="shared" ca="1" si="48"/>
        <v>59413.701598754735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23766.71449600382</v>
      </c>
      <c r="E152" s="632">
        <f ca="1">(E$118*E$119*E$135*Calcs!AJ13)*Calcs!$O13</f>
        <v>0</v>
      </c>
      <c r="F152" s="632">
        <f ca="1">(F$118*F$119*F$135*Calcs!AK13)*Calcs!$O13</f>
        <v>6460.715911004585</v>
      </c>
      <c r="G152" s="632">
        <f ca="1">(G$118*G$119*G$135*Calcs!AL13)*Calcs!$O13</f>
        <v>0</v>
      </c>
      <c r="H152" s="632">
        <f ca="1">(H$118*H$119*H$135*Calcs!AM13)*Calcs!$O13</f>
        <v>7415.7111232611205</v>
      </c>
      <c r="I152" s="632">
        <f ca="1">(I$118*I$119*I$135*Calcs!AN13)*Calcs!$O13</f>
        <v>0</v>
      </c>
      <c r="J152" s="632">
        <f ca="1">(J$118*J$119*J$135*Calcs!AO13)*Calcs!$O13</f>
        <v>7457.1694511146761</v>
      </c>
      <c r="K152" s="632">
        <f ca="1">(K$118*K$119*K$135*Calcs!AP13)*Calcs!$O13</f>
        <v>0</v>
      </c>
      <c r="L152" s="632">
        <f ca="1">(L$118*L$119*L$135*Calcs!AQ13)*Calcs!$O13</f>
        <v>0</v>
      </c>
      <c r="M152" s="675">
        <f t="shared" ca="1" si="45"/>
        <v>45100.310981384202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4066.5847831124761</v>
      </c>
      <c r="AC152" s="632">
        <f ca="1">(AC$135*Calcs!AJ13-AC$140*AC$122)*Calcs!$O13</f>
        <v>0</v>
      </c>
      <c r="AD152" s="632">
        <f ca="1">(AD$135*Calcs!AK13-AD$140*AD$122)*Calcs!$O13</f>
        <v>835.74970886887911</v>
      </c>
      <c r="AE152" s="632">
        <f ca="1">(AE$135*Calcs!AL13-AE$140*AE$122)*Calcs!$O13</f>
        <v>0</v>
      </c>
      <c r="AF152" s="632">
        <f ca="1">(AF$135*Calcs!AM13-AF$140*AF$122)*Calcs!$O13</f>
        <v>430.1900742056938</v>
      </c>
      <c r="AG152" s="632">
        <f ca="1">(AG$135*Calcs!AN13-AG$140*AG$122)*Calcs!$O13</f>
        <v>0</v>
      </c>
      <c r="AH152" s="632">
        <f ca="1">(AH$135*Calcs!AO13-AH$140*AH$122)*Calcs!$O13</f>
        <v>1032.0163689221824</v>
      </c>
      <c r="AI152" s="632">
        <f ca="1">(AI$135*Calcs!AP13-AI$140*AI$122)*Calcs!$O13</f>
        <v>0</v>
      </c>
      <c r="AJ152" s="632">
        <f ca="1">(AJ$135*Calcs!AQ13-AJ$140*AJ$122)*Calcs!$O13</f>
        <v>1735.5667456893912</v>
      </c>
      <c r="AK152" s="682">
        <f t="shared" ca="1" si="47"/>
        <v>8100.1076807986228</v>
      </c>
      <c r="AL152" s="510"/>
      <c r="AM152" s="685">
        <f t="shared" ca="1" si="48"/>
        <v>53200.418662182827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24521.153008744513</v>
      </c>
      <c r="E153" s="632">
        <f ca="1">(E$118*E$119*E$135*Calcs!AJ14)*Calcs!$O14</f>
        <v>0</v>
      </c>
      <c r="F153" s="632">
        <f ca="1">(F$118*F$119*F$135*Calcs!AK14)*Calcs!$O14</f>
        <v>4807.1938004809881</v>
      </c>
      <c r="G153" s="632">
        <f ca="1">(G$118*G$119*G$135*Calcs!AL14)*Calcs!$O14</f>
        <v>0</v>
      </c>
      <c r="H153" s="632">
        <f ca="1">(H$118*H$119*H$135*Calcs!AM14)*Calcs!$O14</f>
        <v>5535.0817945991957</v>
      </c>
      <c r="I153" s="632">
        <f ca="1">(I$118*I$119*I$135*Calcs!AN14)*Calcs!$O14</f>
        <v>0</v>
      </c>
      <c r="J153" s="632">
        <f ca="1">(J$118*J$119*J$135*Calcs!AO14)*Calcs!$O14</f>
        <v>5689.089051523526</v>
      </c>
      <c r="K153" s="632">
        <f ca="1">(K$118*K$119*K$135*Calcs!AP14)*Calcs!$O14</f>
        <v>0</v>
      </c>
      <c r="L153" s="632">
        <f ca="1">(L$118*L$119*L$135*Calcs!AQ14)*Calcs!$O14</f>
        <v>0</v>
      </c>
      <c r="M153" s="675">
        <f t="shared" ca="1" si="45"/>
        <v>40552.517655348231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4193.7343158125004</v>
      </c>
      <c r="AC153" s="632">
        <f ca="1">(AC$135*Calcs!AJ14-AC$140*AC$122)*Calcs!$O14</f>
        <v>0</v>
      </c>
      <c r="AD153" s="632">
        <f ca="1">(AD$135*Calcs!AK14-AD$140*AD$122)*Calcs!$O14</f>
        <v>495.5038660994428</v>
      </c>
      <c r="AE153" s="632">
        <f ca="1">(AE$135*Calcs!AL14-AE$140*AE$122)*Calcs!$O14</f>
        <v>0</v>
      </c>
      <c r="AF153" s="632">
        <f ca="1">(AF$135*Calcs!AM14-AF$140*AF$122)*Calcs!$O14</f>
        <v>-28.688451290419078</v>
      </c>
      <c r="AG153" s="632">
        <f ca="1">(AG$135*Calcs!AN14-AG$140*AG$122)*Calcs!$O14</f>
        <v>0</v>
      </c>
      <c r="AH153" s="632">
        <f ca="1">(AH$135*Calcs!AO14-AH$140*AH$122)*Calcs!$O14</f>
        <v>669.20653107252849</v>
      </c>
      <c r="AI153" s="632">
        <f ca="1">(AI$135*Calcs!AP14-AI$140*AI$122)*Calcs!$O14</f>
        <v>0</v>
      </c>
      <c r="AJ153" s="632">
        <f ca="1">(AJ$135*Calcs!AQ14-AJ$140*AJ$122)*Calcs!$O14</f>
        <v>894.05434774643447</v>
      </c>
      <c r="AK153" s="682">
        <f t="shared" ca="1" si="47"/>
        <v>6223.8106094404875</v>
      </c>
      <c r="AL153" s="510"/>
      <c r="AM153" s="685">
        <f t="shared" ca="1" si="48"/>
        <v>46776.328264788717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17813.18879582475</v>
      </c>
      <c r="E154" s="632">
        <f ca="1">(E$118*E$119*E$135*Calcs!AJ15)*Calcs!$O15</f>
        <v>0</v>
      </c>
      <c r="F154" s="632">
        <f ca="1">(F$118*F$119*F$135*Calcs!AK15)*Calcs!$O15</f>
        <v>2838.1549130469321</v>
      </c>
      <c r="G154" s="632">
        <f ca="1">(G$118*G$119*G$135*Calcs!AL15)*Calcs!$O15</f>
        <v>0</v>
      </c>
      <c r="H154" s="632">
        <f ca="1">(H$118*H$119*H$135*Calcs!AM15)*Calcs!$O15</f>
        <v>3972.0198271718023</v>
      </c>
      <c r="I154" s="632">
        <f ca="1">(I$118*I$119*I$135*Calcs!AN15)*Calcs!$O15</f>
        <v>0</v>
      </c>
      <c r="J154" s="632">
        <f ca="1">(J$118*J$119*J$135*Calcs!AO15)*Calcs!$O15</f>
        <v>3495.8152282343153</v>
      </c>
      <c r="K154" s="632">
        <f ca="1">(K$118*K$119*K$135*Calcs!AP15)*Calcs!$O15</f>
        <v>0</v>
      </c>
      <c r="L154" s="632">
        <f ca="1">(L$118*L$119*L$135*Calcs!AQ15)*Calcs!$O15</f>
        <v>0</v>
      </c>
      <c r="M154" s="675">
        <f t="shared" ca="1" si="45"/>
        <v>28119.1787642778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2742.5455873551414</v>
      </c>
      <c r="AC154" s="632">
        <f ca="1">(AC$135*Calcs!AJ15-AC$140*AC$122)*Calcs!$O15</f>
        <v>0</v>
      </c>
      <c r="AD154" s="632">
        <f ca="1">(AD$135*Calcs!AK15-AD$140*AD$122)*Calcs!$O15</f>
        <v>122.23129653029964</v>
      </c>
      <c r="AE154" s="632">
        <f ca="1">(AE$135*Calcs!AL15-AE$140*AE$122)*Calcs!$O15</f>
        <v>0</v>
      </c>
      <c r="AF154" s="632">
        <f ca="1">(AF$135*Calcs!AM15-AF$140*AF$122)*Calcs!$O15</f>
        <v>-335.67245561818703</v>
      </c>
      <c r="AG154" s="632">
        <f ca="1">(AG$135*Calcs!AN15-AG$140*AG$122)*Calcs!$O15</f>
        <v>0</v>
      </c>
      <c r="AH154" s="632">
        <f ca="1">(AH$135*Calcs!AO15-AH$140*AH$122)*Calcs!$O15</f>
        <v>251.76748493821034</v>
      </c>
      <c r="AI154" s="632">
        <f ca="1">(AI$135*Calcs!AP15-AI$140*AI$122)*Calcs!$O15</f>
        <v>0</v>
      </c>
      <c r="AJ154" s="632">
        <f ca="1">(AJ$135*Calcs!AQ15-AJ$140*AJ$122)*Calcs!$O15</f>
        <v>84.494343859825946</v>
      </c>
      <c r="AK154" s="682">
        <f t="shared" ca="1" si="47"/>
        <v>2865.36625706529</v>
      </c>
      <c r="AL154" s="510"/>
      <c r="AM154" s="685">
        <f t="shared" ca="1" si="48"/>
        <v>30984.545021343089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18559.728671207631</v>
      </c>
      <c r="E155" s="632">
        <f ca="1">(E$118*E$119*E$135*Calcs!AJ16)*Calcs!$O16</f>
        <v>0</v>
      </c>
      <c r="F155" s="632">
        <f ca="1">(F$118*F$119*F$135*Calcs!AK16)*Calcs!$O16</f>
        <v>2532.1782814891044</v>
      </c>
      <c r="G155" s="632">
        <f ca="1">(G$118*G$119*G$135*Calcs!AL16)*Calcs!$O16</f>
        <v>0</v>
      </c>
      <c r="H155" s="632">
        <f ca="1">(H$118*H$119*H$135*Calcs!AM16)*Calcs!$O16</f>
        <v>3086.9374928077623</v>
      </c>
      <c r="I155" s="632">
        <f ca="1">(I$118*I$119*I$135*Calcs!AN16)*Calcs!$O16</f>
        <v>0</v>
      </c>
      <c r="J155" s="632">
        <f ca="1">(J$118*J$119*J$135*Calcs!AO16)*Calcs!$O16</f>
        <v>3181.9403229060208</v>
      </c>
      <c r="K155" s="632">
        <f ca="1">(K$118*K$119*K$135*Calcs!AP16)*Calcs!$O16</f>
        <v>0</v>
      </c>
      <c r="L155" s="632">
        <f ca="1">(L$118*L$119*L$135*Calcs!AQ16)*Calcs!$O16</f>
        <v>0</v>
      </c>
      <c r="M155" s="675">
        <f t="shared" ca="1" si="45"/>
        <v>27360.784768410522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2867.9384961684987</v>
      </c>
      <c r="AC155" s="632">
        <f ca="1">(AC$135*Calcs!AJ16-AC$140*AC$122)*Calcs!$O16</f>
        <v>0</v>
      </c>
      <c r="AD155" s="632">
        <f ca="1">(AD$135*Calcs!AK16-AD$140*AD$122)*Calcs!$O16</f>
        <v>47.405003976240131</v>
      </c>
      <c r="AE155" s="632">
        <f ca="1">(AE$135*Calcs!AL16-AE$140*AE$122)*Calcs!$O16</f>
        <v>0</v>
      </c>
      <c r="AF155" s="632">
        <f ca="1">(AF$135*Calcs!AM16-AF$140*AF$122)*Calcs!$O16</f>
        <v>-573.14549669199289</v>
      </c>
      <c r="AG155" s="632">
        <f ca="1">(AG$135*Calcs!AN16-AG$140*AG$122)*Calcs!$O16</f>
        <v>0</v>
      </c>
      <c r="AH155" s="632">
        <f ca="1">(AH$135*Calcs!AO16-AH$140*AH$122)*Calcs!$O16</f>
        <v>175.385507396625</v>
      </c>
      <c r="AI155" s="632">
        <f ca="1">(AI$135*Calcs!AP16-AI$140*AI$122)*Calcs!$O16</f>
        <v>0</v>
      </c>
      <c r="AJ155" s="632">
        <f ca="1">(AJ$135*Calcs!AQ16-AJ$140*AJ$122)*Calcs!$O16</f>
        <v>-140.25563597173146</v>
      </c>
      <c r="AK155" s="682">
        <f t="shared" ca="1" si="47"/>
        <v>2377.3278748776397</v>
      </c>
      <c r="AL155" s="510"/>
      <c r="AM155" s="685">
        <f t="shared" ca="1" si="48"/>
        <v>29738.112643288161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251564.10308312491</v>
      </c>
      <c r="E156" s="672">
        <f t="shared" ca="1" si="49"/>
        <v>0</v>
      </c>
      <c r="F156" s="672">
        <f t="shared" ca="1" si="49"/>
        <v>70405.920864159605</v>
      </c>
      <c r="G156" s="672">
        <f t="shared" ca="1" si="49"/>
        <v>0</v>
      </c>
      <c r="H156" s="672">
        <f t="shared" ca="1" si="49"/>
        <v>93734.209358722946</v>
      </c>
      <c r="I156" s="672">
        <f t="shared" ca="1" si="49"/>
        <v>0</v>
      </c>
      <c r="J156" s="672">
        <f t="shared" ca="1" si="49"/>
        <v>83273.249999237116</v>
      </c>
      <c r="K156" s="672">
        <f t="shared" ca="1" si="49"/>
        <v>0</v>
      </c>
      <c r="L156" s="672">
        <f t="shared" ca="1" si="49"/>
        <v>0</v>
      </c>
      <c r="M156" s="672">
        <f t="shared" ca="1" si="49"/>
        <v>498977.48330524447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41115.23489669869</v>
      </c>
      <c r="AC156" s="677">
        <f t="shared" ca="1" si="51"/>
        <v>0</v>
      </c>
      <c r="AD156" s="677">
        <f t="shared" ca="1" si="51"/>
        <v>8553.2807117714765</v>
      </c>
      <c r="AE156" s="677">
        <f t="shared" ca="1" si="51"/>
        <v>0</v>
      </c>
      <c r="AF156" s="677">
        <f t="shared" ca="1" si="51"/>
        <v>6014.527168664973</v>
      </c>
      <c r="AG156" s="677">
        <f t="shared" ca="1" si="51"/>
        <v>0</v>
      </c>
      <c r="AH156" s="677">
        <f t="shared" ca="1" si="51"/>
        <v>11087.696629315615</v>
      </c>
      <c r="AI156" s="677">
        <f t="shared" ca="1" si="51"/>
        <v>0</v>
      </c>
      <c r="AJ156" s="677">
        <f t="shared" ca="1" si="51"/>
        <v>18249.424089630735</v>
      </c>
      <c r="AK156" s="677">
        <f t="shared" ca="1" si="51"/>
        <v>85020.163496081499</v>
      </c>
      <c r="AL156" s="645"/>
      <c r="AM156" s="683">
        <f ca="1">SUM(AM144:AM155)</f>
        <v>583997.64680132607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1.4420157862780814</v>
      </c>
      <c r="E175" s="569">
        <f>Inputs!C18/PeoDUnocc</f>
        <v>2.238454288407163</v>
      </c>
      <c r="F175" s="569">
        <f>D175*$E$18+E175*(1-$E$18)</f>
        <v>1.6743103493990634</v>
      </c>
      <c r="G175" s="569">
        <f t="shared" ref="G175:I177" si="53">$D175*$F$19</f>
        <v>0.16022237401335762</v>
      </c>
      <c r="H175" s="569">
        <f t="shared" si="53"/>
        <v>0.16022237401335762</v>
      </c>
      <c r="I175" s="569">
        <f t="shared" si="53"/>
        <v>0.16022237401335762</v>
      </c>
      <c r="J175" s="633" t="s">
        <v>516</v>
      </c>
      <c r="K175" s="740">
        <f>Calcs!F175*Calcs!C2</f>
        <v>13120.900484100701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3.61</v>
      </c>
      <c r="E176" s="569">
        <f>Inputs!C28+Inputs!C30</f>
        <v>4.93</v>
      </c>
      <c r="F176" s="569">
        <f>D176*$E$18+E176*(1-$E$18)</f>
        <v>3.9950000000000001</v>
      </c>
      <c r="G176" s="569">
        <f t="shared" si="53"/>
        <v>0.40110709999999999</v>
      </c>
      <c r="H176" s="569">
        <f t="shared" si="53"/>
        <v>0.40110709999999999</v>
      </c>
      <c r="I176" s="569">
        <f t="shared" si="53"/>
        <v>0.40110709999999999</v>
      </c>
      <c r="J176" s="633" t="s">
        <v>517</v>
      </c>
      <c r="K176" s="741">
        <f>Calcs!F176*Calcs!C2</f>
        <v>31307.217000000001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1.8363706664258654</v>
      </c>
      <c r="E177" s="510"/>
      <c r="F177" s="602">
        <f>F47/C2/8760*1000</f>
        <v>1.36027397260274</v>
      </c>
      <c r="G177" s="569">
        <f t="shared" si="53"/>
        <v>0.20403914474657792</v>
      </c>
      <c r="H177" s="569">
        <f t="shared" si="53"/>
        <v>0.20403914474657792</v>
      </c>
      <c r="I177" s="569">
        <f t="shared" si="53"/>
        <v>0.20403914474657792</v>
      </c>
      <c r="J177" s="633" t="s">
        <v>518</v>
      </c>
      <c r="K177" s="740">
        <f>Calcs!F177*Calcs!C2</f>
        <v>10659.923013698632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6.8883864527039469</v>
      </c>
      <c r="E178" s="509"/>
      <c r="F178" s="687">
        <f>SUM(D175:D177)</f>
        <v>6.8883864527039469</v>
      </c>
      <c r="G178" s="687">
        <f>SUM(G175:G177)</f>
        <v>0.76536861875993556</v>
      </c>
      <c r="H178" s="687">
        <f>SUM(H175:H177)</f>
        <v>0.76536861875993556</v>
      </c>
      <c r="I178" s="687">
        <f>SUM(I175:I177)</f>
        <v>0.76536861875993556</v>
      </c>
      <c r="J178" s="633" t="s">
        <v>519</v>
      </c>
      <c r="K178" s="740">
        <f>SUM(K175:K177)</f>
        <v>55088.040497799331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4016.1856158215451</v>
      </c>
      <c r="D188" s="599">
        <f>$C$2*H$178*AC5</f>
        <v>0</v>
      </c>
      <c r="E188" s="599">
        <f>$C$2*I$178*AD5</f>
        <v>669.36426930359073</v>
      </c>
      <c r="F188" s="510"/>
      <c r="G188" s="688">
        <f t="shared" ref="G188:G199" ca="1" si="54">$AM144*DD5</f>
        <v>0</v>
      </c>
      <c r="H188" s="688">
        <f t="shared" ref="H188:H199" ca="1" si="55">$AM144*DE5</f>
        <v>0</v>
      </c>
      <c r="I188" s="688">
        <f t="shared" ref="I188:I199" ca="1" si="56">$AM144*DF5</f>
        <v>0</v>
      </c>
      <c r="J188" s="510"/>
      <c r="K188" s="599">
        <f t="shared" ref="K188:K199" ca="1" si="57">(C188+G188)/AB5</f>
        <v>5997.8877177741115</v>
      </c>
      <c r="L188" s="599">
        <f t="shared" ref="L188:L199" si="58">IF(AC5=0,0,(D188+H188)/AC5)</f>
        <v>0</v>
      </c>
      <c r="M188" s="599">
        <f t="shared" ref="M188:M199" ca="1" si="59">(E188+I188)/AD5</f>
        <v>5997.8877177741106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3627.5224917097826</v>
      </c>
      <c r="D189" s="599">
        <f t="shared" ref="D189:D199" si="61">$C$2*H$178*AC6</f>
        <v>0</v>
      </c>
      <c r="E189" s="599">
        <f t="shared" ref="E189:E199" si="62">$C$2*I$178*AD6</f>
        <v>604.58708195163047</v>
      </c>
      <c r="F189" s="510"/>
      <c r="G189" s="688">
        <f t="shared" ca="1" si="54"/>
        <v>40.387841483713459</v>
      </c>
      <c r="H189" s="688">
        <f t="shared" ca="1" si="55"/>
        <v>0</v>
      </c>
      <c r="I189" s="688">
        <f t="shared" ca="1" si="56"/>
        <v>6.7313069139522437</v>
      </c>
      <c r="J189" s="510"/>
      <c r="K189" s="599">
        <f t="shared" ca="1" si="57"/>
        <v>6064.6665562061771</v>
      </c>
      <c r="L189" s="599">
        <f t="shared" si="58"/>
        <v>0</v>
      </c>
      <c r="M189" s="599">
        <f t="shared" ca="1" si="59"/>
        <v>6064.666556206178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4016.1856158215451</v>
      </c>
      <c r="D190" s="599">
        <f t="shared" si="61"/>
        <v>0</v>
      </c>
      <c r="E190" s="599">
        <f t="shared" si="62"/>
        <v>669.36426930359073</v>
      </c>
      <c r="F190" s="510"/>
      <c r="G190" s="688">
        <f t="shared" ca="1" si="54"/>
        <v>396.42949792047875</v>
      </c>
      <c r="H190" s="688">
        <f t="shared" ca="1" si="55"/>
        <v>0</v>
      </c>
      <c r="I190" s="688">
        <f t="shared" ca="1" si="56"/>
        <v>66.071582986746449</v>
      </c>
      <c r="J190" s="510"/>
      <c r="K190" s="599">
        <f t="shared" ca="1" si="57"/>
        <v>6589.9269918489008</v>
      </c>
      <c r="L190" s="599">
        <f t="shared" si="58"/>
        <v>0</v>
      </c>
      <c r="M190" s="599">
        <f t="shared" ca="1" si="59"/>
        <v>6589.9269918488999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3886.6312411176245</v>
      </c>
      <c r="D191" s="599">
        <f t="shared" si="61"/>
        <v>0</v>
      </c>
      <c r="E191" s="599">
        <f t="shared" si="62"/>
        <v>647.77187351960401</v>
      </c>
      <c r="F191" s="510"/>
      <c r="G191" s="688">
        <f t="shared" ca="1" si="54"/>
        <v>1535.2852542231276</v>
      </c>
      <c r="H191" s="688">
        <f t="shared" ca="1" si="55"/>
        <v>0</v>
      </c>
      <c r="I191" s="688">
        <f t="shared" ca="1" si="56"/>
        <v>255.88087570385463</v>
      </c>
      <c r="J191" s="510"/>
      <c r="K191" s="599">
        <f t="shared" ca="1" si="57"/>
        <v>8367.1550854023953</v>
      </c>
      <c r="L191" s="599">
        <f t="shared" si="58"/>
        <v>0</v>
      </c>
      <c r="M191" s="599">
        <f t="shared" ca="1" si="59"/>
        <v>8367.1550854023953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4016.1856158215451</v>
      </c>
      <c r="D192" s="599">
        <f t="shared" si="61"/>
        <v>0</v>
      </c>
      <c r="E192" s="599">
        <f t="shared" si="62"/>
        <v>669.36426930359073</v>
      </c>
      <c r="F192" s="510"/>
      <c r="G192" s="688">
        <f t="shared" ca="1" si="54"/>
        <v>2548.0162506153279</v>
      </c>
      <c r="H192" s="688">
        <f t="shared" ca="1" si="55"/>
        <v>0</v>
      </c>
      <c r="I192" s="688">
        <f t="shared" ca="1" si="56"/>
        <v>424.66937510255462</v>
      </c>
      <c r="J192" s="510"/>
      <c r="K192" s="599">
        <f t="shared" ca="1" si="57"/>
        <v>9803.168856685892</v>
      </c>
      <c r="L192" s="599">
        <f t="shared" si="58"/>
        <v>0</v>
      </c>
      <c r="M192" s="599">
        <f t="shared" ca="1" si="59"/>
        <v>9803.168856685892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3886.6312411176245</v>
      </c>
      <c r="D193" s="599">
        <f t="shared" si="61"/>
        <v>0</v>
      </c>
      <c r="E193" s="599">
        <f t="shared" si="62"/>
        <v>647.77187351960401</v>
      </c>
      <c r="F193" s="510"/>
      <c r="G193" s="688">
        <f t="shared" ca="1" si="54"/>
        <v>2952.7165793805643</v>
      </c>
      <c r="H193" s="688">
        <f t="shared" ca="1" si="55"/>
        <v>0</v>
      </c>
      <c r="I193" s="688">
        <f t="shared" ca="1" si="56"/>
        <v>492.11942989676078</v>
      </c>
      <c r="J193" s="510"/>
      <c r="K193" s="599">
        <f t="shared" ca="1" si="57"/>
        <v>10554.549105707081</v>
      </c>
      <c r="L193" s="599">
        <f t="shared" si="58"/>
        <v>0</v>
      </c>
      <c r="M193" s="599">
        <f t="shared" ca="1" si="59"/>
        <v>10554.549105707081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4016.1856158215451</v>
      </c>
      <c r="D194" s="599">
        <f t="shared" si="61"/>
        <v>0</v>
      </c>
      <c r="E194" s="599">
        <f t="shared" si="62"/>
        <v>669.36426930359073</v>
      </c>
      <c r="F194" s="510"/>
      <c r="G194" s="688">
        <f t="shared" ca="1" si="54"/>
        <v>2465.5319000924001</v>
      </c>
      <c r="H194" s="688">
        <f t="shared" ca="1" si="55"/>
        <v>0</v>
      </c>
      <c r="I194" s="688">
        <f t="shared" ca="1" si="56"/>
        <v>410.92198334873331</v>
      </c>
      <c r="J194" s="510"/>
      <c r="K194" s="599">
        <f t="shared" ca="1" si="57"/>
        <v>9679.984342762762</v>
      </c>
      <c r="L194" s="599">
        <f t="shared" si="58"/>
        <v>0</v>
      </c>
      <c r="M194" s="599">
        <f t="shared" ca="1" si="59"/>
        <v>9679.9843427627602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4016.1856158215451</v>
      </c>
      <c r="D195" s="599">
        <f t="shared" si="61"/>
        <v>0</v>
      </c>
      <c r="E195" s="599">
        <f t="shared" si="62"/>
        <v>669.36426930359073</v>
      </c>
      <c r="F195" s="510"/>
      <c r="G195" s="688">
        <f t="shared" ca="1" si="54"/>
        <v>1684.3363319163982</v>
      </c>
      <c r="H195" s="688">
        <f t="shared" ca="1" si="55"/>
        <v>0</v>
      </c>
      <c r="I195" s="688">
        <f t="shared" ca="1" si="56"/>
        <v>280.7227219860664</v>
      </c>
      <c r="J195" s="510"/>
      <c r="K195" s="599">
        <f t="shared" ca="1" si="57"/>
        <v>8513.3242947101899</v>
      </c>
      <c r="L195" s="599">
        <f t="shared" si="58"/>
        <v>0</v>
      </c>
      <c r="M195" s="599">
        <f t="shared" ca="1" si="59"/>
        <v>8513.3242947101899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3886.6312411176245</v>
      </c>
      <c r="D196" s="599">
        <f t="shared" si="61"/>
        <v>0</v>
      </c>
      <c r="E196" s="599">
        <f t="shared" si="62"/>
        <v>647.77187351960401</v>
      </c>
      <c r="F196" s="510"/>
      <c r="G196" s="688">
        <f t="shared" ca="1" si="54"/>
        <v>1061.1648237273937</v>
      </c>
      <c r="H196" s="688">
        <f t="shared" ca="1" si="55"/>
        <v>0</v>
      </c>
      <c r="I196" s="688">
        <f t="shared" ca="1" si="56"/>
        <v>176.8608039545656</v>
      </c>
      <c r="J196" s="510"/>
      <c r="K196" s="599">
        <f t="shared" ca="1" si="57"/>
        <v>7635.4877543904595</v>
      </c>
      <c r="L196" s="599">
        <f t="shared" si="58"/>
        <v>0</v>
      </c>
      <c r="M196" s="599">
        <f t="shared" ca="1" si="59"/>
        <v>7635.4877543904604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4016.1856158215451</v>
      </c>
      <c r="D197" s="599">
        <f t="shared" si="61"/>
        <v>0</v>
      </c>
      <c r="E197" s="599">
        <f t="shared" si="62"/>
        <v>669.36426930359073</v>
      </c>
      <c r="F197" s="510"/>
      <c r="G197" s="688">
        <f t="shared" ca="1" si="54"/>
        <v>459.52625618338146</v>
      </c>
      <c r="H197" s="688">
        <f t="shared" ca="1" si="55"/>
        <v>0</v>
      </c>
      <c r="I197" s="688">
        <f t="shared" ca="1" si="56"/>
        <v>76.587709363896906</v>
      </c>
      <c r="J197" s="510"/>
      <c r="K197" s="599">
        <f t="shared" ca="1" si="57"/>
        <v>6684.1575149416467</v>
      </c>
      <c r="L197" s="599">
        <f t="shared" si="58"/>
        <v>0</v>
      </c>
      <c r="M197" s="599">
        <f t="shared" ca="1" si="59"/>
        <v>6684.1575149416458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3886.6312411176245</v>
      </c>
      <c r="D198" s="599">
        <f t="shared" si="61"/>
        <v>0</v>
      </c>
      <c r="E198" s="599">
        <f t="shared" si="62"/>
        <v>647.77187351960401</v>
      </c>
      <c r="F198" s="510"/>
      <c r="G198" s="688">
        <f t="shared" ca="1" si="54"/>
        <v>69.122633579334334</v>
      </c>
      <c r="H198" s="688">
        <f t="shared" ca="1" si="55"/>
        <v>0</v>
      </c>
      <c r="I198" s="688">
        <f t="shared" ca="1" si="56"/>
        <v>11.520438929889055</v>
      </c>
      <c r="J198" s="510"/>
      <c r="K198" s="599">
        <f t="shared" ca="1" si="57"/>
        <v>6104.5584486064181</v>
      </c>
      <c r="L198" s="599">
        <f t="shared" si="58"/>
        <v>0</v>
      </c>
      <c r="M198" s="599">
        <f t="shared" ca="1" si="59"/>
        <v>6104.5584486064181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4016.1856158215451</v>
      </c>
      <c r="D199" s="599">
        <f t="shared" si="61"/>
        <v>0</v>
      </c>
      <c r="E199" s="599">
        <f t="shared" si="62"/>
        <v>669.36426930359073</v>
      </c>
      <c r="F199" s="510"/>
      <c r="G199" s="688">
        <f t="shared" ca="1" si="54"/>
        <v>0</v>
      </c>
      <c r="H199" s="688">
        <f t="shared" ca="1" si="55"/>
        <v>0</v>
      </c>
      <c r="I199" s="688">
        <f t="shared" ca="1" si="56"/>
        <v>0</v>
      </c>
      <c r="J199" s="510"/>
      <c r="K199" s="599">
        <f t="shared" ca="1" si="57"/>
        <v>5997.8877177741115</v>
      </c>
      <c r="L199" s="599">
        <f t="shared" si="58"/>
        <v>0</v>
      </c>
      <c r="M199" s="599">
        <f t="shared" ca="1" si="59"/>
        <v>5997.8877177741106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21.7</v>
      </c>
      <c r="E205" s="693">
        <f>Inputs!C22</f>
        <v>17.7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24.4</v>
      </c>
      <c r="E206" s="693">
        <f>Inputs!C24</f>
        <v>29.4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768065166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46324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187818805.03999999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2949.0365000000002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2949.0365000000002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265523.32528888888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17</v>
      </c>
      <c r="G216" s="699">
        <f>$F$16</f>
        <v>7</v>
      </c>
      <c r="H216" s="699">
        <f>$E$16</f>
        <v>17</v>
      </c>
      <c r="I216" s="699">
        <f>$F$16</f>
        <v>7</v>
      </c>
      <c r="J216" s="699">
        <f>$E$16</f>
        <v>17</v>
      </c>
      <c r="K216" s="699">
        <f>$F$16</f>
        <v>7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21.7</v>
      </c>
      <c r="E218" s="510"/>
      <c r="F218" s="569">
        <f>D218</f>
        <v>21.7</v>
      </c>
      <c r="G218" s="569">
        <f t="shared" ref="G218:G229" ca="1" si="64">(F218-$CS5-$K188/$D$211)*EXP(-$D$211/$D$212*G$216)+$CS5+$K188/$D$211</f>
        <v>19.748799253040975</v>
      </c>
      <c r="H218" s="569">
        <f t="shared" ref="H218:H229" ca="1" si="65">(G218-$CR5-$L188/$D$211)*EXP(-$D$211/$D$212*H$216)+$CR5+$L188/$D$211</f>
        <v>15.676996138807652</v>
      </c>
      <c r="I218" s="569">
        <f t="shared" ref="I218:I229" ca="1" si="66">(H218-$CS5-$M188/$D$211)*EXP(-$D$211/$D$212*I$216)+$CS5+$M188/$D$211</f>
        <v>14.176317172133954</v>
      </c>
      <c r="J218" s="569">
        <f t="shared" ref="J218:J229" ca="1" si="67">(I218-$CR5-$L188/$D$211)*EXP(-$D$211/$D$212*J$216)+$CR5+$L188/$D$211</f>
        <v>11.06329694870116</v>
      </c>
      <c r="K218" s="569">
        <f t="shared" ref="K218:K229" ca="1" si="68">(J218-$CS5-$M188/$D$211)*EXP(-$D$211/$D$212*K$216)+$CS5+$M188/$D$211</f>
        <v>9.9077235175261986</v>
      </c>
      <c r="L218" s="687"/>
      <c r="M218" s="687">
        <f t="shared" ref="M218:M229" ca="1" si="69">$D$212/G$216/$D$211*(F231-$CS5-$K188/$D$211)*(1-EXP(-$D$211/$D$212*G$216))+$CS5+$K188/$D$211</f>
        <v>20.711759469454705</v>
      </c>
      <c r="N218" s="687">
        <f t="shared" ref="N218:N229" ca="1" si="70">$D$212/H$216/$D$211*(G231-$CR5-$L188/$D$211)*(1-EXP(-$D$211/$D$212*H$216))+$CR5+$L188/$D$211</f>
        <v>17.648869094154477</v>
      </c>
      <c r="O218" s="687">
        <f t="shared" ref="O218:O229" ca="1" si="71">$D$212/I$216/$D$211*(H231-$CS5-$M188/$D$211)*(1-EXP(-$D$211/$D$212*I$216))+$CS5+$M188/$D$211</f>
        <v>16.863298096908721</v>
      </c>
      <c r="P218" s="687">
        <f t="shared" ref="P218:P229" ca="1" si="72">$D$212/J$216/$D$211*(I231-$CR5-$L188/$D$211)*(1-EXP(-$D$211/$D$212*J$216))+$CR5+$L188/$D$211</f>
        <v>15.78186783341458</v>
      </c>
      <c r="Q218" s="687">
        <f t="shared" ref="Q218:Q229" ca="1" si="73">$D$212/K$216/$D$211*(J231-$CS5-$M188/$D$211)*(1-EXP(-$D$211/$D$212*K$216))+$CS5+$M188/$D$211</f>
        <v>16.863298096908721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21.7</v>
      </c>
      <c r="E219" s="510"/>
      <c r="F219" s="569">
        <f t="shared" ref="F219:F229" si="74">D219</f>
        <v>21.7</v>
      </c>
      <c r="G219" s="569">
        <f t="shared" ca="1" si="64"/>
        <v>19.894175629882078</v>
      </c>
      <c r="H219" s="569">
        <f t="shared" ca="1" si="65"/>
        <v>16.175608246978271</v>
      </c>
      <c r="I219" s="569">
        <f t="shared" ca="1" si="66"/>
        <v>14.783009381097731</v>
      </c>
      <c r="J219" s="569">
        <f t="shared" ca="1" si="67"/>
        <v>11.94385240817301</v>
      </c>
      <c r="K219" s="569">
        <f t="shared" ca="1" si="68"/>
        <v>10.867789645899411</v>
      </c>
      <c r="L219" s="687"/>
      <c r="M219" s="687">
        <f t="shared" ca="1" si="69"/>
        <v>20.785389426803846</v>
      </c>
      <c r="N219" s="687">
        <f t="shared" ca="1" si="70"/>
        <v>17.976417924968676</v>
      </c>
      <c r="O219" s="687">
        <f t="shared" ca="1" si="71"/>
        <v>16.936928054257859</v>
      </c>
      <c r="P219" s="687">
        <f t="shared" ca="1" si="72"/>
        <v>15.976940103413328</v>
      </c>
      <c r="Q219" s="687">
        <f t="shared" ca="1" si="73"/>
        <v>16.936928054257859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21.7</v>
      </c>
      <c r="E220" s="510"/>
      <c r="F220" s="569">
        <f t="shared" si="74"/>
        <v>21.7</v>
      </c>
      <c r="G220" s="569">
        <f t="shared" ca="1" si="64"/>
        <v>20.354358161880338</v>
      </c>
      <c r="H220" s="569">
        <f t="shared" ca="1" si="65"/>
        <v>17.676820655997577</v>
      </c>
      <c r="I220" s="569">
        <f t="shared" ca="1" si="66"/>
        <v>16.632113361876083</v>
      </c>
      <c r="J220" s="569">
        <f t="shared" ca="1" si="67"/>
        <v>14.595013021658362</v>
      </c>
      <c r="K220" s="569">
        <f t="shared" ca="1" si="68"/>
        <v>13.780825497060073</v>
      </c>
      <c r="L220" s="687"/>
      <c r="M220" s="687">
        <f t="shared" ca="1" si="69"/>
        <v>21.018461820958272</v>
      </c>
      <c r="N220" s="687">
        <f t="shared" ca="1" si="70"/>
        <v>18.97348546189675</v>
      </c>
      <c r="O220" s="687">
        <f t="shared" ca="1" si="71"/>
        <v>17.170000448412281</v>
      </c>
      <c r="P220" s="687">
        <f t="shared" ca="1" si="72"/>
        <v>16.554658909060873</v>
      </c>
      <c r="Q220" s="687">
        <f t="shared" ca="1" si="73"/>
        <v>17.170000448412281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21.7</v>
      </c>
      <c r="E221" s="510"/>
      <c r="F221" s="569">
        <f t="shared" si="74"/>
        <v>21.7</v>
      </c>
      <c r="G221" s="569">
        <f t="shared" ca="1" si="64"/>
        <v>20.847392838197067</v>
      </c>
      <c r="H221" s="569">
        <f t="shared" ca="1" si="65"/>
        <v>19.145762055611954</v>
      </c>
      <c r="I221" s="569">
        <f t="shared" ca="1" si="66"/>
        <v>18.484212354919507</v>
      </c>
      <c r="J221" s="569">
        <f t="shared" ca="1" si="67"/>
        <v>17.189182613368416</v>
      </c>
      <c r="K221" s="569">
        <f t="shared" ca="1" si="68"/>
        <v>16.673985409520412</v>
      </c>
      <c r="L221" s="687"/>
      <c r="M221" s="687">
        <f t="shared" ca="1" si="69"/>
        <v>21.268173108154031</v>
      </c>
      <c r="N221" s="687">
        <f t="shared" ca="1" si="70"/>
        <v>19.969819512721351</v>
      </c>
      <c r="O221" s="687">
        <f t="shared" ca="1" si="71"/>
        <v>18.810701591836867</v>
      </c>
      <c r="P221" s="687">
        <f t="shared" ca="1" si="72"/>
        <v>17.816333301182361</v>
      </c>
      <c r="Q221" s="687">
        <f t="shared" ca="1" si="73"/>
        <v>17.419711735608047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21.7</v>
      </c>
      <c r="E222" s="510"/>
      <c r="F222" s="569">
        <f t="shared" si="74"/>
        <v>21.7</v>
      </c>
      <c r="G222" s="569">
        <f t="shared" ca="1" si="64"/>
        <v>21.136878746914405</v>
      </c>
      <c r="H222" s="569">
        <f t="shared" ca="1" si="65"/>
        <v>20.447367193139403</v>
      </c>
      <c r="I222" s="569">
        <f t="shared" ca="1" si="66"/>
        <v>19.977943101004811</v>
      </c>
      <c r="J222" s="569">
        <f t="shared" ca="1" si="67"/>
        <v>19.487834192712363</v>
      </c>
      <c r="K222" s="569">
        <f t="shared" ca="1" si="68"/>
        <v>19.090183342893003</v>
      </c>
      <c r="L222" s="687"/>
      <c r="M222" s="687">
        <f t="shared" ca="1" si="69"/>
        <v>21.414791393567295</v>
      </c>
      <c r="N222" s="687">
        <f t="shared" ca="1" si="70"/>
        <v>20.781280485885656</v>
      </c>
      <c r="O222" s="687">
        <f t="shared" ca="1" si="71"/>
        <v>20.209614150770577</v>
      </c>
      <c r="P222" s="687">
        <f t="shared" ca="1" si="72"/>
        <v>19.725181744723951</v>
      </c>
      <c r="Q222" s="687">
        <f t="shared" ca="1" si="73"/>
        <v>19.286432728813924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21.7</v>
      </c>
      <c r="E223" s="510"/>
      <c r="F223" s="569">
        <f t="shared" si="74"/>
        <v>21.7</v>
      </c>
      <c r="G223" s="569">
        <f t="shared" ca="1" si="64"/>
        <v>21.656824715454935</v>
      </c>
      <c r="H223" s="569">
        <f t="shared" ca="1" si="65"/>
        <v>21.815393317747478</v>
      </c>
      <c r="I223" s="569">
        <f t="shared" ca="1" si="66"/>
        <v>21.763586592123719</v>
      </c>
      <c r="J223" s="569">
        <f t="shared" ca="1" si="67"/>
        <v>21.903786097978877</v>
      </c>
      <c r="K223" s="569">
        <f t="shared" ca="1" si="68"/>
        <v>21.845367576375573</v>
      </c>
      <c r="L223" s="687"/>
      <c r="M223" s="687">
        <f t="shared" ca="1" si="69"/>
        <v>21.678132662068851</v>
      </c>
      <c r="N223" s="687">
        <f t="shared" ca="1" si="70"/>
        <v>21.738602488314978</v>
      </c>
      <c r="O223" s="687">
        <f t="shared" ca="1" si="71"/>
        <v>21.789154343569127</v>
      </c>
      <c r="P223" s="687">
        <f t="shared" ca="1" si="72"/>
        <v>21.835890964989169</v>
      </c>
      <c r="Q223" s="687">
        <f t="shared" ca="1" si="73"/>
        <v>21.874198393652247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21.7</v>
      </c>
      <c r="E224" s="510"/>
      <c r="F224" s="569">
        <f t="shared" si="74"/>
        <v>21.7</v>
      </c>
      <c r="G224" s="569">
        <f t="shared" ca="1" si="64"/>
        <v>21.853593976963115</v>
      </c>
      <c r="H224" s="569">
        <f t="shared" ca="1" si="65"/>
        <v>22.504391425805661</v>
      </c>
      <c r="I224" s="569">
        <f t="shared" ca="1" si="66"/>
        <v>22.597816778349451</v>
      </c>
      <c r="J224" s="569">
        <f t="shared" ca="1" si="67"/>
        <v>23.120565706164413</v>
      </c>
      <c r="K224" s="569">
        <f t="shared" ca="1" si="68"/>
        <v>23.167901110876372</v>
      </c>
      <c r="L224" s="687"/>
      <c r="M224" s="687">
        <f t="shared" ca="1" si="69"/>
        <v>21.777791992197191</v>
      </c>
      <c r="N224" s="687">
        <f t="shared" ca="1" si="70"/>
        <v>22.18922641100043</v>
      </c>
      <c r="O224" s="687">
        <f t="shared" ca="1" si="71"/>
        <v>22.551709324852258</v>
      </c>
      <c r="P224" s="687">
        <f t="shared" ca="1" si="72"/>
        <v>22.867411404672858</v>
      </c>
      <c r="Q224" s="687">
        <f t="shared" ca="1" si="73"/>
        <v>23.144540054031502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21.7</v>
      </c>
      <c r="E225" s="510"/>
      <c r="F225" s="569">
        <f t="shared" si="74"/>
        <v>21.7</v>
      </c>
      <c r="G225" s="569">
        <f t="shared" ca="1" si="64"/>
        <v>21.666163763925827</v>
      </c>
      <c r="H225" s="569">
        <f t="shared" ca="1" si="65"/>
        <v>21.928079020497144</v>
      </c>
      <c r="I225" s="569">
        <f t="shared" ca="1" si="66"/>
        <v>21.877182432358083</v>
      </c>
      <c r="J225" s="569">
        <f t="shared" ca="1" si="67"/>
        <v>22.102790512702569</v>
      </c>
      <c r="K225" s="569">
        <f t="shared" ca="1" si="68"/>
        <v>22.038825473285925</v>
      </c>
      <c r="L225" s="687"/>
      <c r="M225" s="687">
        <f t="shared" ca="1" si="69"/>
        <v>21.682862685993889</v>
      </c>
      <c r="N225" s="687">
        <f t="shared" ca="1" si="70"/>
        <v>21.801239977317387</v>
      </c>
      <c r="O225" s="687">
        <f t="shared" ca="1" si="71"/>
        <v>21.902301011061734</v>
      </c>
      <c r="P225" s="687">
        <f t="shared" ca="1" si="72"/>
        <v>21.993534131768058</v>
      </c>
      <c r="Q225" s="687">
        <f t="shared" ca="1" si="73"/>
        <v>22.070393618334847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21.7</v>
      </c>
      <c r="E226" s="510"/>
      <c r="F226" s="569">
        <f t="shared" si="74"/>
        <v>21.7</v>
      </c>
      <c r="G226" s="569">
        <f t="shared" ca="1" si="64"/>
        <v>21.342035106122935</v>
      </c>
      <c r="H226" s="569">
        <f t="shared" ca="1" si="65"/>
        <v>21.061873523185636</v>
      </c>
      <c r="I226" s="569">
        <f t="shared" ca="1" si="66"/>
        <v>20.751640605413382</v>
      </c>
      <c r="J226" s="569">
        <f t="shared" ca="1" si="67"/>
        <v>20.57306035335959</v>
      </c>
      <c r="K226" s="569">
        <f t="shared" ca="1" si="68"/>
        <v>20.299390749271375</v>
      </c>
      <c r="L226" s="687"/>
      <c r="M226" s="687">
        <f t="shared" ca="1" si="69"/>
        <v>21.518698605362367</v>
      </c>
      <c r="N226" s="687">
        <f t="shared" ca="1" si="70"/>
        <v>21.197548808316714</v>
      </c>
      <c r="O226" s="687">
        <f t="shared" ca="1" si="71"/>
        <v>20.904747331157633</v>
      </c>
      <c r="P226" s="687">
        <f t="shared" ca="1" si="72"/>
        <v>20.659542326948383</v>
      </c>
      <c r="Q226" s="687">
        <f t="shared" ca="1" si="73"/>
        <v>20.434452680540808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21.7</v>
      </c>
      <c r="E227" s="510"/>
      <c r="F227" s="569">
        <f t="shared" si="74"/>
        <v>21.7</v>
      </c>
      <c r="G227" s="569">
        <f t="shared" ca="1" si="64"/>
        <v>20.844155883494814</v>
      </c>
      <c r="H227" s="569">
        <f t="shared" ca="1" si="65"/>
        <v>19.359450145614584</v>
      </c>
      <c r="I227" s="569">
        <f t="shared" ca="1" si="66"/>
        <v>18.678679582363859</v>
      </c>
      <c r="J227" s="569">
        <f t="shared" ca="1" si="67"/>
        <v>17.566558555894751</v>
      </c>
      <c r="K227" s="569">
        <f t="shared" ca="1" si="68"/>
        <v>17.019896608456747</v>
      </c>
      <c r="L227" s="687"/>
      <c r="M227" s="687">
        <f t="shared" ca="1" si="69"/>
        <v>21.266533661348113</v>
      </c>
      <c r="N227" s="687">
        <f t="shared" ca="1" si="70"/>
        <v>20.078456199944775</v>
      </c>
      <c r="O227" s="687">
        <f t="shared" ca="1" si="71"/>
        <v>19.014654735068014</v>
      </c>
      <c r="P227" s="687">
        <f t="shared" ca="1" si="72"/>
        <v>18.105131103153067</v>
      </c>
      <c r="Q227" s="687">
        <f t="shared" ca="1" si="73"/>
        <v>17.418072288802126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21.7</v>
      </c>
      <c r="E228" s="510"/>
      <c r="F228" s="569">
        <f t="shared" si="74"/>
        <v>21.7</v>
      </c>
      <c r="G228" s="569">
        <f t="shared" ca="1" si="64"/>
        <v>20.472565986978022</v>
      </c>
      <c r="H228" s="569">
        <f t="shared" ca="1" si="65"/>
        <v>17.873157397661448</v>
      </c>
      <c r="I228" s="569">
        <f t="shared" ca="1" si="66"/>
        <v>16.931971904781708</v>
      </c>
      <c r="J228" s="569">
        <f t="shared" ca="1" si="67"/>
        <v>14.94174625764283</v>
      </c>
      <c r="K228" s="569">
        <f t="shared" ca="1" si="68"/>
        <v>14.219830849256775</v>
      </c>
      <c r="L228" s="687"/>
      <c r="M228" s="687">
        <f t="shared" ca="1" si="69"/>
        <v>21.078331500677898</v>
      </c>
      <c r="N228" s="687">
        <f t="shared" ca="1" si="70"/>
        <v>19.131986312854394</v>
      </c>
      <c r="O228" s="687">
        <f t="shared" ca="1" si="71"/>
        <v>17.396467517199579</v>
      </c>
      <c r="P228" s="687">
        <f t="shared" ca="1" si="72"/>
        <v>16.605440978805994</v>
      </c>
      <c r="Q228" s="687">
        <f t="shared" ca="1" si="73"/>
        <v>17.22987012813191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21.7</v>
      </c>
      <c r="E229" s="510"/>
      <c r="F229" s="569">
        <f t="shared" si="74"/>
        <v>21.7</v>
      </c>
      <c r="G229" s="569">
        <f t="shared" ca="1" si="64"/>
        <v>19.839042052315168</v>
      </c>
      <c r="H229" s="569">
        <f t="shared" ca="1" si="65"/>
        <v>15.902102241510732</v>
      </c>
      <c r="I229" s="569">
        <f t="shared" ca="1" si="66"/>
        <v>14.474828096836074</v>
      </c>
      <c r="J229" s="569">
        <f t="shared" ca="1" si="67"/>
        <v>11.460837249964358</v>
      </c>
      <c r="K229" s="569">
        <f t="shared" ca="1" si="68"/>
        <v>10.365770531488211</v>
      </c>
      <c r="L229" s="687"/>
      <c r="M229" s="687">
        <f t="shared" ca="1" si="69"/>
        <v>20.757465474831964</v>
      </c>
      <c r="N229" s="687">
        <f t="shared" ca="1" si="70"/>
        <v>17.808664253955982</v>
      </c>
      <c r="O229" s="687">
        <f t="shared" ca="1" si="71"/>
        <v>16.90900410228598</v>
      </c>
      <c r="P229" s="687">
        <f t="shared" ca="1" si="72"/>
        <v>15.859427791417986</v>
      </c>
      <c r="Q229" s="687">
        <f t="shared" ca="1" si="73"/>
        <v>16.90900410228598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21.7</v>
      </c>
      <c r="G231" s="569">
        <f t="shared" ca="1" si="75"/>
        <v>19.748799253040975</v>
      </c>
      <c r="H231" s="569">
        <f t="shared" ca="1" si="75"/>
        <v>17.7</v>
      </c>
      <c r="I231" s="569">
        <f t="shared" ca="1" si="75"/>
        <v>17.7</v>
      </c>
      <c r="J231" s="569">
        <f t="shared" ca="1" si="75"/>
        <v>17.7</v>
      </c>
      <c r="K231" s="569">
        <f t="shared" ca="1" si="75"/>
        <v>17.7</v>
      </c>
      <c r="L231" s="687"/>
      <c r="M231" s="569">
        <f t="shared" ref="M231:Q242" ca="1" si="76">IF(AND($G$205=1,M218&lt;=$E$205),$E$205,M218)</f>
        <v>20.711759469454705</v>
      </c>
      <c r="N231" s="569">
        <f t="shared" ca="1" si="76"/>
        <v>17.7</v>
      </c>
      <c r="O231" s="569">
        <f t="shared" ca="1" si="76"/>
        <v>17.7</v>
      </c>
      <c r="P231" s="569">
        <f t="shared" ca="1" si="76"/>
        <v>17.7</v>
      </c>
      <c r="Q231" s="569">
        <f t="shared" ca="1" si="76"/>
        <v>17.7</v>
      </c>
      <c r="R231" s="687"/>
      <c r="S231" s="687">
        <f ca="1">AVERAGE(M231:Q231)</f>
        <v>18.302351893890943</v>
      </c>
      <c r="T231" s="510"/>
      <c r="U231" s="570">
        <f ca="1">IF($G$205=1,M231,D218)</f>
        <v>20.711759469454705</v>
      </c>
      <c r="V231" s="570">
        <f t="shared" ref="V231:V242" ca="1" si="77">IF($G$205=1,S231,D218)</f>
        <v>18.302351893890943</v>
      </c>
      <c r="W231" s="510"/>
      <c r="X231" s="569">
        <f t="shared" ref="X231:X242" ca="1" si="78">D218*$E$18+U231*$F$18+V231*$I$18</f>
        <v>21.3113711962758</v>
      </c>
      <c r="Y231" s="510"/>
      <c r="Z231" s="704">
        <f ca="1">IF($D$205&gt;X231,X231,$D$205)</f>
        <v>21.3113711962758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21.7</v>
      </c>
      <c r="G232" s="569">
        <f t="shared" ca="1" si="75"/>
        <v>19.894175629882078</v>
      </c>
      <c r="H232" s="569">
        <f t="shared" ca="1" si="75"/>
        <v>17.7</v>
      </c>
      <c r="I232" s="569">
        <f t="shared" ca="1" si="75"/>
        <v>17.7</v>
      </c>
      <c r="J232" s="569">
        <f t="shared" ca="1" si="75"/>
        <v>17.7</v>
      </c>
      <c r="K232" s="569">
        <f t="shared" ca="1" si="75"/>
        <v>17.7</v>
      </c>
      <c r="L232" s="687"/>
      <c r="M232" s="569">
        <f t="shared" ca="1" si="76"/>
        <v>20.785389426803846</v>
      </c>
      <c r="N232" s="569">
        <f t="shared" ca="1" si="76"/>
        <v>17.976417924968676</v>
      </c>
      <c r="O232" s="569">
        <f t="shared" ca="1" si="76"/>
        <v>17.7</v>
      </c>
      <c r="P232" s="569">
        <f t="shared" ca="1" si="76"/>
        <v>17.7</v>
      </c>
      <c r="Q232" s="569">
        <f t="shared" ca="1" si="76"/>
        <v>17.7</v>
      </c>
      <c r="R232" s="687"/>
      <c r="S232" s="687">
        <f t="shared" ref="S232:S242" ca="1" si="79">AVERAGE(M232:Q232)</f>
        <v>18.372361470354505</v>
      </c>
      <c r="T232" s="510"/>
      <c r="U232" s="570">
        <f t="shared" ref="U232:U242" ca="1" si="80">IF($G$205=1,M232,D219)</f>
        <v>20.785389426803846</v>
      </c>
      <c r="V232" s="570">
        <f t="shared" ca="1" si="77"/>
        <v>18.372361470354505</v>
      </c>
      <c r="W232" s="510"/>
      <c r="X232" s="569">
        <f t="shared" ca="1" si="78"/>
        <v>21.332695751299067</v>
      </c>
      <c r="Y232" s="510"/>
      <c r="Z232" s="704">
        <f t="shared" ref="Z232:Z242" ca="1" si="81">IF($D$205&gt;X232,X232,$D$205)</f>
        <v>21.332695751299067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21.7</v>
      </c>
      <c r="G233" s="569">
        <f t="shared" ca="1" si="75"/>
        <v>20.354358161880338</v>
      </c>
      <c r="H233" s="569">
        <f t="shared" ca="1" si="75"/>
        <v>17.7</v>
      </c>
      <c r="I233" s="569">
        <f t="shared" ca="1" si="75"/>
        <v>17.7</v>
      </c>
      <c r="J233" s="569">
        <f t="shared" ca="1" si="75"/>
        <v>17.7</v>
      </c>
      <c r="K233" s="569">
        <f t="shared" ca="1" si="75"/>
        <v>17.7</v>
      </c>
      <c r="L233" s="687"/>
      <c r="M233" s="569">
        <f t="shared" ca="1" si="76"/>
        <v>21.018461820958272</v>
      </c>
      <c r="N233" s="569">
        <f t="shared" ca="1" si="76"/>
        <v>18.97348546189675</v>
      </c>
      <c r="O233" s="569">
        <f t="shared" ca="1" si="76"/>
        <v>17.7</v>
      </c>
      <c r="P233" s="569">
        <f t="shared" ca="1" si="76"/>
        <v>17.7</v>
      </c>
      <c r="Q233" s="569">
        <f t="shared" ca="1" si="76"/>
        <v>17.7</v>
      </c>
      <c r="R233" s="687"/>
      <c r="S233" s="687">
        <f t="shared" ca="1" si="79"/>
        <v>18.618389456571006</v>
      </c>
      <c r="T233" s="510"/>
      <c r="U233" s="570">
        <f t="shared" ca="1" si="80"/>
        <v>21.018461820958272</v>
      </c>
      <c r="V233" s="570">
        <f t="shared" ca="1" si="77"/>
        <v>18.618389456571006</v>
      </c>
      <c r="W233" s="510"/>
      <c r="X233" s="569">
        <f t="shared" ca="1" si="78"/>
        <v>21.401215015930028</v>
      </c>
      <c r="Y233" s="510"/>
      <c r="Z233" s="704">
        <f t="shared" ca="1" si="81"/>
        <v>21.401215015930028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21.7</v>
      </c>
      <c r="G234" s="569">
        <f t="shared" ca="1" si="75"/>
        <v>20.847392838197067</v>
      </c>
      <c r="H234" s="569">
        <f t="shared" ca="1" si="75"/>
        <v>19.145762055611954</v>
      </c>
      <c r="I234" s="569">
        <f t="shared" ca="1" si="75"/>
        <v>18.484212354919507</v>
      </c>
      <c r="J234" s="569">
        <f t="shared" ca="1" si="75"/>
        <v>17.7</v>
      </c>
      <c r="K234" s="569">
        <f t="shared" ca="1" si="75"/>
        <v>17.7</v>
      </c>
      <c r="L234" s="687"/>
      <c r="M234" s="569">
        <f t="shared" ca="1" si="76"/>
        <v>21.268173108154031</v>
      </c>
      <c r="N234" s="569">
        <f t="shared" ca="1" si="76"/>
        <v>19.969819512721351</v>
      </c>
      <c r="O234" s="569">
        <f t="shared" ca="1" si="76"/>
        <v>18.810701591836867</v>
      </c>
      <c r="P234" s="569">
        <f t="shared" ca="1" si="76"/>
        <v>17.816333301182361</v>
      </c>
      <c r="Q234" s="569">
        <f t="shared" ca="1" si="76"/>
        <v>17.7</v>
      </c>
      <c r="R234" s="687"/>
      <c r="S234" s="687">
        <f t="shared" ca="1" si="79"/>
        <v>19.113005502778922</v>
      </c>
      <c r="T234" s="510"/>
      <c r="U234" s="570">
        <f t="shared" ca="1" si="80"/>
        <v>21.268173108154031</v>
      </c>
      <c r="V234" s="570">
        <f t="shared" ca="1" si="77"/>
        <v>19.113005502778922</v>
      </c>
      <c r="W234" s="510"/>
      <c r="X234" s="569">
        <f t="shared" ca="1" si="78"/>
        <v>21.484251839654295</v>
      </c>
      <c r="Y234" s="510"/>
      <c r="Z234" s="704">
        <f t="shared" ca="1" si="81"/>
        <v>21.484251839654295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21.7</v>
      </c>
      <c r="G235" s="569">
        <f t="shared" ca="1" si="75"/>
        <v>21.136878746914405</v>
      </c>
      <c r="H235" s="569">
        <f t="shared" ca="1" si="75"/>
        <v>20.447367193139403</v>
      </c>
      <c r="I235" s="569">
        <f t="shared" ca="1" si="75"/>
        <v>19.977943101004811</v>
      </c>
      <c r="J235" s="569">
        <f t="shared" ca="1" si="75"/>
        <v>19.487834192712363</v>
      </c>
      <c r="K235" s="569">
        <f t="shared" ca="1" si="75"/>
        <v>19.090183342893003</v>
      </c>
      <c r="L235" s="687"/>
      <c r="M235" s="569">
        <f t="shared" ca="1" si="76"/>
        <v>21.414791393567295</v>
      </c>
      <c r="N235" s="569">
        <f t="shared" ca="1" si="76"/>
        <v>20.781280485885656</v>
      </c>
      <c r="O235" s="569">
        <f t="shared" ca="1" si="76"/>
        <v>20.209614150770577</v>
      </c>
      <c r="P235" s="569">
        <f t="shared" ca="1" si="76"/>
        <v>19.725181744723951</v>
      </c>
      <c r="Q235" s="569">
        <f t="shared" ca="1" si="76"/>
        <v>19.286432728813924</v>
      </c>
      <c r="R235" s="687"/>
      <c r="S235" s="687">
        <f t="shared" ca="1" si="79"/>
        <v>20.283460100752279</v>
      </c>
      <c r="T235" s="510"/>
      <c r="U235" s="570">
        <f t="shared" ca="1" si="80"/>
        <v>21.414791393567295</v>
      </c>
      <c r="V235" s="570">
        <f t="shared" ca="1" si="77"/>
        <v>20.283460100752279</v>
      </c>
      <c r="W235" s="510"/>
      <c r="X235" s="569">
        <f t="shared" ca="1" si="78"/>
        <v>21.569675352589837</v>
      </c>
      <c r="Y235" s="510"/>
      <c r="Z235" s="704">
        <f t="shared" ca="1" si="81"/>
        <v>21.569675352589837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21.7</v>
      </c>
      <c r="G236" s="569">
        <f t="shared" ca="1" si="75"/>
        <v>21.656824715454935</v>
      </c>
      <c r="H236" s="569">
        <f t="shared" ca="1" si="75"/>
        <v>21.815393317747478</v>
      </c>
      <c r="I236" s="569">
        <f t="shared" ca="1" si="75"/>
        <v>21.763586592123719</v>
      </c>
      <c r="J236" s="569">
        <f t="shared" ca="1" si="75"/>
        <v>21.903786097978877</v>
      </c>
      <c r="K236" s="569">
        <f t="shared" ca="1" si="75"/>
        <v>21.845367576375573</v>
      </c>
      <c r="L236" s="687"/>
      <c r="M236" s="569">
        <f t="shared" ca="1" si="76"/>
        <v>21.678132662068851</v>
      </c>
      <c r="N236" s="569">
        <f t="shared" ca="1" si="76"/>
        <v>21.738602488314978</v>
      </c>
      <c r="O236" s="569">
        <f t="shared" ca="1" si="76"/>
        <v>21.789154343569127</v>
      </c>
      <c r="P236" s="569">
        <f t="shared" ca="1" si="76"/>
        <v>21.835890964989169</v>
      </c>
      <c r="Q236" s="569">
        <f t="shared" ca="1" si="76"/>
        <v>21.874198393652247</v>
      </c>
      <c r="R236" s="687"/>
      <c r="S236" s="687">
        <f t="shared" ca="1" si="79"/>
        <v>21.783195770518876</v>
      </c>
      <c r="T236" s="510"/>
      <c r="U236" s="570">
        <f t="shared" ca="1" si="80"/>
        <v>21.678132662068851</v>
      </c>
      <c r="V236" s="570">
        <f t="shared" ca="1" si="77"/>
        <v>21.783195770518876</v>
      </c>
      <c r="W236" s="510"/>
      <c r="X236" s="569">
        <f t="shared" ca="1" si="78"/>
        <v>21.697999655955499</v>
      </c>
      <c r="Y236" s="510"/>
      <c r="Z236" s="704">
        <f t="shared" ca="1" si="81"/>
        <v>21.697999655955499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21.7</v>
      </c>
      <c r="G237" s="569">
        <f t="shared" ca="1" si="75"/>
        <v>21.853593976963115</v>
      </c>
      <c r="H237" s="569">
        <f t="shared" ca="1" si="75"/>
        <v>22.504391425805661</v>
      </c>
      <c r="I237" s="569">
        <f t="shared" ca="1" si="75"/>
        <v>22.597816778349451</v>
      </c>
      <c r="J237" s="569">
        <f t="shared" ca="1" si="75"/>
        <v>23.120565706164413</v>
      </c>
      <c r="K237" s="569">
        <f t="shared" ca="1" si="75"/>
        <v>23.167901110876372</v>
      </c>
      <c r="L237" s="687"/>
      <c r="M237" s="569">
        <f t="shared" ca="1" si="76"/>
        <v>21.777791992197191</v>
      </c>
      <c r="N237" s="569">
        <f t="shared" ca="1" si="76"/>
        <v>22.18922641100043</v>
      </c>
      <c r="O237" s="569">
        <f t="shared" ca="1" si="76"/>
        <v>22.551709324852258</v>
      </c>
      <c r="P237" s="569">
        <f t="shared" ca="1" si="76"/>
        <v>22.867411404672858</v>
      </c>
      <c r="Q237" s="569">
        <f t="shared" ca="1" si="76"/>
        <v>23.144540054031502</v>
      </c>
      <c r="R237" s="687"/>
      <c r="S237" s="687">
        <f t="shared" ca="1" si="79"/>
        <v>22.506135837350847</v>
      </c>
      <c r="T237" s="510"/>
      <c r="U237" s="570">
        <f t="shared" ca="1" si="80"/>
        <v>21.777791992197191</v>
      </c>
      <c r="V237" s="570">
        <f t="shared" ca="1" si="77"/>
        <v>22.506135837350847</v>
      </c>
      <c r="W237" s="510"/>
      <c r="X237" s="569">
        <f t="shared" ca="1" si="78"/>
        <v>21.75303699127225</v>
      </c>
      <c r="Y237" s="510"/>
      <c r="Z237" s="704">
        <f t="shared" ca="1" si="81"/>
        <v>21.7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21.7</v>
      </c>
      <c r="G238" s="569">
        <f t="shared" ca="1" si="75"/>
        <v>21.666163763925827</v>
      </c>
      <c r="H238" s="569">
        <f t="shared" ca="1" si="75"/>
        <v>21.928079020497144</v>
      </c>
      <c r="I238" s="569">
        <f t="shared" ca="1" si="75"/>
        <v>21.877182432358083</v>
      </c>
      <c r="J238" s="569">
        <f t="shared" ca="1" si="75"/>
        <v>22.102790512702569</v>
      </c>
      <c r="K238" s="569">
        <f t="shared" ca="1" si="75"/>
        <v>22.038825473285925</v>
      </c>
      <c r="L238" s="687"/>
      <c r="M238" s="569">
        <f t="shared" ca="1" si="76"/>
        <v>21.682862685993889</v>
      </c>
      <c r="N238" s="569">
        <f t="shared" ca="1" si="76"/>
        <v>21.801239977317387</v>
      </c>
      <c r="O238" s="569">
        <f t="shared" ca="1" si="76"/>
        <v>21.902301011061734</v>
      </c>
      <c r="P238" s="569">
        <f t="shared" ca="1" si="76"/>
        <v>21.993534131768058</v>
      </c>
      <c r="Q238" s="569">
        <f t="shared" ca="1" si="76"/>
        <v>22.070393618334847</v>
      </c>
      <c r="R238" s="687"/>
      <c r="S238" s="687">
        <f t="shared" ca="1" si="79"/>
        <v>21.890066284895184</v>
      </c>
      <c r="T238" s="510"/>
      <c r="U238" s="570">
        <f t="shared" ca="1" si="80"/>
        <v>21.682862685993889</v>
      </c>
      <c r="V238" s="570">
        <f t="shared" ca="1" si="77"/>
        <v>21.890066284895184</v>
      </c>
      <c r="W238" s="510"/>
      <c r="X238" s="569">
        <f t="shared" ca="1" si="78"/>
        <v>21.703635100035775</v>
      </c>
      <c r="Y238" s="510"/>
      <c r="Z238" s="704">
        <f t="shared" ca="1" si="81"/>
        <v>21.7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21.7</v>
      </c>
      <c r="G239" s="569">
        <f t="shared" ca="1" si="75"/>
        <v>21.342035106122935</v>
      </c>
      <c r="H239" s="569">
        <f t="shared" ca="1" si="75"/>
        <v>21.061873523185636</v>
      </c>
      <c r="I239" s="569">
        <f t="shared" ca="1" si="75"/>
        <v>20.751640605413382</v>
      </c>
      <c r="J239" s="569">
        <f t="shared" ca="1" si="75"/>
        <v>20.57306035335959</v>
      </c>
      <c r="K239" s="569">
        <f t="shared" ca="1" si="75"/>
        <v>20.299390749271375</v>
      </c>
      <c r="L239" s="687"/>
      <c r="M239" s="569">
        <f t="shared" ca="1" si="76"/>
        <v>21.518698605362367</v>
      </c>
      <c r="N239" s="569">
        <f t="shared" ca="1" si="76"/>
        <v>21.197548808316714</v>
      </c>
      <c r="O239" s="569">
        <f t="shared" ca="1" si="76"/>
        <v>20.904747331157633</v>
      </c>
      <c r="P239" s="569">
        <f t="shared" ca="1" si="76"/>
        <v>20.659542326948383</v>
      </c>
      <c r="Q239" s="569">
        <f t="shared" ca="1" si="76"/>
        <v>20.434452680540808</v>
      </c>
      <c r="R239" s="687"/>
      <c r="S239" s="687">
        <f t="shared" ca="1" si="79"/>
        <v>20.942997950465184</v>
      </c>
      <c r="T239" s="510"/>
      <c r="U239" s="570">
        <f t="shared" ca="1" si="80"/>
        <v>21.518698605362367</v>
      </c>
      <c r="V239" s="570">
        <f t="shared" ca="1" si="77"/>
        <v>20.942997950465184</v>
      </c>
      <c r="W239" s="510"/>
      <c r="X239" s="569">
        <f t="shared" ca="1" si="78"/>
        <v>21.623132899276641</v>
      </c>
      <c r="Y239" s="510"/>
      <c r="Z239" s="704">
        <f t="shared" ca="1" si="81"/>
        <v>21.623132899276641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21.7</v>
      </c>
      <c r="G240" s="569">
        <f t="shared" ca="1" si="75"/>
        <v>20.844155883494814</v>
      </c>
      <c r="H240" s="569">
        <f t="shared" ca="1" si="75"/>
        <v>19.359450145614584</v>
      </c>
      <c r="I240" s="569">
        <f t="shared" ca="1" si="75"/>
        <v>18.678679582363859</v>
      </c>
      <c r="J240" s="569">
        <f t="shared" ca="1" si="75"/>
        <v>17.7</v>
      </c>
      <c r="K240" s="569">
        <f t="shared" ca="1" si="75"/>
        <v>17.7</v>
      </c>
      <c r="L240" s="687"/>
      <c r="M240" s="569">
        <f t="shared" ca="1" si="76"/>
        <v>21.266533661348113</v>
      </c>
      <c r="N240" s="569">
        <f t="shared" ca="1" si="76"/>
        <v>20.078456199944775</v>
      </c>
      <c r="O240" s="569">
        <f t="shared" ca="1" si="76"/>
        <v>19.014654735068014</v>
      </c>
      <c r="P240" s="569">
        <f t="shared" ca="1" si="76"/>
        <v>18.105131103153067</v>
      </c>
      <c r="Q240" s="569">
        <f t="shared" ca="1" si="76"/>
        <v>17.7</v>
      </c>
      <c r="R240" s="687"/>
      <c r="S240" s="687">
        <f t="shared" ca="1" si="79"/>
        <v>19.232955139902792</v>
      </c>
      <c r="T240" s="510"/>
      <c r="U240" s="570">
        <f t="shared" ca="1" si="80"/>
        <v>21.266533661348113</v>
      </c>
      <c r="V240" s="570">
        <f t="shared" ca="1" si="77"/>
        <v>19.232955139902792</v>
      </c>
      <c r="W240" s="510"/>
      <c r="X240" s="569">
        <f t="shared" ca="1" si="78"/>
        <v>21.488839879499643</v>
      </c>
      <c r="Y240" s="510"/>
      <c r="Z240" s="704">
        <f t="shared" ca="1" si="81"/>
        <v>21.488839879499643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21.7</v>
      </c>
      <c r="G241" s="569">
        <f t="shared" ca="1" si="75"/>
        <v>20.472565986978022</v>
      </c>
      <c r="H241" s="569">
        <f t="shared" ca="1" si="75"/>
        <v>17.873157397661448</v>
      </c>
      <c r="I241" s="569">
        <f t="shared" ca="1" si="75"/>
        <v>17.7</v>
      </c>
      <c r="J241" s="569">
        <f t="shared" ca="1" si="75"/>
        <v>17.7</v>
      </c>
      <c r="K241" s="569">
        <f t="shared" ca="1" si="75"/>
        <v>17.7</v>
      </c>
      <c r="L241" s="687"/>
      <c r="M241" s="569">
        <f t="shared" ca="1" si="76"/>
        <v>21.078331500677898</v>
      </c>
      <c r="N241" s="569">
        <f t="shared" ca="1" si="76"/>
        <v>19.131986312854394</v>
      </c>
      <c r="O241" s="569">
        <f t="shared" ca="1" si="76"/>
        <v>17.7</v>
      </c>
      <c r="P241" s="569">
        <f t="shared" ca="1" si="76"/>
        <v>17.7</v>
      </c>
      <c r="Q241" s="569">
        <f t="shared" ca="1" si="76"/>
        <v>17.7</v>
      </c>
      <c r="R241" s="687"/>
      <c r="S241" s="687">
        <f t="shared" ca="1" si="79"/>
        <v>18.662063562706457</v>
      </c>
      <c r="T241" s="510"/>
      <c r="U241" s="570">
        <f t="shared" ca="1" si="80"/>
        <v>21.078331500677898</v>
      </c>
      <c r="V241" s="570">
        <f t="shared" ca="1" si="77"/>
        <v>18.662063562706457</v>
      </c>
      <c r="W241" s="510"/>
      <c r="X241" s="569">
        <f t="shared" ca="1" si="78"/>
        <v>21.418002190282241</v>
      </c>
      <c r="Y241" s="510"/>
      <c r="Z241" s="704">
        <f t="shared" ca="1" si="81"/>
        <v>21.418002190282241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21.7</v>
      </c>
      <c r="G242" s="569">
        <f t="shared" ca="1" si="75"/>
        <v>19.839042052315168</v>
      </c>
      <c r="H242" s="569">
        <f t="shared" ca="1" si="75"/>
        <v>17.7</v>
      </c>
      <c r="I242" s="569">
        <f t="shared" ca="1" si="75"/>
        <v>17.7</v>
      </c>
      <c r="J242" s="569">
        <f t="shared" ca="1" si="75"/>
        <v>17.7</v>
      </c>
      <c r="K242" s="569">
        <f t="shared" ca="1" si="75"/>
        <v>17.7</v>
      </c>
      <c r="L242" s="687"/>
      <c r="M242" s="569">
        <f t="shared" ca="1" si="76"/>
        <v>20.757465474831964</v>
      </c>
      <c r="N242" s="569">
        <f t="shared" ca="1" si="76"/>
        <v>17.808664253955982</v>
      </c>
      <c r="O242" s="569">
        <f t="shared" ca="1" si="76"/>
        <v>17.7</v>
      </c>
      <c r="P242" s="569">
        <f t="shared" ca="1" si="76"/>
        <v>17.7</v>
      </c>
      <c r="Q242" s="569">
        <f t="shared" ca="1" si="76"/>
        <v>17.7</v>
      </c>
      <c r="R242" s="687"/>
      <c r="S242" s="687">
        <f t="shared" ca="1" si="79"/>
        <v>18.33322594575759</v>
      </c>
      <c r="T242" s="510"/>
      <c r="U242" s="570">
        <f t="shared" ca="1" si="80"/>
        <v>20.757465474831964</v>
      </c>
      <c r="V242" s="570">
        <f t="shared" ca="1" si="77"/>
        <v>18.33322594575759</v>
      </c>
      <c r="W242" s="510"/>
      <c r="X242" s="569">
        <f t="shared" ca="1" si="78"/>
        <v>21.324084116447889</v>
      </c>
      <c r="Y242" s="510"/>
      <c r="Z242" s="704">
        <f t="shared" ca="1" si="81"/>
        <v>21.324084116447889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24.4</v>
      </c>
      <c r="E246" s="510"/>
      <c r="F246" s="569">
        <f t="shared" ref="F246:F257" si="83">D246</f>
        <v>24.4</v>
      </c>
      <c r="G246" s="569">
        <f t="shared" ref="G246:G257" ca="1" si="84">(F246-$CS5-$K188/$D$211)*EXP(-$D$211/$D$212*G$216)+$CS5+$K188/$D$211</f>
        <v>22.246838763756216</v>
      </c>
      <c r="H246" s="569">
        <f t="shared" ref="H246:H257" ca="1" si="85">(G246-$CR5-$L188/$D$211)*EXP(-$D$211/$D$212*H$216)+$CR5+$L188/$D$211</f>
        <v>17.745231208944478</v>
      </c>
      <c r="I246" s="569">
        <f t="shared" ref="I246:I257" ca="1" si="86">(H246-$CS5-$M188/$D$211)*EXP(-$D$211/$D$212*I$216)+$CS5+$M188/$D$211</f>
        <v>16.089847884226067</v>
      </c>
      <c r="J246" s="569">
        <f t="shared" ref="J246:J257" ca="1" si="87">(I246-$CR5-$L188/$D$211)*EXP(-$D$211/$D$212*J$216)+$CR5+$L188/$D$211</f>
        <v>12.647591876606302</v>
      </c>
      <c r="K246" s="569">
        <f t="shared" ref="K246:K257" ca="1" si="88">(J246-$CS5-$M188/$D$211)*EXP(-$D$211/$D$212*K$216)+$CS5+$M188/$D$211</f>
        <v>11.373512897723534</v>
      </c>
      <c r="L246" s="510"/>
      <c r="M246" s="687">
        <f t="shared" ref="M246:M257" ca="1" si="89">$D$212/G$216/$D$211*(F259-$CS5-$K188/$D$211)*(1-EXP(-$D$211/$D$212*G$216))+$CS5+$K188/$D$211</f>
        <v>23.309470895923251</v>
      </c>
      <c r="N246" s="687">
        <f t="shared" ref="N246:N257" ca="1" si="90">$D$212/H$216/$D$211*(G259-$CR5-$L188/$D$211)*(1-EXP(-$D$211/$D$212*H$216))+$CR5+$L188/$D$211</f>
        <v>19.92524776276294</v>
      </c>
      <c r="O246" s="687">
        <f t="shared" ref="O246:O257" ca="1" si="91">$D$212/I$216/$D$211*(H259-$CS5-$M188/$D$211)*(1-EXP(-$D$211/$D$212*I$216))+$CS5+$M188/$D$211</f>
        <v>16.906815737022814</v>
      </c>
      <c r="P246" s="687">
        <f t="shared" ref="P246:P257" ca="1" si="92">$D$212/J$216/$D$211*(I259-$CR5-$L188/$D$211)*(1-EXP(-$D$211/$D$212*J$216))+$CR5+$L188/$D$211</f>
        <v>14.314590829251784</v>
      </c>
      <c r="Q246" s="687">
        <f t="shared" ref="Q246:Q257" ca="1" si="93">$D$212/K$216/$D$211*(J259-$CS5-$M188/$D$211)*(1-EXP(-$D$211/$D$212*K$216))+$CS5+$M188/$D$211</f>
        <v>12.002298721604168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24.4</v>
      </c>
      <c r="E247" s="510"/>
      <c r="F247" s="569">
        <f t="shared" si="83"/>
        <v>24.4</v>
      </c>
      <c r="G247" s="569">
        <f t="shared" ca="1" si="84"/>
        <v>22.392215140597315</v>
      </c>
      <c r="H247" s="569">
        <f t="shared" ca="1" si="85"/>
        <v>18.24384331711509</v>
      </c>
      <c r="I247" s="569">
        <f t="shared" ca="1" si="86"/>
        <v>16.696540093189839</v>
      </c>
      <c r="J247" s="569">
        <f t="shared" ca="1" si="87"/>
        <v>13.528147336078147</v>
      </c>
      <c r="K247" s="569">
        <f t="shared" ca="1" si="88"/>
        <v>12.333579026096739</v>
      </c>
      <c r="L247" s="510"/>
      <c r="M247" s="687">
        <f t="shared" ca="1" si="89"/>
        <v>23.383100853272381</v>
      </c>
      <c r="N247" s="687">
        <f t="shared" ca="1" si="90"/>
        <v>20.252796593577138</v>
      </c>
      <c r="O247" s="687">
        <f t="shared" ca="1" si="91"/>
        <v>17.460168053916536</v>
      </c>
      <c r="P247" s="687">
        <f t="shared" ca="1" si="92"/>
        <v>15.062521129306527</v>
      </c>
      <c r="Q247" s="687">
        <f t="shared" ca="1" si="93"/>
        <v>12.923124596993777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24.4</v>
      </c>
      <c r="E248" s="510"/>
      <c r="F248" s="569">
        <f t="shared" si="83"/>
        <v>24.4</v>
      </c>
      <c r="G248" s="569">
        <f t="shared" ca="1" si="84"/>
        <v>22.852397672595583</v>
      </c>
      <c r="H248" s="569">
        <f t="shared" ca="1" si="85"/>
        <v>19.745055726134403</v>
      </c>
      <c r="I248" s="569">
        <f t="shared" ca="1" si="86"/>
        <v>18.545644073968198</v>
      </c>
      <c r="J248" s="569">
        <f t="shared" ca="1" si="87"/>
        <v>16.179307949563505</v>
      </c>
      <c r="K248" s="569">
        <f t="shared" ca="1" si="88"/>
        <v>15.246614877257407</v>
      </c>
      <c r="L248" s="510"/>
      <c r="M248" s="687">
        <f t="shared" ca="1" si="89"/>
        <v>23.616173247426811</v>
      </c>
      <c r="N248" s="687">
        <f t="shared" ca="1" si="90"/>
        <v>21.249864130505216</v>
      </c>
      <c r="O248" s="687">
        <f t="shared" ca="1" si="91"/>
        <v>19.137579940095343</v>
      </c>
      <c r="P248" s="687">
        <f t="shared" ca="1" si="92"/>
        <v>17.325265668064933</v>
      </c>
      <c r="Q248" s="687">
        <f t="shared" ca="1" si="93"/>
        <v>15.706919294501631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24.4</v>
      </c>
      <c r="E249" s="510"/>
      <c r="F249" s="569">
        <f t="shared" si="83"/>
        <v>24.4</v>
      </c>
      <c r="G249" s="569">
        <f t="shared" ca="1" si="84"/>
        <v>23.345432348912311</v>
      </c>
      <c r="H249" s="569">
        <f t="shared" ca="1" si="85"/>
        <v>21.213997125748779</v>
      </c>
      <c r="I249" s="569">
        <f t="shared" ca="1" si="86"/>
        <v>20.397743067011618</v>
      </c>
      <c r="J249" s="569">
        <f t="shared" ca="1" si="87"/>
        <v>18.773477541273557</v>
      </c>
      <c r="K249" s="569">
        <f t="shared" ca="1" si="88"/>
        <v>18.139774789717745</v>
      </c>
      <c r="L249" s="510"/>
      <c r="M249" s="687">
        <f t="shared" ca="1" si="89"/>
        <v>23.865884534622573</v>
      </c>
      <c r="N249" s="687">
        <f t="shared" ca="1" si="90"/>
        <v>22.246198181329817</v>
      </c>
      <c r="O249" s="687">
        <f t="shared" ca="1" si="91"/>
        <v>20.800582286028494</v>
      </c>
      <c r="P249" s="687">
        <f t="shared" ca="1" si="92"/>
        <v>19.560068929081396</v>
      </c>
      <c r="Q249" s="687">
        <f t="shared" ca="1" si="93"/>
        <v>18.452520948579775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24.4</v>
      </c>
      <c r="E250" s="510"/>
      <c r="F250" s="569">
        <f t="shared" si="83"/>
        <v>24.4</v>
      </c>
      <c r="G250" s="569">
        <f t="shared" ca="1" si="84"/>
        <v>23.63491825762965</v>
      </c>
      <c r="H250" s="569">
        <f t="shared" ca="1" si="85"/>
        <v>22.515602263276229</v>
      </c>
      <c r="I250" s="569">
        <f t="shared" ca="1" si="86"/>
        <v>21.891473813096926</v>
      </c>
      <c r="J250" s="569">
        <f t="shared" ca="1" si="87"/>
        <v>21.072129120617504</v>
      </c>
      <c r="K250" s="569">
        <f t="shared" ca="1" si="88"/>
        <v>20.555972723090335</v>
      </c>
      <c r="L250" s="510"/>
      <c r="M250" s="687">
        <f t="shared" ca="1" si="89"/>
        <v>24.012502820035834</v>
      </c>
      <c r="N250" s="687">
        <f t="shared" ca="1" si="90"/>
        <v>23.057659154494125</v>
      </c>
      <c r="O250" s="687">
        <f t="shared" ca="1" si="91"/>
        <v>22.19949484496221</v>
      </c>
      <c r="P250" s="687">
        <f t="shared" ca="1" si="92"/>
        <v>21.46891737262299</v>
      </c>
      <c r="Q250" s="687">
        <f t="shared" ca="1" si="93"/>
        <v>20.810707187004791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24.4</v>
      </c>
      <c r="E251" s="510"/>
      <c r="F251" s="569">
        <f t="shared" si="83"/>
        <v>24.4</v>
      </c>
      <c r="G251" s="569">
        <f t="shared" ca="1" si="84"/>
        <v>24.154864226170176</v>
      </c>
      <c r="H251" s="569">
        <f t="shared" ca="1" si="85"/>
        <v>23.883628387884304</v>
      </c>
      <c r="I251" s="569">
        <f t="shared" ca="1" si="86"/>
        <v>23.67711730421583</v>
      </c>
      <c r="J251" s="569">
        <f t="shared" ca="1" si="87"/>
        <v>23.488081025884018</v>
      </c>
      <c r="K251" s="569">
        <f t="shared" ca="1" si="88"/>
        <v>23.311156956572905</v>
      </c>
      <c r="L251" s="510"/>
      <c r="M251" s="687">
        <f t="shared" ca="1" si="89"/>
        <v>24.275844088537394</v>
      </c>
      <c r="N251" s="687">
        <f t="shared" ca="1" si="90"/>
        <v>24.014981156923444</v>
      </c>
      <c r="O251" s="687">
        <f t="shared" ca="1" si="91"/>
        <v>23.779035037760757</v>
      </c>
      <c r="P251" s="687">
        <f t="shared" ca="1" si="92"/>
        <v>23.579626592888207</v>
      </c>
      <c r="Q251" s="687">
        <f t="shared" ca="1" si="93"/>
        <v>23.398472851843113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24.4</v>
      </c>
      <c r="E252" s="510"/>
      <c r="F252" s="569">
        <f t="shared" si="83"/>
        <v>24.4</v>
      </c>
      <c r="G252" s="569">
        <f t="shared" ca="1" si="84"/>
        <v>24.351633487678356</v>
      </c>
      <c r="H252" s="569">
        <f t="shared" ca="1" si="85"/>
        <v>24.572626495942483</v>
      </c>
      <c r="I252" s="569">
        <f t="shared" ca="1" si="86"/>
        <v>24.511347490441558</v>
      </c>
      <c r="J252" s="569">
        <f t="shared" ca="1" si="87"/>
        <v>24.704860634069551</v>
      </c>
      <c r="K252" s="569">
        <f t="shared" ca="1" si="88"/>
        <v>24.633690491073704</v>
      </c>
      <c r="L252" s="510"/>
      <c r="M252" s="687">
        <f t="shared" ca="1" si="89"/>
        <v>24.375503418665733</v>
      </c>
      <c r="N252" s="687">
        <f t="shared" ca="1" si="90"/>
        <v>24.465605079608896</v>
      </c>
      <c r="O252" s="687">
        <f t="shared" ca="1" si="91"/>
        <v>24.541590019043884</v>
      </c>
      <c r="P252" s="687">
        <f t="shared" ca="1" si="92"/>
        <v>24.611147032571893</v>
      </c>
      <c r="Q252" s="687">
        <f t="shared" ca="1" si="93"/>
        <v>24.668814512222365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24.4</v>
      </c>
      <c r="E253" s="510"/>
      <c r="F253" s="569">
        <f t="shared" si="83"/>
        <v>24.4</v>
      </c>
      <c r="G253" s="569">
        <f t="shared" ca="1" si="84"/>
        <v>24.164203274641068</v>
      </c>
      <c r="H253" s="569">
        <f t="shared" ca="1" si="85"/>
        <v>23.99631409063397</v>
      </c>
      <c r="I253" s="569">
        <f t="shared" ca="1" si="86"/>
        <v>23.790713144450198</v>
      </c>
      <c r="J253" s="569">
        <f t="shared" ca="1" si="87"/>
        <v>23.687085440607714</v>
      </c>
      <c r="K253" s="569">
        <f t="shared" ca="1" si="88"/>
        <v>23.504614853483261</v>
      </c>
      <c r="L253" s="510"/>
      <c r="M253" s="687">
        <f t="shared" ca="1" si="89"/>
        <v>24.280574112462428</v>
      </c>
      <c r="N253" s="687">
        <f t="shared" ca="1" si="90"/>
        <v>24.077618645925853</v>
      </c>
      <c r="O253" s="687">
        <f t="shared" ca="1" si="91"/>
        <v>23.892181705253364</v>
      </c>
      <c r="P253" s="687">
        <f t="shared" ca="1" si="92"/>
        <v>23.737269759667097</v>
      </c>
      <c r="Q253" s="687">
        <f t="shared" ca="1" si="93"/>
        <v>23.594668076525714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24.4</v>
      </c>
      <c r="E254" s="510"/>
      <c r="F254" s="569">
        <f t="shared" si="83"/>
        <v>24.4</v>
      </c>
      <c r="G254" s="569">
        <f t="shared" ca="1" si="84"/>
        <v>23.840074616838177</v>
      </c>
      <c r="H254" s="569">
        <f t="shared" ca="1" si="85"/>
        <v>23.130108593322461</v>
      </c>
      <c r="I254" s="569">
        <f t="shared" ca="1" si="86"/>
        <v>22.665171317505493</v>
      </c>
      <c r="J254" s="569">
        <f t="shared" ca="1" si="87"/>
        <v>22.157355281264731</v>
      </c>
      <c r="K254" s="569">
        <f t="shared" ca="1" si="88"/>
        <v>21.765180129468707</v>
      </c>
      <c r="L254" s="510"/>
      <c r="M254" s="687">
        <f t="shared" ca="1" si="89"/>
        <v>24.11641003183091</v>
      </c>
      <c r="N254" s="687">
        <f t="shared" ca="1" si="90"/>
        <v>23.473927476925176</v>
      </c>
      <c r="O254" s="687">
        <f t="shared" ca="1" si="91"/>
        <v>22.894628025349263</v>
      </c>
      <c r="P254" s="687">
        <f t="shared" ca="1" si="92"/>
        <v>22.403277954847422</v>
      </c>
      <c r="Q254" s="687">
        <f t="shared" ca="1" si="93"/>
        <v>21.958727138731675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24.4</v>
      </c>
      <c r="E255" s="510"/>
      <c r="F255" s="569">
        <f t="shared" si="83"/>
        <v>24.4</v>
      </c>
      <c r="G255" s="569">
        <f t="shared" ca="1" si="84"/>
        <v>23.342195394210059</v>
      </c>
      <c r="H255" s="569">
        <f t="shared" ca="1" si="85"/>
        <v>21.42768521575141</v>
      </c>
      <c r="I255" s="569">
        <f t="shared" ca="1" si="86"/>
        <v>20.592210294455974</v>
      </c>
      <c r="J255" s="569">
        <f t="shared" ca="1" si="87"/>
        <v>19.150853483799892</v>
      </c>
      <c r="K255" s="569">
        <f t="shared" ca="1" si="88"/>
        <v>18.48568598865408</v>
      </c>
      <c r="L255" s="510"/>
      <c r="M255" s="687">
        <f t="shared" ca="1" si="89"/>
        <v>23.864245087816656</v>
      </c>
      <c r="N255" s="687">
        <f t="shared" ca="1" si="90"/>
        <v>22.35483486855324</v>
      </c>
      <c r="O255" s="687">
        <f t="shared" ca="1" si="91"/>
        <v>21.00453542925964</v>
      </c>
      <c r="P255" s="687">
        <f t="shared" ca="1" si="92"/>
        <v>19.848866731052105</v>
      </c>
      <c r="Q255" s="687">
        <f t="shared" ca="1" si="93"/>
        <v>18.813960686209043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24.4</v>
      </c>
      <c r="E256" s="510"/>
      <c r="F256" s="569">
        <f t="shared" si="83"/>
        <v>24.4</v>
      </c>
      <c r="G256" s="569">
        <f t="shared" ca="1" si="84"/>
        <v>22.970605497693263</v>
      </c>
      <c r="H256" s="569">
        <f t="shared" ca="1" si="85"/>
        <v>19.94139246779827</v>
      </c>
      <c r="I256" s="569">
        <f t="shared" ca="1" si="86"/>
        <v>18.845502616873816</v>
      </c>
      <c r="J256" s="569">
        <f t="shared" ca="1" si="87"/>
        <v>16.526041185547964</v>
      </c>
      <c r="K256" s="569">
        <f t="shared" ca="1" si="88"/>
        <v>15.685620229454102</v>
      </c>
      <c r="L256" s="510"/>
      <c r="M256" s="687">
        <f t="shared" ca="1" si="89"/>
        <v>23.67604292714644</v>
      </c>
      <c r="N256" s="687">
        <f t="shared" ca="1" si="90"/>
        <v>21.40836498146286</v>
      </c>
      <c r="O256" s="687">
        <f t="shared" ca="1" si="91"/>
        <v>19.386348211391201</v>
      </c>
      <c r="P256" s="687">
        <f t="shared" ca="1" si="92"/>
        <v>17.649298656277285</v>
      </c>
      <c r="Q256" s="687">
        <f t="shared" ca="1" si="93"/>
        <v>16.100386340537277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24.4</v>
      </c>
      <c r="E257" s="510"/>
      <c r="F257" s="569">
        <f t="shared" si="83"/>
        <v>24.4</v>
      </c>
      <c r="G257" s="569">
        <f t="shared" ca="1" si="84"/>
        <v>22.337081563030406</v>
      </c>
      <c r="H257" s="569">
        <f t="shared" ca="1" si="85"/>
        <v>17.970337311647555</v>
      </c>
      <c r="I257" s="569">
        <f t="shared" ca="1" si="86"/>
        <v>16.388358808928185</v>
      </c>
      <c r="J257" s="569">
        <f t="shared" ca="1" si="87"/>
        <v>13.045132177869498</v>
      </c>
      <c r="K257" s="569">
        <f t="shared" ca="1" si="88"/>
        <v>11.83155991168554</v>
      </c>
      <c r="L257" s="510"/>
      <c r="M257" s="687">
        <f t="shared" ca="1" si="89"/>
        <v>23.355176901300506</v>
      </c>
      <c r="N257" s="687">
        <f t="shared" ca="1" si="90"/>
        <v>20.08504292256444</v>
      </c>
      <c r="O257" s="687">
        <f t="shared" ca="1" si="91"/>
        <v>17.169099777644359</v>
      </c>
      <c r="P257" s="687">
        <f t="shared" ca="1" si="92"/>
        <v>14.664173666966938</v>
      </c>
      <c r="Q257" s="687">
        <f t="shared" ca="1" si="93"/>
        <v>12.43048435034185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24.4</v>
      </c>
      <c r="G259" s="569">
        <f t="shared" ca="1" si="94"/>
        <v>22.246838763756216</v>
      </c>
      <c r="H259" s="569">
        <f t="shared" ca="1" si="94"/>
        <v>17.745231208944478</v>
      </c>
      <c r="I259" s="569">
        <f t="shared" ca="1" si="94"/>
        <v>16.089847884226067</v>
      </c>
      <c r="J259" s="569">
        <f t="shared" ca="1" si="94"/>
        <v>12.647591876606302</v>
      </c>
      <c r="K259" s="569">
        <f t="shared" ca="1" si="94"/>
        <v>11.373512897723534</v>
      </c>
      <c r="L259" s="510"/>
      <c r="M259" s="705">
        <f t="shared" ref="M259:Q270" ca="1" si="95">IF(AND($G$206=1,M246&gt;=$E$206),$E$206,M246)</f>
        <v>23.309470895923251</v>
      </c>
      <c r="N259" s="569">
        <f t="shared" ca="1" si="95"/>
        <v>19.92524776276294</v>
      </c>
      <c r="O259" s="569">
        <f t="shared" ca="1" si="95"/>
        <v>16.906815737022814</v>
      </c>
      <c r="P259" s="569">
        <f t="shared" ca="1" si="95"/>
        <v>14.314590829251784</v>
      </c>
      <c r="Q259" s="569">
        <f t="shared" ca="1" si="95"/>
        <v>12.002298721604168</v>
      </c>
      <c r="R259" s="510"/>
      <c r="S259" s="687">
        <f t="shared" ref="S259:S270" ca="1" si="96">AVERAGE(M259:Q259)</f>
        <v>17.291684789312988</v>
      </c>
      <c r="T259" s="510"/>
      <c r="U259" s="570">
        <f t="shared" ref="U259:U270" ca="1" si="97">IF($G$206=1,M259,D246)</f>
        <v>23.309470895923251</v>
      </c>
      <c r="V259" s="570">
        <f t="shared" ref="V259:V270" ca="1" si="98">IF($G$206=1,S259,D246)</f>
        <v>17.291684789312988</v>
      </c>
      <c r="W259" s="510"/>
      <c r="X259" s="569">
        <f t="shared" ref="X259:X270" ca="1" si="99">D246*$E$18+U259*$F$18+V259*$I$18</f>
        <v>23.831187923535524</v>
      </c>
      <c r="Y259" s="510"/>
      <c r="Z259" s="706">
        <f ca="1">IF($D$206&lt;X259,X259,$D$206)</f>
        <v>24.4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24.4</v>
      </c>
      <c r="G260" s="569">
        <f t="shared" ca="1" si="94"/>
        <v>22.392215140597315</v>
      </c>
      <c r="H260" s="569">
        <f t="shared" ca="1" si="94"/>
        <v>18.24384331711509</v>
      </c>
      <c r="I260" s="569">
        <f t="shared" ca="1" si="94"/>
        <v>16.696540093189839</v>
      </c>
      <c r="J260" s="569">
        <f t="shared" ca="1" si="94"/>
        <v>13.528147336078147</v>
      </c>
      <c r="K260" s="569">
        <f t="shared" ca="1" si="94"/>
        <v>12.333579026096739</v>
      </c>
      <c r="L260" s="510"/>
      <c r="M260" s="705">
        <f t="shared" ca="1" si="95"/>
        <v>23.383100853272381</v>
      </c>
      <c r="N260" s="569">
        <f t="shared" ca="1" si="95"/>
        <v>20.252796593577138</v>
      </c>
      <c r="O260" s="569">
        <f t="shared" ca="1" si="95"/>
        <v>17.460168053916536</v>
      </c>
      <c r="P260" s="569">
        <f t="shared" ca="1" si="95"/>
        <v>15.062521129306527</v>
      </c>
      <c r="Q260" s="569">
        <f t="shared" ca="1" si="95"/>
        <v>12.923124596993777</v>
      </c>
      <c r="R260" s="510"/>
      <c r="S260" s="687">
        <f t="shared" ca="1" si="96"/>
        <v>17.816342245413274</v>
      </c>
      <c r="T260" s="510"/>
      <c r="U260" s="570">
        <f t="shared" ca="1" si="97"/>
        <v>23.383100853272381</v>
      </c>
      <c r="V260" s="570">
        <f t="shared" ca="1" si="98"/>
        <v>17.816342245413274</v>
      </c>
      <c r="W260" s="510"/>
      <c r="X260" s="569">
        <f t="shared" ca="1" si="99"/>
        <v>23.871456140210316</v>
      </c>
      <c r="Y260" s="510"/>
      <c r="Z260" s="706">
        <f t="shared" ref="Z260:Z270" ca="1" si="100">IF($D$206&lt;X260,X260,$D$206)</f>
        <v>24.4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24.4</v>
      </c>
      <c r="G261" s="569">
        <f t="shared" ca="1" si="94"/>
        <v>22.852397672595583</v>
      </c>
      <c r="H261" s="569">
        <f t="shared" ca="1" si="94"/>
        <v>19.745055726134403</v>
      </c>
      <c r="I261" s="569">
        <f t="shared" ca="1" si="94"/>
        <v>18.545644073968198</v>
      </c>
      <c r="J261" s="569">
        <f t="shared" ca="1" si="94"/>
        <v>16.179307949563505</v>
      </c>
      <c r="K261" s="569">
        <f t="shared" ca="1" si="94"/>
        <v>15.246614877257407</v>
      </c>
      <c r="L261" s="510"/>
      <c r="M261" s="705">
        <f t="shared" ca="1" si="95"/>
        <v>23.616173247426811</v>
      </c>
      <c r="N261" s="569">
        <f t="shared" ca="1" si="95"/>
        <v>21.249864130505216</v>
      </c>
      <c r="O261" s="569">
        <f t="shared" ca="1" si="95"/>
        <v>19.137579940095343</v>
      </c>
      <c r="P261" s="569">
        <f t="shared" ca="1" si="95"/>
        <v>17.325265668064933</v>
      </c>
      <c r="Q261" s="569">
        <f t="shared" ca="1" si="95"/>
        <v>15.706919294501631</v>
      </c>
      <c r="R261" s="510"/>
      <c r="S261" s="687">
        <f t="shared" ca="1" si="96"/>
        <v>19.407160456118788</v>
      </c>
      <c r="T261" s="510"/>
      <c r="U261" s="570">
        <f t="shared" ca="1" si="97"/>
        <v>23.616173247426811</v>
      </c>
      <c r="V261" s="570">
        <f t="shared" ca="1" si="98"/>
        <v>19.407160456118788</v>
      </c>
      <c r="W261" s="510"/>
      <c r="X261" s="569">
        <f t="shared" ca="1" si="99"/>
        <v>23.996008330861656</v>
      </c>
      <c r="Y261" s="510"/>
      <c r="Z261" s="706">
        <f t="shared" ca="1" si="100"/>
        <v>24.4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24.4</v>
      </c>
      <c r="G262" s="569">
        <f t="shared" ca="1" si="94"/>
        <v>23.345432348912311</v>
      </c>
      <c r="H262" s="569">
        <f t="shared" ca="1" si="94"/>
        <v>21.213997125748779</v>
      </c>
      <c r="I262" s="569">
        <f t="shared" ca="1" si="94"/>
        <v>20.397743067011618</v>
      </c>
      <c r="J262" s="569">
        <f t="shared" ca="1" si="94"/>
        <v>18.773477541273557</v>
      </c>
      <c r="K262" s="569">
        <f t="shared" ca="1" si="94"/>
        <v>18.139774789717745</v>
      </c>
      <c r="L262" s="510"/>
      <c r="M262" s="705">
        <f t="shared" ca="1" si="95"/>
        <v>23.865884534622573</v>
      </c>
      <c r="N262" s="569">
        <f t="shared" ca="1" si="95"/>
        <v>22.246198181329817</v>
      </c>
      <c r="O262" s="569">
        <f t="shared" ca="1" si="95"/>
        <v>20.800582286028494</v>
      </c>
      <c r="P262" s="569">
        <f t="shared" ca="1" si="95"/>
        <v>19.560068929081396</v>
      </c>
      <c r="Q262" s="569">
        <f t="shared" ca="1" si="95"/>
        <v>18.452520948579775</v>
      </c>
      <c r="R262" s="510"/>
      <c r="S262" s="687">
        <f t="shared" ca="1" si="96"/>
        <v>20.985050975928409</v>
      </c>
      <c r="T262" s="510"/>
      <c r="U262" s="570">
        <f t="shared" ca="1" si="97"/>
        <v>23.865884534622573</v>
      </c>
      <c r="V262" s="570">
        <f t="shared" ca="1" si="98"/>
        <v>20.985050975928409</v>
      </c>
      <c r="W262" s="510"/>
      <c r="X262" s="569">
        <f t="shared" ca="1" si="99"/>
        <v>24.124181590985994</v>
      </c>
      <c r="Y262" s="510"/>
      <c r="Z262" s="706">
        <f t="shared" ca="1" si="100"/>
        <v>24.4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24.4</v>
      </c>
      <c r="G263" s="569">
        <f t="shared" ca="1" si="94"/>
        <v>23.63491825762965</v>
      </c>
      <c r="H263" s="569">
        <f t="shared" ca="1" si="94"/>
        <v>22.515602263276229</v>
      </c>
      <c r="I263" s="569">
        <f t="shared" ca="1" si="94"/>
        <v>21.891473813096926</v>
      </c>
      <c r="J263" s="569">
        <f t="shared" ca="1" si="94"/>
        <v>21.072129120617504</v>
      </c>
      <c r="K263" s="569">
        <f t="shared" ca="1" si="94"/>
        <v>20.555972723090335</v>
      </c>
      <c r="L263" s="510"/>
      <c r="M263" s="705">
        <f t="shared" ca="1" si="95"/>
        <v>24.012502820035834</v>
      </c>
      <c r="N263" s="569">
        <f t="shared" ca="1" si="95"/>
        <v>23.057659154494125</v>
      </c>
      <c r="O263" s="569">
        <f t="shared" ca="1" si="95"/>
        <v>22.19949484496221</v>
      </c>
      <c r="P263" s="569">
        <f t="shared" ca="1" si="95"/>
        <v>21.46891737262299</v>
      </c>
      <c r="Q263" s="569">
        <f t="shared" ca="1" si="95"/>
        <v>20.810707187004791</v>
      </c>
      <c r="R263" s="510"/>
      <c r="S263" s="687">
        <f t="shared" ca="1" si="96"/>
        <v>22.309856275823989</v>
      </c>
      <c r="T263" s="510"/>
      <c r="U263" s="570">
        <f t="shared" ca="1" si="97"/>
        <v>24.012502820035834</v>
      </c>
      <c r="V263" s="570">
        <f t="shared" ca="1" si="98"/>
        <v>22.309856275823989</v>
      </c>
      <c r="W263" s="510"/>
      <c r="X263" s="569">
        <f t="shared" ca="1" si="99"/>
        <v>24.216036383168294</v>
      </c>
      <c r="Y263" s="510"/>
      <c r="Z263" s="706">
        <f t="shared" ca="1" si="100"/>
        <v>24.4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24.4</v>
      </c>
      <c r="G264" s="569">
        <f t="shared" ca="1" si="94"/>
        <v>24.154864226170176</v>
      </c>
      <c r="H264" s="569">
        <f t="shared" ca="1" si="94"/>
        <v>23.883628387884304</v>
      </c>
      <c r="I264" s="569">
        <f t="shared" ca="1" si="94"/>
        <v>23.67711730421583</v>
      </c>
      <c r="J264" s="569">
        <f t="shared" ca="1" si="94"/>
        <v>23.488081025884018</v>
      </c>
      <c r="K264" s="569">
        <f t="shared" ca="1" si="94"/>
        <v>23.311156956572905</v>
      </c>
      <c r="L264" s="510"/>
      <c r="M264" s="705">
        <f t="shared" ca="1" si="95"/>
        <v>24.275844088537394</v>
      </c>
      <c r="N264" s="569">
        <f t="shared" ca="1" si="95"/>
        <v>24.014981156923444</v>
      </c>
      <c r="O264" s="569">
        <f t="shared" ca="1" si="95"/>
        <v>23.779035037760757</v>
      </c>
      <c r="P264" s="569">
        <f t="shared" ca="1" si="95"/>
        <v>23.579626592888207</v>
      </c>
      <c r="Q264" s="569">
        <f t="shared" ca="1" si="95"/>
        <v>23.398472851843113</v>
      </c>
      <c r="R264" s="510"/>
      <c r="S264" s="687">
        <f t="shared" ca="1" si="96"/>
        <v>23.809591945590583</v>
      </c>
      <c r="T264" s="510"/>
      <c r="U264" s="570">
        <f t="shared" ca="1" si="97"/>
        <v>24.275844088537394</v>
      </c>
      <c r="V264" s="570">
        <f t="shared" ca="1" si="98"/>
        <v>23.809591945590583</v>
      </c>
      <c r="W264" s="510"/>
      <c r="X264" s="569">
        <f t="shared" ca="1" si="99"/>
        <v>24.34436068653396</v>
      </c>
      <c r="Y264" s="510"/>
      <c r="Z264" s="706">
        <f t="shared" ca="1" si="100"/>
        <v>24.4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24.4</v>
      </c>
      <c r="G265" s="569">
        <f t="shared" ca="1" si="94"/>
        <v>24.351633487678356</v>
      </c>
      <c r="H265" s="569">
        <f t="shared" ca="1" si="94"/>
        <v>24.572626495942483</v>
      </c>
      <c r="I265" s="569">
        <f t="shared" ca="1" si="94"/>
        <v>24.511347490441558</v>
      </c>
      <c r="J265" s="569">
        <f t="shared" ca="1" si="94"/>
        <v>24.704860634069551</v>
      </c>
      <c r="K265" s="569">
        <f t="shared" ca="1" si="94"/>
        <v>24.633690491073704</v>
      </c>
      <c r="L265" s="510"/>
      <c r="M265" s="705">
        <f t="shared" ca="1" si="95"/>
        <v>24.375503418665733</v>
      </c>
      <c r="N265" s="569">
        <f t="shared" ca="1" si="95"/>
        <v>24.465605079608896</v>
      </c>
      <c r="O265" s="569">
        <f t="shared" ca="1" si="95"/>
        <v>24.541590019043884</v>
      </c>
      <c r="P265" s="569">
        <f t="shared" ca="1" si="95"/>
        <v>24.611147032571893</v>
      </c>
      <c r="Q265" s="569">
        <f t="shared" ca="1" si="95"/>
        <v>24.668814512222365</v>
      </c>
      <c r="R265" s="510"/>
      <c r="S265" s="687">
        <f t="shared" ca="1" si="96"/>
        <v>24.532532012422557</v>
      </c>
      <c r="T265" s="510"/>
      <c r="U265" s="570">
        <f t="shared" ca="1" si="97"/>
        <v>24.375503418665733</v>
      </c>
      <c r="V265" s="570">
        <f t="shared" ca="1" si="98"/>
        <v>24.532532012422557</v>
      </c>
      <c r="W265" s="510"/>
      <c r="X265" s="569">
        <f t="shared" ca="1" si="99"/>
        <v>24.399398021850708</v>
      </c>
      <c r="Y265" s="510"/>
      <c r="Z265" s="706">
        <f t="shared" ca="1" si="100"/>
        <v>24.4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24.4</v>
      </c>
      <c r="G266" s="569">
        <f t="shared" ca="1" si="94"/>
        <v>24.164203274641068</v>
      </c>
      <c r="H266" s="569">
        <f t="shared" ca="1" si="94"/>
        <v>23.99631409063397</v>
      </c>
      <c r="I266" s="569">
        <f t="shared" ca="1" si="94"/>
        <v>23.790713144450198</v>
      </c>
      <c r="J266" s="569">
        <f t="shared" ca="1" si="94"/>
        <v>23.687085440607714</v>
      </c>
      <c r="K266" s="569">
        <f t="shared" ca="1" si="94"/>
        <v>23.504614853483261</v>
      </c>
      <c r="L266" s="510"/>
      <c r="M266" s="705">
        <f t="shared" ca="1" si="95"/>
        <v>24.280574112462428</v>
      </c>
      <c r="N266" s="569">
        <f t="shared" ca="1" si="95"/>
        <v>24.077618645925853</v>
      </c>
      <c r="O266" s="569">
        <f t="shared" ca="1" si="95"/>
        <v>23.892181705253364</v>
      </c>
      <c r="P266" s="569">
        <f t="shared" ca="1" si="95"/>
        <v>23.737269759667097</v>
      </c>
      <c r="Q266" s="569">
        <f t="shared" ca="1" si="95"/>
        <v>23.594668076525714</v>
      </c>
      <c r="R266" s="510"/>
      <c r="S266" s="687">
        <f t="shared" ca="1" si="96"/>
        <v>23.91646245996689</v>
      </c>
      <c r="T266" s="510"/>
      <c r="U266" s="570">
        <f t="shared" ca="1" si="97"/>
        <v>24.280574112462428</v>
      </c>
      <c r="V266" s="570">
        <f t="shared" ca="1" si="98"/>
        <v>23.91646245996689</v>
      </c>
      <c r="W266" s="510"/>
      <c r="X266" s="569">
        <f t="shared" ca="1" si="99"/>
        <v>24.34999613061423</v>
      </c>
      <c r="Y266" s="510"/>
      <c r="Z266" s="706">
        <f t="shared" ca="1" si="100"/>
        <v>24.4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24.4</v>
      </c>
      <c r="G267" s="569">
        <f t="shared" ca="1" si="94"/>
        <v>23.840074616838177</v>
      </c>
      <c r="H267" s="569">
        <f t="shared" ca="1" si="94"/>
        <v>23.130108593322461</v>
      </c>
      <c r="I267" s="569">
        <f t="shared" ca="1" si="94"/>
        <v>22.665171317505493</v>
      </c>
      <c r="J267" s="569">
        <f t="shared" ca="1" si="94"/>
        <v>22.157355281264731</v>
      </c>
      <c r="K267" s="569">
        <f t="shared" ca="1" si="94"/>
        <v>21.765180129468707</v>
      </c>
      <c r="L267" s="510"/>
      <c r="M267" s="705">
        <f t="shared" ca="1" si="95"/>
        <v>24.11641003183091</v>
      </c>
      <c r="N267" s="569">
        <f t="shared" ca="1" si="95"/>
        <v>23.473927476925176</v>
      </c>
      <c r="O267" s="569">
        <f t="shared" ca="1" si="95"/>
        <v>22.894628025349263</v>
      </c>
      <c r="P267" s="569">
        <f t="shared" ca="1" si="95"/>
        <v>22.403277954847422</v>
      </c>
      <c r="Q267" s="569">
        <f t="shared" ca="1" si="95"/>
        <v>21.958727138731675</v>
      </c>
      <c r="R267" s="510"/>
      <c r="S267" s="687">
        <f t="shared" ca="1" si="96"/>
        <v>22.969394125536891</v>
      </c>
      <c r="T267" s="510"/>
      <c r="U267" s="570">
        <f t="shared" ca="1" si="97"/>
        <v>24.11641003183091</v>
      </c>
      <c r="V267" s="570">
        <f t="shared" ca="1" si="98"/>
        <v>22.969394125536891</v>
      </c>
      <c r="W267" s="510"/>
      <c r="X267" s="569">
        <f t="shared" ca="1" si="99"/>
        <v>24.269493929855098</v>
      </c>
      <c r="Y267" s="510"/>
      <c r="Z267" s="706">
        <f t="shared" ca="1" si="100"/>
        <v>24.4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24.4</v>
      </c>
      <c r="G268" s="569">
        <f t="shared" ca="1" si="94"/>
        <v>23.342195394210059</v>
      </c>
      <c r="H268" s="569">
        <f t="shared" ca="1" si="94"/>
        <v>21.42768521575141</v>
      </c>
      <c r="I268" s="569">
        <f t="shared" ca="1" si="94"/>
        <v>20.592210294455974</v>
      </c>
      <c r="J268" s="569">
        <f t="shared" ca="1" si="94"/>
        <v>19.150853483799892</v>
      </c>
      <c r="K268" s="569">
        <f t="shared" ca="1" si="94"/>
        <v>18.48568598865408</v>
      </c>
      <c r="L268" s="510"/>
      <c r="M268" s="705">
        <f t="shared" ca="1" si="95"/>
        <v>23.864245087816656</v>
      </c>
      <c r="N268" s="569">
        <f t="shared" ca="1" si="95"/>
        <v>22.35483486855324</v>
      </c>
      <c r="O268" s="569">
        <f t="shared" ca="1" si="95"/>
        <v>21.00453542925964</v>
      </c>
      <c r="P268" s="569">
        <f t="shared" ca="1" si="95"/>
        <v>19.848866731052105</v>
      </c>
      <c r="Q268" s="569">
        <f t="shared" ca="1" si="95"/>
        <v>18.813960686209043</v>
      </c>
      <c r="R268" s="510"/>
      <c r="S268" s="687">
        <f t="shared" ca="1" si="96"/>
        <v>21.177288560578138</v>
      </c>
      <c r="T268" s="510"/>
      <c r="U268" s="570">
        <f t="shared" ca="1" si="97"/>
        <v>23.864245087816656</v>
      </c>
      <c r="V268" s="570">
        <f t="shared" ca="1" si="98"/>
        <v>21.177288560578138</v>
      </c>
      <c r="W268" s="510"/>
      <c r="X268" s="569">
        <f t="shared" ca="1" si="99"/>
        <v>24.131781628644923</v>
      </c>
      <c r="Y268" s="510"/>
      <c r="Z268" s="706">
        <f t="shared" ca="1" si="100"/>
        <v>24.4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24.4</v>
      </c>
      <c r="G269" s="569">
        <f t="shared" ca="1" si="94"/>
        <v>22.970605497693263</v>
      </c>
      <c r="H269" s="569">
        <f t="shared" ca="1" si="94"/>
        <v>19.94139246779827</v>
      </c>
      <c r="I269" s="569">
        <f t="shared" ca="1" si="94"/>
        <v>18.845502616873816</v>
      </c>
      <c r="J269" s="569">
        <f t="shared" ca="1" si="94"/>
        <v>16.526041185547964</v>
      </c>
      <c r="K269" s="569">
        <f t="shared" ca="1" si="94"/>
        <v>15.685620229454102</v>
      </c>
      <c r="L269" s="510"/>
      <c r="M269" s="705">
        <f t="shared" ca="1" si="95"/>
        <v>23.67604292714644</v>
      </c>
      <c r="N269" s="569">
        <f t="shared" ca="1" si="95"/>
        <v>21.40836498146286</v>
      </c>
      <c r="O269" s="569">
        <f t="shared" ca="1" si="95"/>
        <v>19.386348211391201</v>
      </c>
      <c r="P269" s="569">
        <f t="shared" ca="1" si="95"/>
        <v>17.649298656277285</v>
      </c>
      <c r="Q269" s="569">
        <f t="shared" ca="1" si="95"/>
        <v>16.100386340537277</v>
      </c>
      <c r="R269" s="510"/>
      <c r="S269" s="687">
        <f t="shared" ca="1" si="96"/>
        <v>19.644088223363013</v>
      </c>
      <c r="T269" s="510"/>
      <c r="U269" s="570">
        <f t="shared" ca="1" si="97"/>
        <v>23.67604292714644</v>
      </c>
      <c r="V269" s="570">
        <f t="shared" ca="1" si="98"/>
        <v>19.644088223363013</v>
      </c>
      <c r="W269" s="510"/>
      <c r="X269" s="569">
        <f t="shared" ca="1" si="99"/>
        <v>24.020847741093405</v>
      </c>
      <c r="Y269" s="510"/>
      <c r="Z269" s="706">
        <f t="shared" ca="1" si="100"/>
        <v>24.4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24.4</v>
      </c>
      <c r="G270" s="569">
        <f t="shared" ca="1" si="94"/>
        <v>22.337081563030406</v>
      </c>
      <c r="H270" s="569">
        <f t="shared" ca="1" si="94"/>
        <v>17.970337311647555</v>
      </c>
      <c r="I270" s="569">
        <f t="shared" ca="1" si="94"/>
        <v>16.388358808928185</v>
      </c>
      <c r="J270" s="569">
        <f t="shared" ca="1" si="94"/>
        <v>13.045132177869498</v>
      </c>
      <c r="K270" s="569">
        <f t="shared" ca="1" si="94"/>
        <v>11.83155991168554</v>
      </c>
      <c r="L270" s="510"/>
      <c r="M270" s="705">
        <f t="shared" ca="1" si="95"/>
        <v>23.355176901300506</v>
      </c>
      <c r="N270" s="569">
        <f t="shared" ca="1" si="95"/>
        <v>20.08504292256444</v>
      </c>
      <c r="O270" s="569">
        <f t="shared" ca="1" si="95"/>
        <v>17.169099777644359</v>
      </c>
      <c r="P270" s="569">
        <f t="shared" ca="1" si="95"/>
        <v>14.664173666966938</v>
      </c>
      <c r="Q270" s="569">
        <f t="shared" ca="1" si="95"/>
        <v>12.43048435034185</v>
      </c>
      <c r="R270" s="510"/>
      <c r="S270" s="687">
        <f t="shared" ca="1" si="96"/>
        <v>17.54079552376362</v>
      </c>
      <c r="T270" s="510"/>
      <c r="U270" s="570">
        <f t="shared" ca="1" si="97"/>
        <v>23.355176901300506</v>
      </c>
      <c r="V270" s="570">
        <f t="shared" ca="1" si="98"/>
        <v>17.54079552376362</v>
      </c>
      <c r="W270" s="510"/>
      <c r="X270" s="569">
        <f t="shared" ca="1" si="99"/>
        <v>23.852994038815279</v>
      </c>
      <c r="Y270" s="510"/>
      <c r="Z270" s="706">
        <f t="shared" ca="1" si="100"/>
        <v>24.4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25.956324089950083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30.48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118.95264116575594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7.0892422167209701E-2</v>
      </c>
      <c r="H282" s="726">
        <f t="shared" ref="H282:H293" si="102">IF($D$282=3,0,$D$291*G282*(1-$D$293))</f>
        <v>5.0215465701773543E-2</v>
      </c>
      <c r="J282" s="707">
        <f t="shared" ref="J282:J293" ca="1" si="103">MAX(0.0146*$D$303*(0.7*$D$304*ABS(AG5-Z231))^0.667,0.001)</f>
        <v>0.60826506217909837</v>
      </c>
      <c r="K282" s="707">
        <f t="shared" ref="K282:K293" ca="1" si="104">0.0769*$D$303*($D$305*$D$301*AH5^2)^0.667</f>
        <v>0.27942692110684408</v>
      </c>
      <c r="L282" s="729">
        <f t="shared" ref="L282:L293" ca="1" si="105">MAX(J282,K282)+0.14*J282*K282/$D$303</f>
        <v>0.64686332119754786</v>
      </c>
      <c r="M282" s="729">
        <f t="shared" ref="M282:M293" ca="1" si="106">MAX(0,-$D$290)+L282</f>
        <v>0.64686332119754786</v>
      </c>
      <c r="N282" s="541"/>
      <c r="O282" s="729">
        <f ca="1">H282+M282</f>
        <v>0.69707878689932135</v>
      </c>
      <c r="P282" s="718">
        <f ca="1">O282/3.6*1.2</f>
        <v>0.2323595956331071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0.45537340619307837</v>
      </c>
      <c r="F283" s="541" t="s">
        <v>115</v>
      </c>
      <c r="G283" s="724">
        <f t="shared" si="101"/>
        <v>7.0892422167209701E-2</v>
      </c>
      <c r="H283" s="598">
        <f t="shared" si="102"/>
        <v>5.0215465701773543E-2</v>
      </c>
      <c r="J283" s="707">
        <f t="shared" ca="1" si="103"/>
        <v>0.57507098833514569</v>
      </c>
      <c r="K283" s="707">
        <f t="shared" ca="1" si="104"/>
        <v>0.29403531098965963</v>
      </c>
      <c r="L283" s="729">
        <f t="shared" ca="1" si="105"/>
        <v>0.61347066306691977</v>
      </c>
      <c r="M283" s="729">
        <f t="shared" ca="1" si="106"/>
        <v>0.61347066306691977</v>
      </c>
      <c r="N283" s="541"/>
      <c r="O283" s="729">
        <f t="shared" ref="O283:O293" ca="1" si="107">H283+M283</f>
        <v>0.66368612876869326</v>
      </c>
      <c r="P283" s="718">
        <f t="shared" ref="P283:P293" ca="1" si="108">O283/3.6*1.2</f>
        <v>0.22122870958956439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7.0892422167209701E-2</v>
      </c>
      <c r="H284" s="598">
        <f t="shared" si="102"/>
        <v>5.0215465701773543E-2</v>
      </c>
      <c r="J284" s="707">
        <f t="shared" ca="1" si="103"/>
        <v>0.46898384023033518</v>
      </c>
      <c r="K284" s="707">
        <f t="shared" ca="1" si="104"/>
        <v>0.32659970215570822</v>
      </c>
      <c r="L284" s="729">
        <f t="shared" ca="1" si="105"/>
        <v>0.50376789943424483</v>
      </c>
      <c r="M284" s="729">
        <f t="shared" ca="1" si="106"/>
        <v>0.50376789943424483</v>
      </c>
      <c r="N284" s="541"/>
      <c r="O284" s="729">
        <f t="shared" ca="1" si="107"/>
        <v>0.55398336513601842</v>
      </c>
      <c r="P284" s="718">
        <f t="shared" ca="1" si="108"/>
        <v>0.18466112171200613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7.0892422167209701E-2</v>
      </c>
      <c r="H285" s="598">
        <f t="shared" si="102"/>
        <v>5.0215465701773543E-2</v>
      </c>
      <c r="J285" s="707">
        <f t="shared" ca="1" si="103"/>
        <v>0.354344338005324</v>
      </c>
      <c r="K285" s="707">
        <f t="shared" ca="1" si="104"/>
        <v>0.27637046055053877</v>
      </c>
      <c r="L285" s="729">
        <f t="shared" ca="1" si="105"/>
        <v>0.37658377141815774</v>
      </c>
      <c r="M285" s="729">
        <f t="shared" ca="1" si="106"/>
        <v>0.37658377141815774</v>
      </c>
      <c r="N285" s="541"/>
      <c r="O285" s="729">
        <f t="shared" ca="1" si="107"/>
        <v>0.42679923711993129</v>
      </c>
      <c r="P285" s="718">
        <f t="shared" ca="1" si="108"/>
        <v>0.14226641237331042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7.0892422167209701E-2</v>
      </c>
      <c r="H286" s="598">
        <f t="shared" si="102"/>
        <v>5.0215465701773543E-2</v>
      </c>
      <c r="J286" s="707">
        <f t="shared" ca="1" si="103"/>
        <v>0.23587694642599855</v>
      </c>
      <c r="K286" s="707">
        <f t="shared" ca="1" si="104"/>
        <v>0.1961709902260951</v>
      </c>
      <c r="L286" s="729">
        <f t="shared" ca="1" si="105"/>
        <v>0.24638511134132085</v>
      </c>
      <c r="M286" s="729">
        <f t="shared" ca="1" si="106"/>
        <v>0.24638511134132085</v>
      </c>
      <c r="N286" s="541"/>
      <c r="O286" s="729">
        <f t="shared" ca="1" si="107"/>
        <v>0.29660057704309439</v>
      </c>
      <c r="P286" s="718">
        <f t="shared" ca="1" si="108"/>
        <v>9.8866859014364802E-2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7.0892422167209701E-2</v>
      </c>
      <c r="H287" s="598">
        <f t="shared" si="102"/>
        <v>5.0215465701773543E-2</v>
      </c>
      <c r="J287" s="707">
        <f t="shared" ca="1" si="103"/>
        <v>4.8637044047469415E-2</v>
      </c>
      <c r="K287" s="707">
        <f t="shared" ca="1" si="104"/>
        <v>0.27989887752746639</v>
      </c>
      <c r="L287" s="729">
        <f t="shared" ca="1" si="105"/>
        <v>0.2829904179408736</v>
      </c>
      <c r="M287" s="729">
        <f t="shared" ca="1" si="106"/>
        <v>0.2829904179408736</v>
      </c>
      <c r="N287" s="541"/>
      <c r="O287" s="729">
        <f t="shared" ca="1" si="107"/>
        <v>0.33320588364264714</v>
      </c>
      <c r="P287" s="718">
        <f t="shared" ca="1" si="108"/>
        <v>0.11106862788088238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7.0892422167209701E-2</v>
      </c>
      <c r="E288" s="541"/>
      <c r="F288" s="541" t="s">
        <v>120</v>
      </c>
      <c r="G288" s="724">
        <f t="shared" si="101"/>
        <v>7.0892422167209701E-2</v>
      </c>
      <c r="H288" s="598">
        <f t="shared" si="102"/>
        <v>5.0215465701773543E-2</v>
      </c>
      <c r="J288" s="707">
        <f t="shared" ca="1" si="103"/>
        <v>0.12529702902729875</v>
      </c>
      <c r="K288" s="707">
        <f t="shared" ca="1" si="104"/>
        <v>0.23151866367742077</v>
      </c>
      <c r="L288" s="729">
        <f t="shared" ca="1" si="105"/>
        <v>0.23810635709016667</v>
      </c>
      <c r="M288" s="729">
        <f t="shared" ca="1" si="106"/>
        <v>0.23810635709016667</v>
      </c>
      <c r="N288" s="541"/>
      <c r="O288" s="729">
        <f t="shared" ca="1" si="107"/>
        <v>0.28832182279194019</v>
      </c>
      <c r="P288" s="718">
        <f t="shared" ca="1" si="108"/>
        <v>9.6107274263980066E-2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7.0892422167209701E-2</v>
      </c>
      <c r="E289" s="541"/>
      <c r="F289" s="541" t="s">
        <v>121</v>
      </c>
      <c r="G289" s="724">
        <f t="shared" si="101"/>
        <v>7.0892422167209701E-2</v>
      </c>
      <c r="H289" s="598">
        <f t="shared" si="102"/>
        <v>5.0215465701773543E-2</v>
      </c>
      <c r="J289" s="707">
        <f t="shared" ca="1" si="103"/>
        <v>1.2897727802166017E-2</v>
      </c>
      <c r="K289" s="707">
        <f t="shared" ca="1" si="104"/>
        <v>0.20316403837051517</v>
      </c>
      <c r="L289" s="729">
        <f t="shared" ca="1" si="105"/>
        <v>0.20375910643395179</v>
      </c>
      <c r="M289" s="729">
        <f t="shared" ca="1" si="106"/>
        <v>0.20375910643395179</v>
      </c>
      <c r="N289" s="541"/>
      <c r="O289" s="729">
        <f t="shared" ca="1" si="107"/>
        <v>0.25397457213572533</v>
      </c>
      <c r="P289" s="718">
        <f t="shared" ca="1" si="108"/>
        <v>8.4658190711908429E-2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7.0892422167209701E-2</v>
      </c>
      <c r="H290" s="598">
        <f t="shared" si="102"/>
        <v>5.0215465701773543E-2</v>
      </c>
      <c r="J290" s="707">
        <f t="shared" ca="1" si="103"/>
        <v>0.15926244314104193</v>
      </c>
      <c r="K290" s="707">
        <f t="shared" ca="1" si="104"/>
        <v>0.17373564017214888</v>
      </c>
      <c r="L290" s="729">
        <f t="shared" ca="1" si="105"/>
        <v>0.18001924538461228</v>
      </c>
      <c r="M290" s="729">
        <f t="shared" ca="1" si="106"/>
        <v>0.18001924538461228</v>
      </c>
      <c r="N290" s="541"/>
      <c r="O290" s="729">
        <f t="shared" ca="1" si="107"/>
        <v>0.23023471108638582</v>
      </c>
      <c r="P290" s="718">
        <f t="shared" ca="1" si="108"/>
        <v>7.6744903695461941E-2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0.70833333333333337</v>
      </c>
      <c r="E291" s="539"/>
      <c r="F291" s="541" t="s">
        <v>123</v>
      </c>
      <c r="G291" s="724">
        <f t="shared" si="101"/>
        <v>7.0892422167209701E-2</v>
      </c>
      <c r="H291" s="598">
        <f t="shared" si="102"/>
        <v>5.0215465701773543E-2</v>
      </c>
      <c r="J291" s="707">
        <f t="shared" ca="1" si="103"/>
        <v>0.33272199322205537</v>
      </c>
      <c r="K291" s="707">
        <f t="shared" ca="1" si="104"/>
        <v>0.27225577967220166</v>
      </c>
      <c r="L291" s="729">
        <f t="shared" ca="1" si="105"/>
        <v>0.35329345797457956</v>
      </c>
      <c r="M291" s="729">
        <f t="shared" ca="1" si="106"/>
        <v>0.35329345797457956</v>
      </c>
      <c r="N291" s="541"/>
      <c r="O291" s="729">
        <f t="shared" ca="1" si="107"/>
        <v>0.4035089236763531</v>
      </c>
      <c r="P291" s="718">
        <f t="shared" ca="1" si="108"/>
        <v>0.13450297455878435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7.0892422167209701E-2</v>
      </c>
      <c r="H292" s="598">
        <f t="shared" si="102"/>
        <v>5.0215465701773543E-2</v>
      </c>
      <c r="J292" s="707">
        <f t="shared" ca="1" si="103"/>
        <v>0.4528712934053219</v>
      </c>
      <c r="K292" s="707">
        <f t="shared" ca="1" si="104"/>
        <v>0.31154949636370161</v>
      </c>
      <c r="L292" s="729">
        <f t="shared" ca="1" si="105"/>
        <v>0.48491246920453257</v>
      </c>
      <c r="M292" s="729">
        <f t="shared" ca="1" si="106"/>
        <v>0.48491246920453257</v>
      </c>
      <c r="N292" s="541"/>
      <c r="O292" s="729">
        <f t="shared" ca="1" si="107"/>
        <v>0.53512793490630606</v>
      </c>
      <c r="P292" s="718">
        <f t="shared" ca="1" si="108"/>
        <v>0.178375978302102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7.0892422167209701E-2</v>
      </c>
      <c r="H293" s="598">
        <f t="shared" si="102"/>
        <v>5.0215465701773543E-2</v>
      </c>
      <c r="J293" s="707">
        <f t="shared" ca="1" si="103"/>
        <v>0.59324181777446827</v>
      </c>
      <c r="K293" s="707">
        <f t="shared" ca="1" si="104"/>
        <v>0.2356023542809183</v>
      </c>
      <c r="L293" s="729">
        <f t="shared" ca="1" si="105"/>
        <v>0.62498262603417232</v>
      </c>
      <c r="M293" s="729">
        <f t="shared" ca="1" si="106"/>
        <v>0.62498262603417232</v>
      </c>
      <c r="N293" s="541"/>
      <c r="O293" s="729">
        <f t="shared" ca="1" si="107"/>
        <v>0.67519809173594592</v>
      </c>
      <c r="P293" s="718">
        <f t="shared" ca="1" si="108"/>
        <v>0.22506603057864863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7.0892422167209701E-2</v>
      </c>
      <c r="H294" s="716">
        <f>AVERAGE(H282:H293)</f>
        <v>5.0215465701773543E-2</v>
      </c>
      <c r="J294" s="710">
        <f ca="1">AVERAGE(J282:J293)</f>
        <v>0.330622543632977</v>
      </c>
      <c r="K294" s="710">
        <f ca="1">AVERAGE(K282:K293)</f>
        <v>0.25669401959110155</v>
      </c>
      <c r="L294" s="710">
        <f ca="1">AVERAGE(L282:L293)</f>
        <v>0.39626120387675662</v>
      </c>
      <c r="M294" s="710">
        <f ca="1">AVERAGE(M282:M293)</f>
        <v>0.39626120387675662</v>
      </c>
      <c r="N294" s="710"/>
      <c r="O294" s="710">
        <f t="shared" ref="O294:P294" ca="1" si="109">AVERAGE(O282:O293)</f>
        <v>0.44647666957853022</v>
      </c>
      <c r="P294" s="710">
        <f t="shared" ca="1" si="109"/>
        <v>0.14882555652617671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7.0892422167209701E-2</v>
      </c>
      <c r="H296" s="598">
        <f t="shared" ref="H296:H307" si="111">IF($D$282=3,0,$D$291*G296*(1-$D$293))</f>
        <v>5.0215465701773543E-2</v>
      </c>
      <c r="J296" s="707">
        <f t="shared" ref="J296:J307" ca="1" si="112">MAX(0.0146*$D$303*(0.7*$D$304*ABS(AG5-Z259))^0.667,0.001)</f>
        <v>0.65563300284163195</v>
      </c>
      <c r="K296" s="707">
        <f t="shared" ref="K296:K307" ca="1" si="113">0.0769*$D$303*($D$305*$D$301*AH5^2)^0.667</f>
        <v>0.27942692110684408</v>
      </c>
      <c r="L296" s="729">
        <f t="shared" ref="L296:L307" ca="1" si="114">MAX(J296,K296)+0.14*J296*K296/$D$303</f>
        <v>0.69723705679479808</v>
      </c>
      <c r="M296" s="729">
        <f t="shared" ref="M296:M307" ca="1" si="115">MAX(0,-$D$290)+L296</f>
        <v>0.69723705679479808</v>
      </c>
      <c r="N296" s="541"/>
      <c r="O296" s="729">
        <f ca="1">H296+M296</f>
        <v>0.74745252249657157</v>
      </c>
      <c r="P296" s="718">
        <f ca="1">O296/3.6*1.2</f>
        <v>0.2491508408321905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7.0892422167209701E-2</v>
      </c>
      <c r="H297" s="598">
        <f t="shared" si="111"/>
        <v>5.0215465701773543E-2</v>
      </c>
      <c r="J297" s="707">
        <f t="shared" ca="1" si="112"/>
        <v>0.62337782489054061</v>
      </c>
      <c r="K297" s="707">
        <f t="shared" ca="1" si="113"/>
        <v>0.29403531098965963</v>
      </c>
      <c r="L297" s="729">
        <f t="shared" ca="1" si="114"/>
        <v>0.66500313062905059</v>
      </c>
      <c r="M297" s="729">
        <f t="shared" ca="1" si="115"/>
        <v>0.66500313062905059</v>
      </c>
      <c r="N297" s="541"/>
      <c r="O297" s="729">
        <f t="shared" ref="O297:O307" ca="1" si="116">H297+M297</f>
        <v>0.71521859633082419</v>
      </c>
      <c r="P297" s="718">
        <f t="shared" ref="P297:P307" ca="1" si="117">O297/3.6*1.2</f>
        <v>0.23840619877694139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7.0892422167209701E-2</v>
      </c>
      <c r="H298" s="598">
        <f t="shared" si="111"/>
        <v>5.0215465701773543E-2</v>
      </c>
      <c r="J298" s="707">
        <f t="shared" ca="1" si="112"/>
        <v>0.52094316151404119</v>
      </c>
      <c r="K298" s="707">
        <f t="shared" ca="1" si="113"/>
        <v>0.32659970215570822</v>
      </c>
      <c r="L298" s="729">
        <f t="shared" ca="1" si="114"/>
        <v>0.55958099125904182</v>
      </c>
      <c r="M298" s="729">
        <f t="shared" ca="1" si="115"/>
        <v>0.55958099125904182</v>
      </c>
      <c r="N298" s="541"/>
      <c r="O298" s="729">
        <f t="shared" ca="1" si="116"/>
        <v>0.60979645696081541</v>
      </c>
      <c r="P298" s="718">
        <f t="shared" ca="1" si="117"/>
        <v>0.20326548565360511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7.0892422167209701E-2</v>
      </c>
      <c r="H299" s="598">
        <f t="shared" si="111"/>
        <v>5.0215465701773543E-2</v>
      </c>
      <c r="J299" s="707">
        <f t="shared" ca="1" si="112"/>
        <v>0.41176813836106219</v>
      </c>
      <c r="K299" s="707">
        <f t="shared" ca="1" si="113"/>
        <v>0.27637046055053877</v>
      </c>
      <c r="L299" s="729">
        <f t="shared" ca="1" si="114"/>
        <v>0.43761161633550005</v>
      </c>
      <c r="M299" s="729">
        <f t="shared" ca="1" si="115"/>
        <v>0.43761161633550005</v>
      </c>
      <c r="N299" s="541"/>
      <c r="O299" s="729">
        <f t="shared" ca="1" si="116"/>
        <v>0.4878270820372736</v>
      </c>
      <c r="P299" s="718">
        <f t="shared" ca="1" si="117"/>
        <v>0.16260902734575786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7.0892422167209701E-2</v>
      </c>
      <c r="H300" s="598">
        <f t="shared" si="111"/>
        <v>5.0215465701773543E-2</v>
      </c>
      <c r="J300" s="707">
        <f t="shared" ca="1" si="112"/>
        <v>0.30238699531168617</v>
      </c>
      <c r="K300" s="707">
        <f t="shared" ca="1" si="113"/>
        <v>0.1961709902260951</v>
      </c>
      <c r="L300" s="729">
        <f t="shared" ca="1" si="114"/>
        <v>0.3158581397500464</v>
      </c>
      <c r="M300" s="729">
        <f t="shared" ca="1" si="115"/>
        <v>0.3158581397500464</v>
      </c>
      <c r="N300" s="541"/>
      <c r="O300" s="729">
        <f t="shared" ca="1" si="116"/>
        <v>0.36607360545181994</v>
      </c>
      <c r="P300" s="718">
        <f t="shared" ca="1" si="117"/>
        <v>0.12202453515060663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7.0892422167209701E-2</v>
      </c>
      <c r="H301" s="598">
        <f t="shared" si="111"/>
        <v>5.0215465701773543E-2</v>
      </c>
      <c r="J301" s="707">
        <f t="shared" ca="1" si="112"/>
        <v>0.15337773831071055</v>
      </c>
      <c r="K301" s="707">
        <f t="shared" ca="1" si="113"/>
        <v>0.27989887752746639</v>
      </c>
      <c r="L301" s="729">
        <f t="shared" ca="1" si="114"/>
        <v>0.28964810233729987</v>
      </c>
      <c r="M301" s="729">
        <f t="shared" ca="1" si="115"/>
        <v>0.28964810233729987</v>
      </c>
      <c r="N301" s="541"/>
      <c r="O301" s="729">
        <f t="shared" ca="1" si="116"/>
        <v>0.33986356803907342</v>
      </c>
      <c r="P301" s="718">
        <f t="shared" ca="1" si="117"/>
        <v>0.11328785601302446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7</v>
      </c>
      <c r="E302" s="717" t="s">
        <v>842</v>
      </c>
      <c r="F302" s="541" t="s">
        <v>120</v>
      </c>
      <c r="G302" s="724">
        <f t="shared" si="110"/>
        <v>7.0892422167209701E-2</v>
      </c>
      <c r="H302" s="598">
        <f t="shared" si="111"/>
        <v>5.0215465701773543E-2</v>
      </c>
      <c r="J302" s="707">
        <f t="shared" ca="1" si="112"/>
        <v>2.897165985888327E-2</v>
      </c>
      <c r="K302" s="707">
        <f t="shared" ca="1" si="113"/>
        <v>0.23151866367742077</v>
      </c>
      <c r="L302" s="729">
        <f t="shared" ca="1" si="114"/>
        <v>0.23304189542752954</v>
      </c>
      <c r="M302" s="729">
        <f t="shared" ca="1" si="115"/>
        <v>0.23304189542752954</v>
      </c>
      <c r="N302" s="541"/>
      <c r="O302" s="729">
        <f t="shared" ca="1" si="116"/>
        <v>0.28325736112930311</v>
      </c>
      <c r="P302" s="718">
        <f t="shared" ca="1" si="117"/>
        <v>9.4419120376434365E-2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0.6164834710406436</v>
      </c>
      <c r="E303" s="593" t="s">
        <v>846</v>
      </c>
      <c r="F303" s="541" t="s">
        <v>121</v>
      </c>
      <c r="G303" s="724">
        <f t="shared" si="110"/>
        <v>7.0892422167209701E-2</v>
      </c>
      <c r="H303" s="598">
        <f t="shared" si="111"/>
        <v>5.0215465701773543E-2</v>
      </c>
      <c r="J303" s="707">
        <f t="shared" ca="1" si="112"/>
        <v>0.13175224197960539</v>
      </c>
      <c r="K303" s="707">
        <f t="shared" ca="1" si="113"/>
        <v>0.20316403837051517</v>
      </c>
      <c r="L303" s="729">
        <f t="shared" ca="1" si="114"/>
        <v>0.20924274872095922</v>
      </c>
      <c r="M303" s="729">
        <f t="shared" ca="1" si="115"/>
        <v>0.20924274872095922</v>
      </c>
      <c r="N303" s="541"/>
      <c r="O303" s="729">
        <f t="shared" ca="1" si="116"/>
        <v>0.25945821442273276</v>
      </c>
      <c r="P303" s="718">
        <f t="shared" ca="1" si="117"/>
        <v>8.6486071474244239E-2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30.48</v>
      </c>
      <c r="E304" s="541"/>
      <c r="F304" s="541" t="s">
        <v>122</v>
      </c>
      <c r="G304" s="724">
        <f t="shared" si="110"/>
        <v>7.0892422167209701E-2</v>
      </c>
      <c r="H304" s="598">
        <f t="shared" si="111"/>
        <v>5.0215465701773543E-2</v>
      </c>
      <c r="J304" s="707">
        <f t="shared" ca="1" si="112"/>
        <v>0.23551107011697078</v>
      </c>
      <c r="K304" s="707">
        <f t="shared" ca="1" si="113"/>
        <v>0.17373564017214888</v>
      </c>
      <c r="L304" s="729">
        <f t="shared" ca="1" si="114"/>
        <v>0.24480301967264395</v>
      </c>
      <c r="M304" s="729">
        <f t="shared" ca="1" si="115"/>
        <v>0.24480301967264395</v>
      </c>
      <c r="N304" s="541"/>
      <c r="O304" s="729">
        <f t="shared" ca="1" si="116"/>
        <v>0.29501848537441749</v>
      </c>
      <c r="P304" s="718">
        <f t="shared" ca="1" si="117"/>
        <v>9.8339495124805817E-2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7.0892422167209701E-2</v>
      </c>
      <c r="H305" s="598">
        <f t="shared" si="111"/>
        <v>5.0215465701773543E-2</v>
      </c>
      <c r="J305" s="707">
        <f t="shared" ca="1" si="112"/>
        <v>0.39168283146813992</v>
      </c>
      <c r="K305" s="707">
        <f t="shared" ca="1" si="113"/>
        <v>0.27225577967220166</v>
      </c>
      <c r="L305" s="729">
        <f t="shared" ca="1" si="114"/>
        <v>0.41589971440902268</v>
      </c>
      <c r="M305" s="729">
        <f t="shared" ca="1" si="115"/>
        <v>0.41589971440902268</v>
      </c>
      <c r="N305" s="541"/>
      <c r="O305" s="729">
        <f t="shared" ca="1" si="116"/>
        <v>0.46611518011079622</v>
      </c>
      <c r="P305" s="718">
        <f t="shared" ca="1" si="117"/>
        <v>0.15537172670359875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7.0892422167209701E-2</v>
      </c>
      <c r="H306" s="598">
        <f t="shared" si="111"/>
        <v>5.0215465701773543E-2</v>
      </c>
      <c r="J306" s="707">
        <f t="shared" ca="1" si="112"/>
        <v>0.50538587641814214</v>
      </c>
      <c r="K306" s="707">
        <f t="shared" ca="1" si="113"/>
        <v>0.31154949636370161</v>
      </c>
      <c r="L306" s="729">
        <f t="shared" ca="1" si="114"/>
        <v>0.54114252063153212</v>
      </c>
      <c r="M306" s="729">
        <f t="shared" ca="1" si="115"/>
        <v>0.54114252063153212</v>
      </c>
      <c r="N306" s="541"/>
      <c r="O306" s="729">
        <f t="shared" ca="1" si="116"/>
        <v>0.59135798633330561</v>
      </c>
      <c r="P306" s="718">
        <f t="shared" ca="1" si="117"/>
        <v>0.19711932877776853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7.0892422167209701E-2</v>
      </c>
      <c r="H307" s="598">
        <f t="shared" si="111"/>
        <v>5.0215465701773543E-2</v>
      </c>
      <c r="J307" s="707">
        <f t="shared" ca="1" si="112"/>
        <v>0.64097791844699814</v>
      </c>
      <c r="K307" s="707">
        <f t="shared" ca="1" si="113"/>
        <v>0.2356023542809183</v>
      </c>
      <c r="L307" s="729">
        <f t="shared" ca="1" si="114"/>
        <v>0.67527279887949143</v>
      </c>
      <c r="M307" s="729">
        <f t="shared" ca="1" si="115"/>
        <v>0.67527279887949143</v>
      </c>
      <c r="N307" s="541"/>
      <c r="O307" s="729">
        <f t="shared" ca="1" si="116"/>
        <v>0.72548826458126503</v>
      </c>
      <c r="P307" s="718">
        <f t="shared" ca="1" si="117"/>
        <v>0.24182942152708833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7.0892422167209701E-2</v>
      </c>
      <c r="H308" s="735">
        <f>AVERAGE(H296:H307)</f>
        <v>5.0215465701773543E-2</v>
      </c>
      <c r="J308" s="734">
        <f t="shared" ref="J308:P308" ca="1" si="118">AVERAGE(J296:J307)</f>
        <v>0.38348070495986769</v>
      </c>
      <c r="K308" s="734">
        <f t="shared" ca="1" si="118"/>
        <v>0.25669401959110155</v>
      </c>
      <c r="L308" s="734">
        <f t="shared" ca="1" si="118"/>
        <v>0.44036181123724299</v>
      </c>
      <c r="M308" s="734">
        <f t="shared" ca="1" si="118"/>
        <v>0.44036181123724299</v>
      </c>
      <c r="N308" s="734"/>
      <c r="O308" s="734">
        <f t="shared" ca="1" si="118"/>
        <v>0.49057727693901659</v>
      </c>
      <c r="P308" s="734">
        <f t="shared" ca="1" si="118"/>
        <v>0.16352575897967217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35143.019856615312</v>
      </c>
      <c r="D313" s="664">
        <f>$K$176*Calcs!O5</f>
        <v>83853.250012799996</v>
      </c>
      <c r="E313" s="685">
        <f>$K$177*Calcs!O5</f>
        <v>28551.537799890415</v>
      </c>
      <c r="F313" s="730">
        <f t="shared" ref="F313:F324" si="119">SUM(C313:E313)</f>
        <v>147547.80766930571</v>
      </c>
      <c r="H313" s="753">
        <f t="shared" ref="H313:H324" ca="1" si="120">F313+AM144</f>
        <v>181118.92225914815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31742.082451136415</v>
      </c>
      <c r="D314" s="664">
        <f>$K$176*Calcs!O6</f>
        <v>75738.419366400005</v>
      </c>
      <c r="E314" s="685">
        <f>$K$177*Calcs!O6</f>
        <v>25788.48575473973</v>
      </c>
      <c r="F314" s="730">
        <f t="shared" si="119"/>
        <v>133268.98757227615</v>
      </c>
      <c r="H314" s="753">
        <f t="shared" ca="1" si="120"/>
        <v>171519.87392384163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35143.019856615312</v>
      </c>
      <c r="D315" s="664">
        <f>$K$176*Calcs!O7</f>
        <v>83853.250012799996</v>
      </c>
      <c r="E315" s="685">
        <f>$K$177*Calcs!O7</f>
        <v>28551.537799890415</v>
      </c>
      <c r="F315" s="730">
        <f t="shared" si="119"/>
        <v>147547.80766930571</v>
      </c>
      <c r="H315" s="753">
        <f t="shared" ca="1" si="120"/>
        <v>196723.70774243737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34009.374054789019</v>
      </c>
      <c r="D316" s="664">
        <f>$K$176*Calcs!O8</f>
        <v>81148.306464000008</v>
      </c>
      <c r="E316" s="685">
        <f>$K$177*Calcs!O8</f>
        <v>27630.520451506854</v>
      </c>
      <c r="F316" s="730">
        <f t="shared" si="119"/>
        <v>142788.20097029587</v>
      </c>
      <c r="H316" s="753">
        <f t="shared" ca="1" si="120"/>
        <v>193392.29096418669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35143.019856615312</v>
      </c>
      <c r="D317" s="664">
        <f>$K$176*Calcs!O9</f>
        <v>83853.250012799996</v>
      </c>
      <c r="E317" s="685">
        <f>$K$177*Calcs!O9</f>
        <v>28551.537799890415</v>
      </c>
      <c r="F317" s="730">
        <f t="shared" si="119"/>
        <v>147547.80766930571</v>
      </c>
      <c r="H317" s="753">
        <f t="shared" ca="1" si="120"/>
        <v>211101.87085862935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34009.374054789019</v>
      </c>
      <c r="D318" s="664">
        <f>$K$176*Calcs!O10</f>
        <v>81148.306464000008</v>
      </c>
      <c r="E318" s="685">
        <f>$K$177*Calcs!O10</f>
        <v>27630.520451506854</v>
      </c>
      <c r="F318" s="730">
        <f t="shared" si="119"/>
        <v>142788.20097029587</v>
      </c>
      <c r="H318" s="753">
        <f t="shared" ca="1" si="120"/>
        <v>205775.05577676551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35143.019856615312</v>
      </c>
      <c r="D319" s="664">
        <f>$K$176*Calcs!O11</f>
        <v>83853.250012799996</v>
      </c>
      <c r="E319" s="685">
        <f>$K$177*Calcs!O11</f>
        <v>28551.537799890415</v>
      </c>
      <c r="F319" s="730">
        <f t="shared" si="119"/>
        <v>147547.80766930571</v>
      </c>
      <c r="H319" s="753">
        <f t="shared" ca="1" si="120"/>
        <v>213289.43927605054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35143.019856615312</v>
      </c>
      <c r="D320" s="664">
        <f>$K$176*Calcs!O12</f>
        <v>83853.250012799996</v>
      </c>
      <c r="E320" s="685">
        <f>$K$177*Calcs!O12</f>
        <v>28551.537799890415</v>
      </c>
      <c r="F320" s="730">
        <f t="shared" si="119"/>
        <v>147547.80766930571</v>
      </c>
      <c r="H320" s="753">
        <f t="shared" ca="1" si="120"/>
        <v>206961.50926806044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34009.374054789019</v>
      </c>
      <c r="D321" s="664">
        <f>$K$176*Calcs!O13</f>
        <v>81148.306464000008</v>
      </c>
      <c r="E321" s="685">
        <f>$K$177*Calcs!O13</f>
        <v>27630.520451506854</v>
      </c>
      <c r="F321" s="730">
        <f t="shared" si="119"/>
        <v>142788.20097029587</v>
      </c>
      <c r="H321" s="753">
        <f t="shared" ca="1" si="120"/>
        <v>195988.61963247869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35143.019856615312</v>
      </c>
      <c r="D322" s="664">
        <f>$K$176*Calcs!O14</f>
        <v>83853.250012799996</v>
      </c>
      <c r="E322" s="685">
        <f>$K$177*Calcs!O14</f>
        <v>28551.537799890415</v>
      </c>
      <c r="F322" s="730">
        <f t="shared" si="119"/>
        <v>147547.80766930571</v>
      </c>
      <c r="H322" s="753">
        <f t="shared" ca="1" si="120"/>
        <v>194324.13593409443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34009.374054789019</v>
      </c>
      <c r="D323" s="664">
        <f>$K$176*Calcs!O15</f>
        <v>81148.306464000008</v>
      </c>
      <c r="E323" s="685">
        <f>$K$177*Calcs!O15</f>
        <v>27630.520451506854</v>
      </c>
      <c r="F323" s="730">
        <f t="shared" si="119"/>
        <v>142788.20097029587</v>
      </c>
      <c r="H323" s="753">
        <f t="shared" ca="1" si="120"/>
        <v>173772.74599163898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35143.019856615312</v>
      </c>
      <c r="D324" s="664">
        <f>$K$176*Calcs!O16</f>
        <v>83853.250012799996</v>
      </c>
      <c r="E324" s="685">
        <f>$K$177*Calcs!O16</f>
        <v>28551.537799890415</v>
      </c>
      <c r="F324" s="730">
        <f t="shared" si="119"/>
        <v>147547.80766930571</v>
      </c>
      <c r="H324" s="753">
        <f t="shared" ca="1" si="120"/>
        <v>177285.92031259387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413780.71766659967</v>
      </c>
      <c r="D325" s="683">
        <f>SUM(D313:D324)</f>
        <v>987304.39531200007</v>
      </c>
      <c r="E325" s="683">
        <f>SUM(E313:E324)</f>
        <v>336171.33215999999</v>
      </c>
      <c r="F325" s="683">
        <f>SUM(F313:F324)</f>
        <v>1737256.4451385995</v>
      </c>
      <c r="H325" s="683">
        <f ca="1">SUM(H313:H324)</f>
        <v>2321254.0919399252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90.037313979968999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7.0024875986646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205021.20051877142</v>
      </c>
      <c r="D345" s="757">
        <f ca="1">Calcs!P282*Calcs!$C$2</f>
        <v>1820.9092071384071</v>
      </c>
      <c r="E345" s="685">
        <f ca="1">D345*(Calcs!Z231-Calcs!AG5)*Calcs!O5</f>
        <v>126592.1909353107</v>
      </c>
      <c r="F345" s="740">
        <f t="shared" ref="F345:F356" ca="1" si="121">C345+E345</f>
        <v>331613.3914540821</v>
      </c>
      <c r="G345" s="717"/>
      <c r="H345" s="758">
        <f t="shared" ref="H345:H356" ca="1" si="122">IF(F345=0,9999,H313/F345)</f>
        <v>0.54617493420565721</v>
      </c>
      <c r="I345" s="744">
        <f t="shared" ref="I345:I356" ca="1" si="123">IF(F345=0,9999,IF(F345&lt;0,H313,H313/F345))</f>
        <v>0.54617493420565721</v>
      </c>
      <c r="J345" s="760">
        <f t="shared" ref="J345:J356" ca="1" si="124">IF(H345&gt;0,(1-H345^$C$338)/(1-H345^($C$338+1)),1/H345)</f>
        <v>0.99337775951335427</v>
      </c>
      <c r="K345" s="539"/>
      <c r="L345" s="740">
        <f t="shared" ref="L345:L356" ca="1" si="125">F345-J345*H313</f>
        <v>151693.88225481613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170237.90221053045</v>
      </c>
      <c r="D346" s="757">
        <f ca="1">Calcs!P283*Calcs!$C$2</f>
        <v>1733.6809055695803</v>
      </c>
      <c r="E346" s="685">
        <f ca="1">D346*(Calcs!Z232-Calcs!AG6)*Calcs!O6</f>
        <v>100079.5346095642</v>
      </c>
      <c r="F346" s="740">
        <f t="shared" ca="1" si="121"/>
        <v>270317.43682009465</v>
      </c>
      <c r="G346" s="717"/>
      <c r="H346" s="758">
        <f t="shared" ca="1" si="122"/>
        <v>0.63451280073358296</v>
      </c>
      <c r="I346" s="744">
        <f t="shared" ca="1" si="123"/>
        <v>0.63451280073358296</v>
      </c>
      <c r="J346" s="760">
        <f t="shared" ca="1" si="124"/>
        <v>0.98447565322489083</v>
      </c>
      <c r="K346" s="539"/>
      <c r="L346" s="740">
        <f t="shared" ca="1" si="125"/>
        <v>101460.29689786973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138829.23832567089</v>
      </c>
      <c r="D347" s="757">
        <f ca="1">Calcs!P284*Calcs!$C$2</f>
        <v>1447.1153464083072</v>
      </c>
      <c r="E347" s="685">
        <f ca="1">D347*(Calcs!Z233-Calcs!AG7)*Calcs!O7</f>
        <v>68124.596393179483</v>
      </c>
      <c r="F347" s="740">
        <f t="shared" ca="1" si="121"/>
        <v>206953.83471885038</v>
      </c>
      <c r="G347" s="717"/>
      <c r="H347" s="758">
        <f t="shared" ca="1" si="122"/>
        <v>0.95056807239010199</v>
      </c>
      <c r="I347" s="744">
        <f t="shared" ca="1" si="123"/>
        <v>0.95056807239010199</v>
      </c>
      <c r="J347" s="760">
        <f t="shared" ca="1" si="124"/>
        <v>0.89606514588944808</v>
      </c>
      <c r="K347" s="539"/>
      <c r="L347" s="740">
        <f t="shared" ca="1" si="125"/>
        <v>30676.576840710099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88253.753275942203</v>
      </c>
      <c r="D348" s="757">
        <f ca="1">Calcs!P285*Calcs!$C$2</f>
        <v>1114.8849672046845</v>
      </c>
      <c r="E348" s="685">
        <f ca="1">D348*(Calcs!Z234-Calcs!AG8)*Calcs!O8</f>
        <v>33364.382850717215</v>
      </c>
      <c r="F348" s="740">
        <f t="shared" ca="1" si="121"/>
        <v>121618.13612665942</v>
      </c>
      <c r="G348" s="717"/>
      <c r="H348" s="758">
        <f t="shared" ca="1" si="122"/>
        <v>1.5901599639940045</v>
      </c>
      <c r="I348" s="744">
        <f t="shared" ca="1" si="123"/>
        <v>1.5901599639940045</v>
      </c>
      <c r="J348" s="760">
        <f t="shared" ca="1" si="124"/>
        <v>0.61957266301095393</v>
      </c>
      <c r="K348" s="539"/>
      <c r="L348" s="740">
        <f t="shared" ca="1" si="125"/>
        <v>1797.5594081890304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49544.575420880596</v>
      </c>
      <c r="D349" s="757">
        <f ca="1">Calcs!P286*Calcs!$C$2</f>
        <v>774.78002735197128</v>
      </c>
      <c r="E349" s="685">
        <f ca="1">D349*(Calcs!Z235-Calcs!AG9)*Calcs!O9</f>
        <v>13016.504712549902</v>
      </c>
      <c r="F349" s="740">
        <f t="shared" ca="1" si="121"/>
        <v>62561.0801334305</v>
      </c>
      <c r="G349" s="717"/>
      <c r="H349" s="758">
        <f t="shared" ca="1" si="122"/>
        <v>3.374332259104071</v>
      </c>
      <c r="I349" s="744">
        <f t="shared" ca="1" si="123"/>
        <v>3.374332259104071</v>
      </c>
      <c r="J349" s="760">
        <f t="shared" ca="1" si="124"/>
        <v>0.29631318887897379</v>
      </c>
      <c r="K349" s="539"/>
      <c r="L349" s="740">
        <f t="shared" ca="1" si="125"/>
        <v>8.811600992725289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4494.6121036613195</v>
      </c>
      <c r="D350" s="757">
        <f ca="1">Calcs!P287*Calcs!$C$2</f>
        <v>870.40040925132291</v>
      </c>
      <c r="E350" s="685">
        <f ca="1">D350*(Calcs!Z236-Calcs!AG10)*Calcs!O10</f>
        <v>1326.5730059471159</v>
      </c>
      <c r="F350" s="740">
        <f t="shared" ca="1" si="121"/>
        <v>5821.1851096084356</v>
      </c>
      <c r="G350" s="717"/>
      <c r="H350" s="758">
        <f t="shared" ca="1" si="122"/>
        <v>35.349340710212708</v>
      </c>
      <c r="I350" s="744">
        <f t="shared" ca="1" si="123"/>
        <v>35.349340710212708</v>
      </c>
      <c r="J350" s="760">
        <f t="shared" ca="1" si="124"/>
        <v>2.8289070740635459E-2</v>
      </c>
      <c r="K350" s="539"/>
      <c r="L350" s="740">
        <f t="shared" ca="1" si="125"/>
        <v>8.1308826338499784E-8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-19190.442158639918</v>
      </c>
      <c r="D351" s="757">
        <f ca="1">Calcs!P288*Calcs!$C$2</f>
        <v>753.15426549710628</v>
      </c>
      <c r="E351" s="685">
        <f ca="1">D351*(Calcs!Z237-Calcs!AG11)*Calcs!O11</f>
        <v>-4901.0459411252277</v>
      </c>
      <c r="F351" s="740">
        <f t="shared" ca="1" si="121"/>
        <v>-24091.488099765145</v>
      </c>
      <c r="G351" s="717"/>
      <c r="H351" s="758">
        <f t="shared" ca="1" si="122"/>
        <v>-8.8533111110778488</v>
      </c>
      <c r="I351" s="744">
        <f t="shared" ca="1" si="123"/>
        <v>213289.43927605054</v>
      </c>
      <c r="J351" s="760">
        <f t="shared" ca="1" si="124"/>
        <v>-0.11295209074362403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-634.86857772009614</v>
      </c>
      <c r="D352" s="757">
        <f ca="1">Calcs!P289*Calcs!$C$2</f>
        <v>663.43237733294166</v>
      </c>
      <c r="E352" s="685">
        <f ca="1">D352*(Calcs!Z238-Calcs!AG12)*Calcs!O12</f>
        <v>-142.82372219225729</v>
      </c>
      <c r="F352" s="740">
        <f t="shared" ca="1" si="121"/>
        <v>-777.69229991235341</v>
      </c>
      <c r="G352" s="717"/>
      <c r="H352" s="758">
        <f t="shared" ca="1" si="122"/>
        <v>-266.12261596441829</v>
      </c>
      <c r="I352" s="744">
        <f t="shared" ca="1" si="123"/>
        <v>206961.50926806044</v>
      </c>
      <c r="J352" s="760">
        <f t="shared" ca="1" si="124"/>
        <v>-3.7576663538197905E-3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26608.803855691109</v>
      </c>
      <c r="D353" s="757">
        <f ca="1">Calcs!P290*Calcs!$C$2</f>
        <v>601.41911229985703</v>
      </c>
      <c r="E353" s="685">
        <f ca="1">D353*(Calcs!Z239-Calcs!AG13)*Calcs!O13</f>
        <v>5426.5327656170957</v>
      </c>
      <c r="F353" s="740">
        <f t="shared" ca="1" si="121"/>
        <v>32035.336621308204</v>
      </c>
      <c r="G353" s="717"/>
      <c r="H353" s="758">
        <f t="shared" ca="1" si="122"/>
        <v>6.1178885662814437</v>
      </c>
      <c r="I353" s="744">
        <f t="shared" ca="1" si="123"/>
        <v>6.1178885662814437</v>
      </c>
      <c r="J353" s="760">
        <f t="shared" ca="1" si="124"/>
        <v>0.16345466136947534</v>
      </c>
      <c r="K353" s="539"/>
      <c r="L353" s="740">
        <f t="shared" ca="1" si="125"/>
        <v>8.31670104926161E-2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82980.899502628483</v>
      </c>
      <c r="D354" s="757">
        <f ca="1">Calcs!P291*Calcs!$C$2</f>
        <v>1054.0460104273695</v>
      </c>
      <c r="E354" s="685">
        <f ca="1">D354*(Calcs!Z240-Calcs!AG14)*Calcs!O14</f>
        <v>29659.072060457722</v>
      </c>
      <c r="F354" s="740">
        <f t="shared" ca="1" si="121"/>
        <v>112639.9715630862</v>
      </c>
      <c r="G354" s="717"/>
      <c r="H354" s="758">
        <f t="shared" ca="1" si="122"/>
        <v>1.7251791991554208</v>
      </c>
      <c r="I354" s="744">
        <f t="shared" ca="1" si="123"/>
        <v>1.7251791991554208</v>
      </c>
      <c r="J354" s="760">
        <f t="shared" ca="1" si="124"/>
        <v>0.5742310285972293</v>
      </c>
      <c r="K354" s="539"/>
      <c r="L354" s="740">
        <f t="shared" ca="1" si="125"/>
        <v>1053.0231043833483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127490.33270422825</v>
      </c>
      <c r="D355" s="757">
        <f ca="1">Calcs!P292*Calcs!$C$2</f>
        <v>1397.8611915622525</v>
      </c>
      <c r="E355" s="685">
        <f ca="1">D355*(Calcs!Z241-Calcs!AG15)*Calcs!O15</f>
        <v>60431.191131951229</v>
      </c>
      <c r="F355" s="740">
        <f t="shared" ca="1" si="121"/>
        <v>187921.52383617946</v>
      </c>
      <c r="G355" s="717"/>
      <c r="H355" s="758">
        <f t="shared" ca="1" si="122"/>
        <v>0.92470911497676722</v>
      </c>
      <c r="I355" s="744">
        <f t="shared" ca="1" si="123"/>
        <v>0.92470911497676722</v>
      </c>
      <c r="J355" s="760">
        <f t="shared" ca="1" si="124"/>
        <v>0.90650588738529536</v>
      </c>
      <c r="K355" s="539"/>
      <c r="L355" s="740">
        <f t="shared" ca="1" si="125"/>
        <v>30395.506527649239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197476.41822973065</v>
      </c>
      <c r="D356" s="757">
        <f ca="1">Calcs!P293*Calcs!$C$2</f>
        <v>1763.7524552326379</v>
      </c>
      <c r="E356" s="685">
        <f ca="1">D356*(Calcs!Z242-Calcs!AG16)*Calcs!O16</f>
        <v>118106.20774047206</v>
      </c>
      <c r="F356" s="740">
        <f t="shared" ca="1" si="121"/>
        <v>315582.62597020273</v>
      </c>
      <c r="G356" s="717"/>
      <c r="H356" s="758">
        <f t="shared" ca="1" si="122"/>
        <v>0.56177338586862879</v>
      </c>
      <c r="I356" s="744">
        <f t="shared" ca="1" si="123"/>
        <v>0.56177338586862879</v>
      </c>
      <c r="J356" s="760">
        <f t="shared" ca="1" si="124"/>
        <v>0.99219582260255912</v>
      </c>
      <c r="K356" s="539"/>
      <c r="L356" s="740">
        <f t="shared" ca="1" si="125"/>
        <v>139680.27642979691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1071112.4254113752</v>
      </c>
      <c r="D357" s="742"/>
      <c r="E357" s="683">
        <f ca="1">SUM(E345:E356)</f>
        <v>551082.91654244927</v>
      </c>
      <c r="F357" s="683">
        <f ca="1">SUM(F345:F356)</f>
        <v>1622195.3419538247</v>
      </c>
      <c r="L357" s="781">
        <f ca="1">SUM(L345:L356)</f>
        <v>456766.01623149903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90.037313979968999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7.0024875986646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229417.35087896715</v>
      </c>
      <c r="D371" s="757">
        <f ca="1">Calcs!P296*Calcs!$C$2</f>
        <v>1952.4954792655442</v>
      </c>
      <c r="E371" s="685">
        <f ca="1">D371*(Calcs!Z259-Calcs!AG5)*Calcs!O5</f>
        <v>151892.43688786504</v>
      </c>
      <c r="F371" s="757">
        <f t="shared" ref="F371:F382" ca="1" si="126">C371+E371</f>
        <v>381309.78776683216</v>
      </c>
      <c r="G371" s="633" t="s">
        <v>114</v>
      </c>
      <c r="H371" s="762">
        <f t="shared" ref="H371:H382" ca="1" si="127">IF(H313=0,9999,F371/H313)</f>
        <v>2.1053006666042733</v>
      </c>
      <c r="I371" s="633" t="s">
        <v>114</v>
      </c>
      <c r="J371" s="763">
        <f t="shared" ref="J371:J382" ca="1" si="128">IF(H371&lt;0,1,(1-H371^$C$366)/(1-H371^($C$366+1)))</f>
        <v>0.47363017505640609</v>
      </c>
      <c r="K371" s="633" t="s">
        <v>114</v>
      </c>
      <c r="L371" s="685">
        <f t="shared" ref="L371:L382" ca="1" si="129">H313-J371*F371</f>
        <v>519.10072842237423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192120.99882696001</v>
      </c>
      <c r="D372" s="757">
        <f ca="1">Calcs!P297*Calcs!$C$2</f>
        <v>1868.2940173353788</v>
      </c>
      <c r="E372" s="685">
        <f ca="1">D372*(Calcs!Z260-Calcs!AG6)*Calcs!O6</f>
        <v>121713.82507910862</v>
      </c>
      <c r="F372" s="757">
        <f t="shared" ca="1" si="126"/>
        <v>313834.82390606863</v>
      </c>
      <c r="G372" s="633" t="s">
        <v>115</v>
      </c>
      <c r="H372" s="762">
        <f t="shared" ca="1" si="127"/>
        <v>1.8297286298462287</v>
      </c>
      <c r="I372" s="633" t="s">
        <v>115</v>
      </c>
      <c r="J372" s="763">
        <f t="shared" ca="1" si="128"/>
        <v>0.54289610410221378</v>
      </c>
      <c r="K372" s="633" t="s">
        <v>115</v>
      </c>
      <c r="L372" s="685">
        <f t="shared" ca="1" si="129"/>
        <v>1140.1706936326518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162515.73936492004</v>
      </c>
      <c r="D373" s="757">
        <f ca="1">Calcs!P298*Calcs!$C$2</f>
        <v>1592.9103048730419</v>
      </c>
      <c r="E373" s="685">
        <f ca="1">D373*(Calcs!Z261-Calcs!AG7)*Calcs!O7</f>
        <v>87782.228513768001</v>
      </c>
      <c r="F373" s="757">
        <f t="shared" ca="1" si="126"/>
        <v>250297.96787868804</v>
      </c>
      <c r="G373" s="633" t="s">
        <v>116</v>
      </c>
      <c r="H373" s="762">
        <f t="shared" ca="1" si="127"/>
        <v>1.2723325050704786</v>
      </c>
      <c r="I373" s="633" t="s">
        <v>116</v>
      </c>
      <c r="J373" s="763">
        <f t="shared" ca="1" si="128"/>
        <v>0.74950502275775133</v>
      </c>
      <c r="K373" s="633" t="s">
        <v>116</v>
      </c>
      <c r="L373" s="685">
        <f t="shared" ca="1" si="129"/>
        <v>9124.1236313023837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110541.44824307993</v>
      </c>
      <c r="D374" s="757">
        <f ca="1">Calcs!P299*Calcs!$C$2</f>
        <v>1274.301903697766</v>
      </c>
      <c r="E374" s="685">
        <f ca="1">D374*(Calcs!Z262-Calcs!AG8)*Calcs!O8</f>
        <v>47765.830614054728</v>
      </c>
      <c r="F374" s="757">
        <f t="shared" ca="1" si="126"/>
        <v>158307.27885713466</v>
      </c>
      <c r="G374" s="633" t="s">
        <v>117</v>
      </c>
      <c r="H374" s="762">
        <f t="shared" ca="1" si="127"/>
        <v>0.81858112372457892</v>
      </c>
      <c r="I374" s="633" t="s">
        <v>117</v>
      </c>
      <c r="J374" s="763">
        <f t="shared" ca="1" si="128"/>
        <v>0.94407268212608053</v>
      </c>
      <c r="K374" s="633" t="s">
        <v>117</v>
      </c>
      <c r="L374" s="685">
        <f t="shared" ca="1" si="129"/>
        <v>43938.713613450207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71900.458906499989</v>
      </c>
      <c r="D375" s="757">
        <f ca="1">Calcs!P300*Calcs!$C$2</f>
        <v>956.25747216124398</v>
      </c>
      <c r="E375" s="685">
        <f ca="1">D375*(Calcs!Z263-Calcs!AG9)*Calcs!O9</f>
        <v>23314.513428763283</v>
      </c>
      <c r="F375" s="757">
        <f t="shared" ca="1" si="126"/>
        <v>95214.972335263272</v>
      </c>
      <c r="G375" s="633" t="s">
        <v>118</v>
      </c>
      <c r="H375" s="762">
        <f t="shared" ca="1" si="127"/>
        <v>0.45103803177105339</v>
      </c>
      <c r="I375" s="633" t="s">
        <v>118</v>
      </c>
      <c r="J375" s="763">
        <f t="shared" ca="1" si="128"/>
        <v>0.99791590628836679</v>
      </c>
      <c r="K375" s="633" t="s">
        <v>118</v>
      </c>
      <c r="L375" s="685">
        <f t="shared" ca="1" si="129"/>
        <v>116085.33544846333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25148.439580319966</v>
      </c>
      <c r="D376" s="757">
        <f ca="1">Calcs!P301*Calcs!$C$2</f>
        <v>887.79161243166755</v>
      </c>
      <c r="E376" s="685">
        <f ca="1">D376*(Calcs!Z264-Calcs!AG10)*Calcs!O10</f>
        <v>7570.8027775012724</v>
      </c>
      <c r="F376" s="757">
        <f t="shared" ca="1" si="126"/>
        <v>32719.24235782124</v>
      </c>
      <c r="G376" s="633" t="s">
        <v>119</v>
      </c>
      <c r="H376" s="762">
        <f t="shared" ca="1" si="127"/>
        <v>0.15900490093083303</v>
      </c>
      <c r="I376" s="633" t="s">
        <v>119</v>
      </c>
      <c r="J376" s="763">
        <f t="shared" ca="1" si="128"/>
        <v>0.99999784880071207</v>
      </c>
      <c r="K376" s="633" t="s">
        <v>119</v>
      </c>
      <c r="L376" s="685">
        <f t="shared" ca="1" si="129"/>
        <v>173055.88380455514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2136.0461176800777</v>
      </c>
      <c r="D377" s="757">
        <f ca="1">Calcs!P302*Calcs!$C$2</f>
        <v>739.92487874196559</v>
      </c>
      <c r="E377" s="685">
        <f ca="1">D377*(Calcs!Z265-Calcs!AG11)*Calcs!O11</f>
        <v>535.94238817039991</v>
      </c>
      <c r="F377" s="757">
        <f t="shared" ca="1" si="126"/>
        <v>2671.9885058504778</v>
      </c>
      <c r="G377" s="633" t="s">
        <v>120</v>
      </c>
      <c r="H377" s="762">
        <f t="shared" ca="1" si="127"/>
        <v>1.2527523701688052E-2</v>
      </c>
      <c r="I377" s="633" t="s">
        <v>120</v>
      </c>
      <c r="J377" s="763">
        <f t="shared" ca="1" si="128"/>
        <v>0.9999999999999527</v>
      </c>
      <c r="K377" s="633" t="s">
        <v>120</v>
      </c>
      <c r="L377" s="685">
        <f t="shared" ca="1" si="129"/>
        <v>210617.4507702002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20691.619698599898</v>
      </c>
      <c r="D378" s="757">
        <f ca="1">Calcs!P303*Calcs!$C$2</f>
        <v>677.75674771506249</v>
      </c>
      <c r="E378" s="685">
        <f ca="1">D378*(Calcs!Z266-Calcs!AG12)*Calcs!O12</f>
        <v>4755.4124446679416</v>
      </c>
      <c r="F378" s="757">
        <f t="shared" ca="1" si="126"/>
        <v>25447.032143267839</v>
      </c>
      <c r="G378" s="633" t="s">
        <v>121</v>
      </c>
      <c r="H378" s="762">
        <f t="shared" ca="1" si="127"/>
        <v>0.12295538543985184</v>
      </c>
      <c r="I378" s="633" t="s">
        <v>121</v>
      </c>
      <c r="J378" s="763">
        <f t="shared" ca="1" si="128"/>
        <v>0.99999962932759578</v>
      </c>
      <c r="K378" s="633" t="s">
        <v>121</v>
      </c>
      <c r="L378" s="685">
        <f t="shared" ca="1" si="129"/>
        <v>181514.48655730518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47834.905528979783</v>
      </c>
      <c r="D379" s="757">
        <f ca="1">Calcs!P304*Calcs!$C$2</f>
        <v>770.64728749505332</v>
      </c>
      <c r="E379" s="685">
        <f ca="1">D379*(Calcs!Z267-Calcs!AG13)*Calcs!O13</f>
        <v>12500.299739759206</v>
      </c>
      <c r="F379" s="757">
        <f t="shared" ca="1" si="126"/>
        <v>60335.205268738988</v>
      </c>
      <c r="G379" s="633" t="s">
        <v>122</v>
      </c>
      <c r="H379" s="762">
        <f t="shared" ca="1" si="127"/>
        <v>0.30785055469996486</v>
      </c>
      <c r="I379" s="633" t="s">
        <v>122</v>
      </c>
      <c r="J379" s="763">
        <f t="shared" ca="1" si="128"/>
        <v>0.9998191403910266</v>
      </c>
      <c r="K379" s="633" t="s">
        <v>122</v>
      </c>
      <c r="L379" s="685">
        <f t="shared" ca="1" si="129"/>
        <v>135664.32656537194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105975.27808794001</v>
      </c>
      <c r="D380" s="757">
        <f ca="1">Calcs!P305*Calcs!$C$2</f>
        <v>1217.586073485422</v>
      </c>
      <c r="E380" s="685">
        <f ca="1">D380*(Calcs!Z268-Calcs!AG14)*Calcs!O14</f>
        <v>43754.637398899795</v>
      </c>
      <c r="F380" s="757">
        <f t="shared" ca="1" si="126"/>
        <v>149729.9154868398</v>
      </c>
      <c r="G380" s="633" t="s">
        <v>123</v>
      </c>
      <c r="H380" s="762">
        <f t="shared" ca="1" si="127"/>
        <v>0.7705163065159395</v>
      </c>
      <c r="I380" s="633" t="s">
        <v>123</v>
      </c>
      <c r="J380" s="763">
        <f t="shared" ca="1" si="128"/>
        <v>0.95778011714995881</v>
      </c>
      <c r="K380" s="633" t="s">
        <v>123</v>
      </c>
      <c r="L380" s="685">
        <f t="shared" ca="1" si="129"/>
        <v>50915.799938255572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150284.43353898011</v>
      </c>
      <c r="D381" s="757">
        <f ca="1">Calcs!P306*Calcs!$C$2</f>
        <v>1544.745331899861</v>
      </c>
      <c r="E381" s="685">
        <f ca="1">D381*(Calcs!Z269-Calcs!AG15)*Calcs!O15</f>
        <v>78721.025381189553</v>
      </c>
      <c r="F381" s="757">
        <f t="shared" ca="1" si="126"/>
        <v>229005.45892016968</v>
      </c>
      <c r="G381" s="633" t="s">
        <v>124</v>
      </c>
      <c r="H381" s="762">
        <f t="shared" ca="1" si="127"/>
        <v>1.3178445078561871</v>
      </c>
      <c r="I381" s="633" t="s">
        <v>124</v>
      </c>
      <c r="J381" s="763">
        <f t="shared" ca="1" si="128"/>
        <v>0.72905202317154949</v>
      </c>
      <c r="K381" s="633" t="s">
        <v>124</v>
      </c>
      <c r="L381" s="685">
        <f t="shared" ca="1" si="129"/>
        <v>6815.8528485601128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221772.15305547902</v>
      </c>
      <c r="D382" s="757">
        <f ca="1">Calcs!P307*Calcs!$C$2</f>
        <v>1895.1204447391806</v>
      </c>
      <c r="E382" s="685">
        <f ca="1">D382*(Calcs!Z270-Calcs!AG16)*Calcs!O16</f>
        <v>142516.01881810042</v>
      </c>
      <c r="F382" s="757">
        <f t="shared" ca="1" si="126"/>
        <v>364288.17187357944</v>
      </c>
      <c r="G382" s="633" t="s">
        <v>125</v>
      </c>
      <c r="H382" s="762">
        <f t="shared" ca="1" si="127"/>
        <v>2.0548059949219866</v>
      </c>
      <c r="I382" s="633" t="s">
        <v>125</v>
      </c>
      <c r="J382" s="763">
        <f t="shared" ca="1" si="128"/>
        <v>0.48504652702428014</v>
      </c>
      <c r="K382" s="633" t="s">
        <v>125</v>
      </c>
      <c r="L382" s="685">
        <f t="shared" ca="1" si="129"/>
        <v>589.20770929011633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1340338.8718284061</v>
      </c>
      <c r="D383" s="683"/>
      <c r="E383" s="683">
        <f ca="1">SUM(E371:E382)</f>
        <v>722822.97347184829</v>
      </c>
      <c r="F383" s="683">
        <f ca="1">SUM(F371:F382)</f>
        <v>2063161.8453002542</v>
      </c>
      <c r="G383" s="743"/>
      <c r="H383" s="683"/>
      <c r="I383" s="743"/>
      <c r="J383" s="743"/>
      <c r="K383" s="670" t="s">
        <v>178</v>
      </c>
      <c r="L383" s="764">
        <f ca="1">SUM(L371:L382)</f>
        <v>929980.45230880915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28.7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17.399999999999999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2000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2000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0.89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151693.88225481613</v>
      </c>
      <c r="D424" s="542">
        <f t="shared" ref="D424:D435" ca="1" si="130">$D$410-Z231</f>
        <v>7.3886288037241989</v>
      </c>
      <c r="E424" s="769">
        <f ca="1">C424/($D$412*D424)</f>
        <v>16558201.842508975</v>
      </c>
      <c r="F424" s="770">
        <f ca="1">Calcs!L371</f>
        <v>519.10072842237423</v>
      </c>
      <c r="G424" s="771">
        <f t="shared" ref="G424:G435" ca="1" si="131">Z259-$D$411</f>
        <v>7</v>
      </c>
      <c r="H424" s="558">
        <f ca="1">F424/($D$412*G424)</f>
        <v>59808.450774803081</v>
      </c>
      <c r="I424" s="558">
        <f ca="1">MAX((E424+H424),$D$414*$D$291*P5*3600/1000)</f>
        <v>16618010.293283779</v>
      </c>
      <c r="J424" s="630" t="s">
        <v>114</v>
      </c>
      <c r="K424" s="772">
        <f t="shared" ref="K424:K435" ca="1" si="132">I424*$D$418*$D$419/3600</f>
        <v>4108.3414336173792</v>
      </c>
      <c r="L424" s="765">
        <f ca="1">K424/$C$2</f>
        <v>0.52425049557427694</v>
      </c>
      <c r="M424" s="540"/>
      <c r="N424" s="747">
        <f t="shared" ref="N424:N435" ca="1" si="133">I424*$D$413/3600</f>
        <v>8309.00514664189</v>
      </c>
      <c r="O424" s="749">
        <f ca="1">N424/Inputs!$C$11</f>
        <v>1.060281901161459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101460.29689786973</v>
      </c>
      <c r="D425" s="542">
        <f t="shared" ca="1" si="130"/>
        <v>7.3673042487009326</v>
      </c>
      <c r="E425" s="769">
        <f t="shared" ref="E425:E435" ca="1" si="134">C425/($D$412*D425)</f>
        <v>11106992.488956492</v>
      </c>
      <c r="F425" s="770">
        <f ca="1">Calcs!L372</f>
        <v>1140.1706936326518</v>
      </c>
      <c r="G425" s="771">
        <f t="shared" ca="1" si="131"/>
        <v>7</v>
      </c>
      <c r="H425" s="558">
        <f t="shared" ref="H425:H435" ca="1" si="135">F425/($D$412*G425)</f>
        <v>131365.33830774401</v>
      </c>
      <c r="I425" s="558">
        <f t="shared" ref="I425:I435" ca="1" si="136">MAX((E425+H425),$D$414*$D$291*P6*3600/1000)</f>
        <v>11238357.827264236</v>
      </c>
      <c r="J425" s="630" t="s">
        <v>115</v>
      </c>
      <c r="K425" s="772">
        <f t="shared" ca="1" si="132"/>
        <v>2778.3717961847692</v>
      </c>
      <c r="L425" s="765">
        <f t="shared" ref="L425:L435" ca="1" si="137">K425/$C$2</f>
        <v>0.35453791136267887</v>
      </c>
      <c r="M425" s="540"/>
      <c r="N425" s="747">
        <f t="shared" ca="1" si="133"/>
        <v>5619.1789136321177</v>
      </c>
      <c r="O425" s="749">
        <f ca="1">N425/Inputs!$C$11</f>
        <v>0.7170429668009235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30676.576840710099</v>
      </c>
      <c r="D426" s="542">
        <f t="shared" ca="1" si="130"/>
        <v>7.2987849840699717</v>
      </c>
      <c r="E426" s="769">
        <f t="shared" ca="1" si="134"/>
        <v>3389731.3535830453</v>
      </c>
      <c r="F426" s="770">
        <f ca="1">Calcs!L373</f>
        <v>9124.1236313023837</v>
      </c>
      <c r="G426" s="771">
        <f t="shared" ca="1" si="131"/>
        <v>7</v>
      </c>
      <c r="H426" s="558">
        <f t="shared" ca="1" si="135"/>
        <v>1051240.4802906562</v>
      </c>
      <c r="I426" s="558">
        <f t="shared" ca="1" si="136"/>
        <v>4440971.8338737013</v>
      </c>
      <c r="J426" s="630" t="s">
        <v>116</v>
      </c>
      <c r="K426" s="772">
        <f t="shared" ca="1" si="132"/>
        <v>1097.9069255965539</v>
      </c>
      <c r="L426" s="765">
        <f t="shared" ca="1" si="137"/>
        <v>0.14009990628544955</v>
      </c>
      <c r="M426" s="540"/>
      <c r="N426" s="747">
        <f t="shared" ca="1" si="133"/>
        <v>2220.4859169368506</v>
      </c>
      <c r="O426" s="749">
        <f ca="1">N426/Inputs!$C$11</f>
        <v>0.28334812507169571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1797.5594081890304</v>
      </c>
      <c r="D427" s="542">
        <f t="shared" ca="1" si="130"/>
        <v>7.2157481603457043</v>
      </c>
      <c r="E427" s="769">
        <f t="shared" ca="1" si="134"/>
        <v>200914.2959423594</v>
      </c>
      <c r="F427" s="770">
        <f ca="1">Calcs!L374</f>
        <v>43938.713613450207</v>
      </c>
      <c r="G427" s="771">
        <f t="shared" ca="1" si="131"/>
        <v>7</v>
      </c>
      <c r="H427" s="558">
        <f t="shared" ca="1" si="135"/>
        <v>5062420.9259825395</v>
      </c>
      <c r="I427" s="558">
        <f t="shared" ca="1" si="136"/>
        <v>5263335.2219248991</v>
      </c>
      <c r="J427" s="630" t="s">
        <v>117</v>
      </c>
      <c r="K427" s="772">
        <f t="shared" ca="1" si="132"/>
        <v>1301.2134298647668</v>
      </c>
      <c r="L427" s="765">
        <f t="shared" ca="1" si="137"/>
        <v>0.16604310923930873</v>
      </c>
      <c r="M427" s="540"/>
      <c r="N427" s="747">
        <f t="shared" ca="1" si="133"/>
        <v>2631.66761096245</v>
      </c>
      <c r="O427" s="749">
        <f ca="1">N427/Inputs!$C$11</f>
        <v>0.33581752430421991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8.811600992725289</v>
      </c>
      <c r="D428" s="542">
        <f t="shared" ca="1" si="130"/>
        <v>7.1303246474101627</v>
      </c>
      <c r="E428" s="769">
        <f t="shared" ca="1" si="134"/>
        <v>996.67708633612483</v>
      </c>
      <c r="F428" s="770">
        <f ca="1">Calcs!L375</f>
        <v>116085.33544846333</v>
      </c>
      <c r="G428" s="771">
        <f t="shared" ca="1" si="131"/>
        <v>7</v>
      </c>
      <c r="H428" s="558">
        <f t="shared" ca="1" si="135"/>
        <v>13374830.14509804</v>
      </c>
      <c r="I428" s="558">
        <f t="shared" ca="1" si="136"/>
        <v>13375826.822184376</v>
      </c>
      <c r="J428" s="630" t="s">
        <v>118</v>
      </c>
      <c r="K428" s="772">
        <f t="shared" ca="1" si="132"/>
        <v>3306.8016310400262</v>
      </c>
      <c r="L428" s="765">
        <f t="shared" ca="1" si="137"/>
        <v>0.42196891905163286</v>
      </c>
      <c r="M428" s="540"/>
      <c r="N428" s="747">
        <f t="shared" ca="1" si="133"/>
        <v>6687.9134110921877</v>
      </c>
      <c r="O428" s="749">
        <f ca="1">N428/Inputs!$C$11</f>
        <v>0.85342028572240347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8.1308826338499784E-8</v>
      </c>
      <c r="D429" s="542">
        <f t="shared" ca="1" si="130"/>
        <v>7.0020003440445002</v>
      </c>
      <c r="E429" s="769">
        <f t="shared" ca="1" si="134"/>
        <v>9.3653609284856657E-6</v>
      </c>
      <c r="F429" s="770">
        <f ca="1">Calcs!L376</f>
        <v>173055.88380455514</v>
      </c>
      <c r="G429" s="771">
        <f t="shared" ca="1" si="131"/>
        <v>7</v>
      </c>
      <c r="H429" s="558">
        <f t="shared" ca="1" si="135"/>
        <v>19938720.44693641</v>
      </c>
      <c r="I429" s="558">
        <f t="shared" ca="1" si="136"/>
        <v>19938720.446945775</v>
      </c>
      <c r="J429" s="630" t="s">
        <v>119</v>
      </c>
      <c r="K429" s="772">
        <f t="shared" ca="1" si="132"/>
        <v>4929.2947771615945</v>
      </c>
      <c r="L429" s="765">
        <f t="shared" ca="1" si="137"/>
        <v>0.62900936339249092</v>
      </c>
      <c r="M429" s="540"/>
      <c r="N429" s="747">
        <f t="shared" ca="1" si="133"/>
        <v>9969.3602234728878</v>
      </c>
      <c r="O429" s="749">
        <f ca="1">N429/Inputs!$C$11</f>
        <v>1.2721537686589703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210617.4507702002</v>
      </c>
      <c r="G430" s="771">
        <f t="shared" ca="1" si="131"/>
        <v>7</v>
      </c>
      <c r="H430" s="558">
        <f t="shared" ca="1" si="135"/>
        <v>24266395.223499916</v>
      </c>
      <c r="I430" s="558">
        <f t="shared" ca="1" si="136"/>
        <v>24266395.223499916</v>
      </c>
      <c r="J430" s="630" t="s">
        <v>120</v>
      </c>
      <c r="K430" s="772">
        <f t="shared" ca="1" si="132"/>
        <v>5999.1921524763684</v>
      </c>
      <c r="L430" s="765">
        <f t="shared" ca="1" si="137"/>
        <v>0.76553507292401912</v>
      </c>
      <c r="M430" s="540"/>
      <c r="N430" s="747">
        <f t="shared" ca="1" si="133"/>
        <v>12133.197611749958</v>
      </c>
      <c r="O430" s="749">
        <f ca="1">N430/Inputs!$C$11</f>
        <v>1.5482731811946453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181514.48655730518</v>
      </c>
      <c r="G431" s="771">
        <f t="shared" ca="1" si="131"/>
        <v>7</v>
      </c>
      <c r="H431" s="558">
        <f t="shared" ca="1" si="135"/>
        <v>20913282.60541952</v>
      </c>
      <c r="I431" s="558">
        <f t="shared" ca="1" si="136"/>
        <v>20913282.60541952</v>
      </c>
      <c r="J431" s="630" t="s">
        <v>121</v>
      </c>
      <c r="K431" s="772">
        <f t="shared" ca="1" si="132"/>
        <v>5170.2281996731599</v>
      </c>
      <c r="L431" s="765">
        <f t="shared" ca="1" si="137"/>
        <v>0.65975400041767596</v>
      </c>
      <c r="M431" s="540"/>
      <c r="N431" s="747">
        <f t="shared" ca="1" si="133"/>
        <v>10456.641302709759</v>
      </c>
      <c r="O431" s="749">
        <f ca="1">N431/Inputs!$C$11</f>
        <v>1.3343339334290072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8.31670104926161E-2</v>
      </c>
      <c r="D432" s="542">
        <f t="shared" ca="1" si="130"/>
        <v>7.0768671007233586</v>
      </c>
      <c r="E432" s="769">
        <f t="shared" ca="1" si="134"/>
        <v>9.4780502196217391</v>
      </c>
      <c r="F432" s="770">
        <f ca="1">Calcs!L379</f>
        <v>135664.32656537194</v>
      </c>
      <c r="G432" s="771">
        <f t="shared" ca="1" si="131"/>
        <v>7</v>
      </c>
      <c r="H432" s="558">
        <f t="shared" ca="1" si="135"/>
        <v>15630633.426273832</v>
      </c>
      <c r="I432" s="558">
        <f t="shared" ca="1" si="136"/>
        <v>15630642.904324051</v>
      </c>
      <c r="J432" s="630" t="s">
        <v>122</v>
      </c>
      <c r="K432" s="772">
        <f t="shared" ca="1" si="132"/>
        <v>3864.2422735690016</v>
      </c>
      <c r="L432" s="765">
        <f t="shared" ca="1" si="137"/>
        <v>0.49310189030561741</v>
      </c>
      <c r="M432" s="540"/>
      <c r="N432" s="747">
        <f t="shared" ca="1" si="133"/>
        <v>7815.3214521620257</v>
      </c>
      <c r="O432" s="749">
        <f ca="1">N432/Inputs!$C$11</f>
        <v>0.99728472196641726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1053.0231043833483</v>
      </c>
      <c r="D433" s="542">
        <f t="shared" ca="1" si="130"/>
        <v>7.2111601205003559</v>
      </c>
      <c r="E433" s="769">
        <f t="shared" ca="1" si="134"/>
        <v>117771.90930991909</v>
      </c>
      <c r="F433" s="770">
        <f ca="1">Calcs!L380</f>
        <v>50915.799938255572</v>
      </c>
      <c r="G433" s="771">
        <f t="shared" ca="1" si="131"/>
        <v>7</v>
      </c>
      <c r="H433" s="558">
        <f t="shared" ca="1" si="135"/>
        <v>5866289.4261807129</v>
      </c>
      <c r="I433" s="558">
        <f t="shared" ca="1" si="136"/>
        <v>5984061.3354906319</v>
      </c>
      <c r="J433" s="630" t="s">
        <v>123</v>
      </c>
      <c r="K433" s="772">
        <f t="shared" ca="1" si="132"/>
        <v>1479.3929412740731</v>
      </c>
      <c r="L433" s="765">
        <f t="shared" ca="1" si="137"/>
        <v>0.188779948099185</v>
      </c>
      <c r="M433" s="540"/>
      <c r="N433" s="747">
        <f t="shared" ca="1" si="133"/>
        <v>2992.0306677453159</v>
      </c>
      <c r="O433" s="749">
        <f ca="1">N433/Inputs!$C$11</f>
        <v>0.38180214222307068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30395.506527649239</v>
      </c>
      <c r="D434" s="542">
        <f t="shared" ca="1" si="130"/>
        <v>7.2819978097177582</v>
      </c>
      <c r="E434" s="769">
        <f t="shared" ca="1" si="134"/>
        <v>3366416.1051021623</v>
      </c>
      <c r="F434" s="770">
        <f ca="1">Calcs!L381</f>
        <v>6815.8528485601128</v>
      </c>
      <c r="G434" s="771">
        <f t="shared" ca="1" si="131"/>
        <v>7</v>
      </c>
      <c r="H434" s="558">
        <f t="shared" ca="1" si="135"/>
        <v>785291.90436758893</v>
      </c>
      <c r="I434" s="558">
        <f t="shared" ca="1" si="136"/>
        <v>4151708.0094697513</v>
      </c>
      <c r="J434" s="630" t="s">
        <v>124</v>
      </c>
      <c r="K434" s="772">
        <f t="shared" ca="1" si="132"/>
        <v>1026.3944801189107</v>
      </c>
      <c r="L434" s="765">
        <f t="shared" ca="1" si="137"/>
        <v>0.13097446343043037</v>
      </c>
      <c r="M434" s="540"/>
      <c r="N434" s="747">
        <f t="shared" ca="1" si="133"/>
        <v>2075.8540047348756</v>
      </c>
      <c r="O434" s="749">
        <f ca="1">N434/Inputs!$C$11</f>
        <v>0.2648921732300839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139680.27642979691</v>
      </c>
      <c r="D435" s="542">
        <f t="shared" ca="1" si="130"/>
        <v>7.3759158835521106</v>
      </c>
      <c r="E435" s="769">
        <f t="shared" ca="1" si="134"/>
        <v>15273131.297449237</v>
      </c>
      <c r="F435" s="770">
        <f ca="1">Calcs!L382</f>
        <v>589.20770929011633</v>
      </c>
      <c r="G435" s="771">
        <f t="shared" ca="1" si="131"/>
        <v>7</v>
      </c>
      <c r="H435" s="558">
        <f t="shared" ca="1" si="135"/>
        <v>67885.861736913546</v>
      </c>
      <c r="I435" s="558">
        <f t="shared" ca="1" si="136"/>
        <v>15341017.159186151</v>
      </c>
      <c r="J435" s="630" t="s">
        <v>125</v>
      </c>
      <c r="K435" s="772">
        <f t="shared" ca="1" si="132"/>
        <v>3792.6403532432428</v>
      </c>
      <c r="L435" s="765">
        <f t="shared" ca="1" si="137"/>
        <v>0.48396502989092754</v>
      </c>
      <c r="M435" s="540"/>
      <c r="N435" s="747">
        <f t="shared" ca="1" si="133"/>
        <v>7670.5085795930754</v>
      </c>
      <c r="O435" s="749">
        <f ca="1">N435/Inputs!$C$11</f>
        <v>0.97880567843108934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38854.020393819847</v>
      </c>
      <c r="L436" s="775">
        <f ca="1">SUM(L424:L435)</f>
        <v>4.9580201099736936</v>
      </c>
      <c r="M436" s="540"/>
      <c r="N436" s="746"/>
      <c r="O436" s="748">
        <f ca="1">SUM(O424:O435)</f>
        <v>10.027456402193986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5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0.32937961378931202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</v>
      </c>
      <c r="E472" s="540" t="s">
        <v>306</v>
      </c>
      <c r="F472" s="540"/>
      <c r="G472" s="540"/>
      <c r="H472" s="507" t="s">
        <v>304</v>
      </c>
      <c r="I472" s="780">
        <f ca="1">MAX((1-I471),0.1)</f>
        <v>0.67062038621068798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5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0.92592592592592582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0.08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12135.510580385308</v>
      </c>
      <c r="D523" s="540"/>
      <c r="E523" s="806">
        <f ca="1">IF(Calcs!$D$446=1,0,IF($D$469=0,0,(C523+L345)/$D$469))</f>
        <v>204786.74104400177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103.82014568447485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8116.8237518295909</v>
      </c>
      <c r="D524" s="540"/>
      <c r="E524" s="806">
        <f ca="1">IF(Calcs!$D$446=1,0,IF($D$469=0,0,(C524+L346)/$D$469))</f>
        <v>136971.40081212413</v>
      </c>
      <c r="F524" s="540"/>
      <c r="G524" s="806">
        <f t="shared" ca="1" si="140"/>
        <v>0</v>
      </c>
      <c r="H524" s="806">
        <f t="shared" ca="1" si="141"/>
        <v>228.03413872653036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2454.1261472568117</v>
      </c>
      <c r="D525" s="540"/>
      <c r="E525" s="806">
        <f ca="1">IF(Calcs!$D$446=1,0,IF($D$469=0,0,(C525+L347)/$D$469))</f>
        <v>41413.378734958642</v>
      </c>
      <c r="F525" s="540"/>
      <c r="G525" s="806">
        <f t="shared" ca="1" si="140"/>
        <v>0</v>
      </c>
      <c r="H525" s="806">
        <f t="shared" ca="1" si="141"/>
        <v>1824.8247262604768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143.80475265512266</v>
      </c>
      <c r="D526" s="540"/>
      <c r="E526" s="806">
        <f ca="1">IF(Calcs!$D$446=1,0,IF($D$469=0,0,(C526+L348)/$D$469))</f>
        <v>2426.7052010551911</v>
      </c>
      <c r="F526" s="540"/>
      <c r="G526" s="806">
        <f t="shared" ca="1" si="140"/>
        <v>0</v>
      </c>
      <c r="H526" s="806">
        <f t="shared" ca="1" si="141"/>
        <v>8787.7427226900418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0.70492807941802416</v>
      </c>
      <c r="D527" s="540"/>
      <c r="E527" s="806">
        <f ca="1">IF(Calcs!$D$446=1,0,IF($D$469=0,0,(C527+L349)/$D$469))</f>
        <v>11.895661340179142</v>
      </c>
      <c r="F527" s="540"/>
      <c r="G527" s="806">
        <f t="shared" ca="1" si="140"/>
        <v>0</v>
      </c>
      <c r="H527" s="806">
        <f t="shared" ca="1" si="141"/>
        <v>23217.067089692668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6.5047061070799927E-9</v>
      </c>
      <c r="D528" s="540"/>
      <c r="E528" s="806">
        <f ca="1">IF(Calcs!$D$446=1,0,IF($D$469=0,0,(C528+L350)/$D$469))</f>
        <v>1.0976691555697472E-7</v>
      </c>
      <c r="F528" s="540"/>
      <c r="G528" s="806">
        <f t="shared" ca="1" si="140"/>
        <v>0</v>
      </c>
      <c r="H528" s="806">
        <f t="shared" ca="1" si="141"/>
        <v>34611.176760911025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42123.490154040039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36302.897311461034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6.6533608394092987E-3</v>
      </c>
      <c r="D531" s="540"/>
      <c r="E531" s="806">
        <f ca="1">IF(Calcs!$D$446=1,0,IF($D$469=0,0,(C531+L353)/$D$469))</f>
        <v>0.11227546416503174</v>
      </c>
      <c r="F531" s="540"/>
      <c r="G531" s="806">
        <f t="shared" ca="1" si="140"/>
        <v>0</v>
      </c>
      <c r="H531" s="806">
        <f t="shared" ca="1" si="141"/>
        <v>27132.865313074388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84.241848350667993</v>
      </c>
      <c r="D532" s="540"/>
      <c r="E532" s="806">
        <f ca="1">IF(Calcs!$D$446=1,0,IF($D$469=0,0,(C532+L354)/$D$469))</f>
        <v>1421.5811909175204</v>
      </c>
      <c r="F532" s="540"/>
      <c r="G532" s="806">
        <f t="shared" ca="1" si="140"/>
        <v>0</v>
      </c>
      <c r="H532" s="806">
        <f t="shared" ca="1" si="141"/>
        <v>10183.159987651114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2431.6405222119429</v>
      </c>
      <c r="D533" s="540"/>
      <c r="E533" s="806">
        <f ca="1">IF(Calcs!$D$446=1,0,IF($D$469=0,0,(C533+L355)/$D$469))</f>
        <v>41033.933812326475</v>
      </c>
      <c r="F533" s="540"/>
      <c r="G533" s="806">
        <f t="shared" ca="1" si="140"/>
        <v>0</v>
      </c>
      <c r="H533" s="806">
        <f t="shared" ca="1" si="141"/>
        <v>1363.1705697120226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11174.422114383769</v>
      </c>
      <c r="D534" s="540"/>
      <c r="E534" s="806">
        <f ca="1">IF(Calcs!$D$446=1,0,IF($D$469=0,0,(C534+L356)/$D$469))</f>
        <v>188568.37318022584</v>
      </c>
      <c r="F534" s="540"/>
      <c r="G534" s="806">
        <f t="shared" ca="1" si="140"/>
        <v>0</v>
      </c>
      <c r="H534" s="806">
        <f t="shared" ca="1" si="141"/>
        <v>117.84154185802326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36541.281298519971</v>
      </c>
      <c r="D535" s="540"/>
      <c r="E535" s="808">
        <f ca="1">SUM(E523:E534)</f>
        <v>616634.12191252364</v>
      </c>
      <c r="F535" s="540"/>
      <c r="G535" s="809">
        <f ca="1">SUM(G523:G534)</f>
        <v>0</v>
      </c>
      <c r="H535" s="810">
        <f ca="1">SUM(H523:H534)</f>
        <v>185996.09046176184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103.82014568447485</v>
      </c>
      <c r="E558" s="786"/>
      <c r="F558" s="786">
        <f ca="1">IF(Inputs!C$46=2,E523,0)+I541</f>
        <v>204786.74104400177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228.03413872653036</v>
      </c>
      <c r="E559" s="786"/>
      <c r="F559" s="786">
        <f ca="1">IF(Inputs!C$46=2,E524,0)+I542</f>
        <v>136971.40081212413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1824.8247262604768</v>
      </c>
      <c r="E560" s="786"/>
      <c r="F560" s="786">
        <f ca="1">IF(Inputs!C$46=2,E525,0)+I543</f>
        <v>41413.378734958642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8787.7427226900418</v>
      </c>
      <c r="E561" s="786"/>
      <c r="F561" s="786">
        <f ca="1">IF(Inputs!C$46=2,E526,0)+I544</f>
        <v>2426.7052010551911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23217.067089692668</v>
      </c>
      <c r="E562" s="786"/>
      <c r="F562" s="786">
        <f ca="1">IF(Inputs!C$46=2,E527,0)+I545</f>
        <v>11.895661340179142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34611.176760911025</v>
      </c>
      <c r="E563" s="786"/>
      <c r="F563" s="786">
        <f ca="1">IF(Inputs!C$46=2,E528,0)+I546</f>
        <v>1.0976691555697472E-7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42123.490154040039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36302.897311461034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27132.865313074388</v>
      </c>
      <c r="E566" s="786"/>
      <c r="F566" s="786">
        <f ca="1">IF(Inputs!C$46=2,E531,0)+I549</f>
        <v>0.11227546416503174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10183.159987651114</v>
      </c>
      <c r="E567" s="786"/>
      <c r="F567" s="786">
        <f ca="1">IF(Inputs!C$46=2,E532,0)+I550</f>
        <v>1421.5811909175204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1363.1705697120226</v>
      </c>
      <c r="E568" s="786"/>
      <c r="F568" s="786">
        <f ca="1">IF(Inputs!C$46=2,E533,0)+I551</f>
        <v>41033.933812326475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117.84154185802326</v>
      </c>
      <c r="E569" s="786"/>
      <c r="F569" s="786">
        <f ca="1">IF(Inputs!C$46=2,E534,0)+I552</f>
        <v>188568.37318022584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185996.09046176184</v>
      </c>
      <c r="E570" s="782"/>
      <c r="F570" s="788">
        <f ca="1">SUM(F558:F569)</f>
        <v>616634.12191252364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21.3113711962758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28.7</v>
      </c>
      <c r="J626" s="797">
        <f>$D$291</f>
        <v>0.70833333333333337</v>
      </c>
      <c r="K626" s="798">
        <f t="shared" ref="K626:K637" ca="1" si="152">1.205*1.008*E424/3600</f>
        <v>5586.7373016625288</v>
      </c>
      <c r="L626" s="743">
        <f t="shared" ref="L626:L637" si="153">O5</f>
        <v>2.6783999999999999</v>
      </c>
      <c r="M626" s="796">
        <f ca="1">K626*((I626-H626)-G626)*J626*L626</f>
        <v>349188.76130969817</v>
      </c>
      <c r="N626" s="799">
        <f ca="1">Calcs!L345</f>
        <v>151693.88225481613</v>
      </c>
      <c r="O626" s="798">
        <f ca="1">M626+N626</f>
        <v>500882.64356451429</v>
      </c>
      <c r="P626" s="796">
        <f ca="1">O626/(O626+O648)</f>
        <v>0.99731644549726017</v>
      </c>
      <c r="Q626" s="796">
        <f t="shared" ref="Q626:Q637" ca="1" si="154">M626*P626</f>
        <v>348251.69423697935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21.332695751299067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28.7</v>
      </c>
      <c r="J627" s="797">
        <f t="shared" ref="J627:J637" si="157">$D$291</f>
        <v>0.70833333333333337</v>
      </c>
      <c r="K627" s="798">
        <f t="shared" ca="1" si="152"/>
        <v>3747.4992657739208</v>
      </c>
      <c r="L627" s="743">
        <f t="shared" si="153"/>
        <v>2.4192</v>
      </c>
      <c r="M627" s="796">
        <f t="shared" ref="M627:M637" ca="1" si="158">K627*((I627-H627)-G627)*J627*L627</f>
        <v>197976.11406167329</v>
      </c>
      <c r="N627" s="799">
        <f ca="1">Calcs!L346</f>
        <v>101460.29689786973</v>
      </c>
      <c r="O627" s="798">
        <f t="shared" ref="O627:O637" ca="1" si="159">M627+N627</f>
        <v>299436.41095954302</v>
      </c>
      <c r="P627" s="796">
        <f t="shared" ref="P627:P637" ca="1" si="160">O627/(O627+O649)</f>
        <v>0.99131484478503629</v>
      </c>
      <c r="Q627" s="796">
        <f t="shared" ca="1" si="154"/>
        <v>196256.66078219231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21.401215015930028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28.7</v>
      </c>
      <c r="J628" s="797">
        <f t="shared" si="157"/>
        <v>0.70833333333333337</v>
      </c>
      <c r="K628" s="798">
        <f t="shared" ca="1" si="152"/>
        <v>1143.6953586989196</v>
      </c>
      <c r="L628" s="743">
        <f t="shared" si="153"/>
        <v>2.6783999999999999</v>
      </c>
      <c r="M628" s="796">
        <f t="shared" ca="1" si="158"/>
        <v>53106.315974964884</v>
      </c>
      <c r="N628" s="799">
        <f ca="1">Calcs!L347</f>
        <v>30676.576840710099</v>
      </c>
      <c r="O628" s="798">
        <f t="shared" ca="1" si="159"/>
        <v>83782.892815674975</v>
      </c>
      <c r="P628" s="796">
        <f t="shared" ca="1" si="160"/>
        <v>0.82323565351892902</v>
      </c>
      <c r="Q628" s="796">
        <f t="shared" ca="1" si="154"/>
        <v>43719.012737632955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21.484251839654295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28.7</v>
      </c>
      <c r="J629" s="797">
        <f t="shared" si="157"/>
        <v>0.70833333333333337</v>
      </c>
      <c r="K629" s="798">
        <f t="shared" ca="1" si="152"/>
        <v>67.788483450952072</v>
      </c>
      <c r="L629" s="743">
        <f t="shared" si="153"/>
        <v>2.5920000000000001</v>
      </c>
      <c r="M629" s="796">
        <f t="shared" ca="1" si="158"/>
        <v>2285.2521377416042</v>
      </c>
      <c r="N629" s="799">
        <f ca="1">Calcs!L348</f>
        <v>1797.5594081890304</v>
      </c>
      <c r="O629" s="798">
        <f t="shared" ca="1" si="159"/>
        <v>4082.8115459306346</v>
      </c>
      <c r="P629" s="796">
        <f t="shared" ca="1" si="160"/>
        <v>5.818785899049999E-2</v>
      </c>
      <c r="Q629" s="796">
        <f t="shared" ca="1" si="154"/>
        <v>132.97392914864713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21.569675352589837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28.7</v>
      </c>
      <c r="J630" s="797">
        <f t="shared" si="157"/>
        <v>0.70833333333333337</v>
      </c>
      <c r="K630" s="798">
        <f t="shared" ca="1" si="152"/>
        <v>0.33627884892980858</v>
      </c>
      <c r="L630" s="743">
        <f t="shared" si="153"/>
        <v>2.6783999999999999</v>
      </c>
      <c r="M630" s="796">
        <f t="shared" ca="1" si="158"/>
        <v>8.2956477917012457</v>
      </c>
      <c r="N630" s="799">
        <f ca="1">Calcs!L349</f>
        <v>8.811600992725289</v>
      </c>
      <c r="O630" s="798">
        <f t="shared" ca="1" si="159"/>
        <v>17.107248784426535</v>
      </c>
      <c r="P630" s="796">
        <f t="shared" ca="1" si="160"/>
        <v>1.3090841801940398E-4</v>
      </c>
      <c r="Q630" s="796">
        <f t="shared" ca="1" si="154"/>
        <v>1.0859701288577722E-3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21.697999655955499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28.7</v>
      </c>
      <c r="J631" s="797">
        <f t="shared" si="157"/>
        <v>0.70833333333333337</v>
      </c>
      <c r="K631" s="798">
        <f t="shared" ca="1" si="152"/>
        <v>3.1598727772710643E-9</v>
      </c>
      <c r="L631" s="743">
        <f t="shared" si="153"/>
        <v>2.5920000000000001</v>
      </c>
      <c r="M631" s="796">
        <f t="shared" ca="1" si="158"/>
        <v>4.1712974953110949E-8</v>
      </c>
      <c r="N631" s="799">
        <f ca="1">Calcs!L350</f>
        <v>8.1308826338499784E-8</v>
      </c>
      <c r="O631" s="798">
        <f t="shared" ca="1" si="159"/>
        <v>1.2302180129161073E-7</v>
      </c>
      <c r="P631" s="796">
        <f t="shared" ca="1" si="160"/>
        <v>1.005969636699461E-12</v>
      </c>
      <c r="Q631" s="796">
        <f t="shared" ca="1" si="154"/>
        <v>4.1961986259234736E-20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21.7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28.7</v>
      </c>
      <c r="J632" s="797">
        <f t="shared" si="157"/>
        <v>0.70833333333333337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21.7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28.7</v>
      </c>
      <c r="J633" s="797">
        <f t="shared" si="157"/>
        <v>0.70833333333333337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21.623132899276641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28.7</v>
      </c>
      <c r="J634" s="797">
        <f t="shared" si="157"/>
        <v>0.70833333333333337</v>
      </c>
      <c r="K634" s="798">
        <f t="shared" ca="1" si="152"/>
        <v>3.197894144100375E-3</v>
      </c>
      <c r="L634" s="743">
        <f t="shared" si="153"/>
        <v>2.5920000000000001</v>
      </c>
      <c r="M634" s="796">
        <f t="shared" ca="1" si="158"/>
        <v>5.9640517924352481E-2</v>
      </c>
      <c r="N634" s="799">
        <f ca="1">Calcs!L353</f>
        <v>8.31670104926161E-2</v>
      </c>
      <c r="O634" s="798">
        <f t="shared" ca="1" si="159"/>
        <v>0.14280752841696859</v>
      </c>
      <c r="P634" s="796">
        <f t="shared" ca="1" si="160"/>
        <v>1.1460719709047945E-6</v>
      </c>
      <c r="Q634" s="796">
        <f t="shared" ca="1" si="154"/>
        <v>6.8352325923345378E-8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21.488839879499643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28.7</v>
      </c>
      <c r="J635" s="797">
        <f t="shared" si="157"/>
        <v>0.70833333333333337</v>
      </c>
      <c r="K635" s="798">
        <f t="shared" ca="1" si="152"/>
        <v>39.736242201166711</v>
      </c>
      <c r="L635" s="743">
        <f t="shared" si="153"/>
        <v>2.6783999999999999</v>
      </c>
      <c r="M635" s="796">
        <f t="shared" ca="1" si="158"/>
        <v>1305.4720503002877</v>
      </c>
      <c r="N635" s="799">
        <f ca="1">Calcs!L354</f>
        <v>1053.0231043833483</v>
      </c>
      <c r="O635" s="798">
        <f t="shared" ca="1" si="159"/>
        <v>2358.495154683636</v>
      </c>
      <c r="P635" s="796">
        <f t="shared" ca="1" si="160"/>
        <v>3.1086826416515619E-2</v>
      </c>
      <c r="Q635" s="796">
        <f t="shared" ca="1" si="154"/>
        <v>40.582983019297792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21.418002190282241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28.7</v>
      </c>
      <c r="J636" s="797">
        <f t="shared" si="157"/>
        <v>0.70833333333333337</v>
      </c>
      <c r="K636" s="798">
        <f t="shared" ca="1" si="152"/>
        <v>1135.8287938614696</v>
      </c>
      <c r="L636" s="743">
        <f t="shared" si="153"/>
        <v>2.5920000000000001</v>
      </c>
      <c r="M636" s="796">
        <f t="shared" ca="1" si="158"/>
        <v>49133.040221590963</v>
      </c>
      <c r="N636" s="799">
        <f ca="1">Calcs!L355</f>
        <v>30395.506527649239</v>
      </c>
      <c r="O636" s="798">
        <f t="shared" ca="1" si="159"/>
        <v>79528.546749240195</v>
      </c>
      <c r="P636" s="796">
        <f t="shared" ca="1" si="160"/>
        <v>0.86154928267811615</v>
      </c>
      <c r="Q636" s="796">
        <f t="shared" ca="1" si="154"/>
        <v>42330.535558706724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21.324084116447889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28.7</v>
      </c>
      <c r="J637" s="797">
        <f t="shared" si="157"/>
        <v>0.70833333333333337</v>
      </c>
      <c r="K637" s="798">
        <f t="shared" ca="1" si="152"/>
        <v>5153.1544997593728</v>
      </c>
      <c r="L637" s="743">
        <f t="shared" si="153"/>
        <v>2.6783999999999999</v>
      </c>
      <c r="M637" s="796">
        <f t="shared" ca="1" si="158"/>
        <v>312625.6692553999</v>
      </c>
      <c r="N637" s="799">
        <f ca="1">Calcs!L356</f>
        <v>139680.27642979691</v>
      </c>
      <c r="O637" s="798">
        <f t="shared" ca="1" si="159"/>
        <v>452305.94568519678</v>
      </c>
      <c r="P637" s="796">
        <f t="shared" ca="1" si="160"/>
        <v>0.99672158453996751</v>
      </c>
      <c r="Q637" s="796">
        <f t="shared" ca="1" si="154"/>
        <v>311600.75242810999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24.4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17.399999999999999</v>
      </c>
      <c r="J648" s="797">
        <f>$D$291</f>
        <v>0.70833333333333337</v>
      </c>
      <c r="K648" s="798">
        <f t="shared" ref="K648:K659" ca="1" si="164">1.205*1.008*H424/3600</f>
        <v>20.179371291418562</v>
      </c>
      <c r="L648" s="743">
        <f t="shared" ref="L648:L659" si="165">O5</f>
        <v>2.6783999999999999</v>
      </c>
      <c r="M648" s="796">
        <f ca="1">K648*((I648-H648)-G648)*J648*L648</f>
        <v>828.66193963588933</v>
      </c>
      <c r="N648" s="799">
        <f ca="1">Calcs!L371</f>
        <v>519.10072842237423</v>
      </c>
      <c r="O648" s="798">
        <f ca="1">M648+N648</f>
        <v>1347.7626680582634</v>
      </c>
      <c r="P648" s="796">
        <f ca="1">O648/(O648+O626)</f>
        <v>2.6835545027398089E-3</v>
      </c>
      <c r="Q648" s="796">
        <f t="shared" ref="Q648:Q659" ca="1" si="166">M648*P648</f>
        <v>2.2237594793589945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24.4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17.399999999999999</v>
      </c>
      <c r="J649" s="797">
        <f t="shared" ref="J649:J659" si="170">$D$291</f>
        <v>0.70833333333333337</v>
      </c>
      <c r="K649" s="798">
        <f t="shared" ca="1" si="164"/>
        <v>44.322665145032829</v>
      </c>
      <c r="L649" s="743">
        <f t="shared" si="165"/>
        <v>2.4192</v>
      </c>
      <c r="M649" s="796">
        <f t="shared" ref="M649:M659" ca="1" si="171">K649*((I649-H649)-G649)*J649*L649</f>
        <v>1483.2659671582501</v>
      </c>
      <c r="N649" s="799">
        <f ca="1">Calcs!L372</f>
        <v>1140.1706936326518</v>
      </c>
      <c r="O649" s="798">
        <f t="shared" ref="O649:O659" ca="1" si="172">M649+N649</f>
        <v>2623.4366607909019</v>
      </c>
      <c r="P649" s="796">
        <f t="shared" ref="P649:P659" ca="1" si="173">O649/(O649+O627)</f>
        <v>8.6851552149637603E-3</v>
      </c>
      <c r="Q649" s="796">
        <f t="shared" ca="1" si="166"/>
        <v>12.882395149842742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24.4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17.399999999999999</v>
      </c>
      <c r="J650" s="797">
        <f t="shared" si="170"/>
        <v>0.70833333333333337</v>
      </c>
      <c r="K650" s="798">
        <f t="shared" ca="1" si="164"/>
        <v>354.68853805006745</v>
      </c>
      <c r="L650" s="743">
        <f t="shared" si="165"/>
        <v>2.6783999999999999</v>
      </c>
      <c r="M650" s="796">
        <f t="shared" ca="1" si="171"/>
        <v>8865.6563685696492</v>
      </c>
      <c r="N650" s="799">
        <f ca="1">Calcs!L373</f>
        <v>9124.1236313023837</v>
      </c>
      <c r="O650" s="798">
        <f t="shared" ca="1" si="172"/>
        <v>17989.779999872033</v>
      </c>
      <c r="P650" s="796">
        <f t="shared" ca="1" si="173"/>
        <v>0.17676434648107106</v>
      </c>
      <c r="Q650" s="796">
        <f t="shared" ca="1" si="166"/>
        <v>1567.1319541159596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24.4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17.399999999999999</v>
      </c>
      <c r="J651" s="797">
        <f t="shared" si="170"/>
        <v>0.70833333333333337</v>
      </c>
      <c r="K651" s="798">
        <f t="shared" ca="1" si="164"/>
        <v>1708.0608204265091</v>
      </c>
      <c r="L651" s="743">
        <f t="shared" si="165"/>
        <v>2.5920000000000001</v>
      </c>
      <c r="M651" s="796">
        <f t="shared" ca="1" si="171"/>
        <v>22144.513199191737</v>
      </c>
      <c r="N651" s="799">
        <f ca="1">Calcs!L374</f>
        <v>43938.713613450207</v>
      </c>
      <c r="O651" s="798">
        <f t="shared" ca="1" si="172"/>
        <v>66083.226812641951</v>
      </c>
      <c r="P651" s="796">
        <f t="shared" ca="1" si="173"/>
        <v>0.94181214100950006</v>
      </c>
      <c r="Q651" s="796">
        <f t="shared" ca="1" si="166"/>
        <v>20855.971387743903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24.4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17.399999999999999</v>
      </c>
      <c r="J652" s="797">
        <f t="shared" si="170"/>
        <v>0.70833333333333337</v>
      </c>
      <c r="K652" s="798">
        <f t="shared" ca="1" si="164"/>
        <v>4512.6676909560792</v>
      </c>
      <c r="L652" s="743">
        <f t="shared" si="165"/>
        <v>2.6783999999999999</v>
      </c>
      <c r="M652" s="796">
        <f t="shared" ca="1" si="171"/>
        <v>14578.601679064259</v>
      </c>
      <c r="N652" s="799">
        <f ca="1">Calcs!L375</f>
        <v>116085.33544846333</v>
      </c>
      <c r="O652" s="798">
        <f t="shared" ca="1" si="172"/>
        <v>130663.93712752759</v>
      </c>
      <c r="P652" s="796">
        <f t="shared" ca="1" si="173"/>
        <v>0.99986909158198067</v>
      </c>
      <c r="Q652" s="796">
        <f t="shared" ca="1" si="166"/>
        <v>14576.693217381518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24.4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17.399999999999999</v>
      </c>
      <c r="J653" s="797">
        <f t="shared" si="170"/>
        <v>0.70833333333333337</v>
      </c>
      <c r="K653" s="798">
        <f t="shared" ca="1" si="164"/>
        <v>6727.3242787963454</v>
      </c>
      <c r="L653" s="743">
        <f t="shared" si="165"/>
        <v>2.5920000000000001</v>
      </c>
      <c r="M653" s="796">
        <f t="shared" ca="1" si="171"/>
        <v>-50764.119914826108</v>
      </c>
      <c r="N653" s="799">
        <f ca="1">Calcs!L376</f>
        <v>173055.88380455514</v>
      </c>
      <c r="O653" s="798">
        <f t="shared" ca="1" si="172"/>
        <v>122291.76388972903</v>
      </c>
      <c r="P653" s="796">
        <f t="shared" ca="1" si="173"/>
        <v>0.99999999999899403</v>
      </c>
      <c r="Q653" s="796">
        <f t="shared" ca="1" si="166"/>
        <v>-50764.119914775038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24.4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17.399999999999999</v>
      </c>
      <c r="J654" s="797">
        <f t="shared" si="170"/>
        <v>0.70833333333333337</v>
      </c>
      <c r="K654" s="798">
        <f t="shared" ca="1" si="164"/>
        <v>8187.4817484088726</v>
      </c>
      <c r="L654" s="743">
        <f t="shared" si="165"/>
        <v>2.6783999999999999</v>
      </c>
      <c r="M654" s="796">
        <f t="shared" ca="1" si="171"/>
        <v>-110745.67937496289</v>
      </c>
      <c r="N654" s="799">
        <f ca="1">Calcs!L377</f>
        <v>210617.4507702002</v>
      </c>
      <c r="O654" s="798">
        <f t="shared" ca="1" si="172"/>
        <v>99871.771395237316</v>
      </c>
      <c r="P654" s="796">
        <f t="shared" ca="1" si="173"/>
        <v>1</v>
      </c>
      <c r="Q654" s="796">
        <f t="shared" ca="1" si="166"/>
        <v>-110745.67937496289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24.4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17.399999999999999</v>
      </c>
      <c r="J655" s="797">
        <f t="shared" si="170"/>
        <v>0.70833333333333337</v>
      </c>
      <c r="K655" s="798">
        <f t="shared" ca="1" si="164"/>
        <v>7056.1415510685474</v>
      </c>
      <c r="L655" s="743">
        <f t="shared" si="165"/>
        <v>2.6783999999999999</v>
      </c>
      <c r="M655" s="796">
        <f t="shared" ca="1" si="171"/>
        <v>-63994.476253352666</v>
      </c>
      <c r="N655" s="799">
        <f ca="1">Calcs!L378</f>
        <v>181514.48655730518</v>
      </c>
      <c r="O655" s="798">
        <f t="shared" ca="1" si="172"/>
        <v>117520.01030395251</v>
      </c>
      <c r="P655" s="796">
        <f t="shared" ca="1" si="173"/>
        <v>1</v>
      </c>
      <c r="Q655" s="796">
        <f t="shared" ca="1" si="166"/>
        <v>-63994.476253352666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24.4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17.399999999999999</v>
      </c>
      <c r="J656" s="797">
        <f t="shared" si="170"/>
        <v>0.70833333333333337</v>
      </c>
      <c r="K656" s="798">
        <f t="shared" ca="1" si="164"/>
        <v>5273.7757180247918</v>
      </c>
      <c r="L656" s="743">
        <f t="shared" si="165"/>
        <v>2.5920000000000001</v>
      </c>
      <c r="M656" s="796">
        <f t="shared" ca="1" si="171"/>
        <v>-11058.395720976318</v>
      </c>
      <c r="N656" s="799">
        <f ca="1">Calcs!L379</f>
        <v>135664.32656537194</v>
      </c>
      <c r="O656" s="798">
        <f t="shared" ca="1" si="172"/>
        <v>124605.93084439563</v>
      </c>
      <c r="P656" s="796">
        <f t="shared" ca="1" si="173"/>
        <v>0.99999885392802912</v>
      </c>
      <c r="Q656" s="796">
        <f t="shared" ca="1" si="166"/>
        <v>-11058.383047258938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24.4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17.399999999999999</v>
      </c>
      <c r="J657" s="797">
        <f t="shared" si="170"/>
        <v>0.70833333333333337</v>
      </c>
      <c r="K657" s="798">
        <f t="shared" ca="1" si="164"/>
        <v>1979.2860523933728</v>
      </c>
      <c r="L657" s="743">
        <f t="shared" si="165"/>
        <v>2.6783999999999999</v>
      </c>
      <c r="M657" s="796">
        <f t="shared" ca="1" si="171"/>
        <v>22593.698734524289</v>
      </c>
      <c r="N657" s="799">
        <f ca="1">Calcs!L380</f>
        <v>50915.799938255572</v>
      </c>
      <c r="O657" s="798">
        <f t="shared" ca="1" si="172"/>
        <v>73509.498672779853</v>
      </c>
      <c r="P657" s="796">
        <f t="shared" ca="1" si="173"/>
        <v>0.96891317358348439</v>
      </c>
      <c r="Q657" s="796">
        <f t="shared" ca="1" si="166"/>
        <v>21891.332343857084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24.4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17.399999999999999</v>
      </c>
      <c r="J658" s="797">
        <f t="shared" si="170"/>
        <v>0.70833333333333337</v>
      </c>
      <c r="K658" s="798">
        <f t="shared" ca="1" si="164"/>
        <v>264.95748853362454</v>
      </c>
      <c r="L658" s="743">
        <f t="shared" si="165"/>
        <v>2.5920000000000001</v>
      </c>
      <c r="M658" s="796">
        <f t="shared" ca="1" si="171"/>
        <v>5964.3613148971144</v>
      </c>
      <c r="N658" s="799">
        <f ca="1">Calcs!L381</f>
        <v>6815.8528485601128</v>
      </c>
      <c r="O658" s="798">
        <f t="shared" ca="1" si="172"/>
        <v>12780.214163457227</v>
      </c>
      <c r="P658" s="796">
        <f t="shared" ca="1" si="173"/>
        <v>0.1384507173218838</v>
      </c>
      <c r="Q658" s="796">
        <f t="shared" ca="1" si="166"/>
        <v>825.7701024143995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24.4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17.399999999999999</v>
      </c>
      <c r="J659" s="797">
        <f t="shared" si="170"/>
        <v>0.70833333333333337</v>
      </c>
      <c r="K659" s="798">
        <f t="shared" ca="1" si="164"/>
        <v>22.904689750034635</v>
      </c>
      <c r="L659" s="743">
        <f t="shared" si="165"/>
        <v>2.6783999999999999</v>
      </c>
      <c r="M659" s="796">
        <f t="shared" ca="1" si="171"/>
        <v>898.51647367050293</v>
      </c>
      <c r="N659" s="799">
        <f ca="1">Calcs!L382</f>
        <v>589.20770929011633</v>
      </c>
      <c r="O659" s="798">
        <f t="shared" ca="1" si="172"/>
        <v>1487.7241829606191</v>
      </c>
      <c r="P659" s="796">
        <f t="shared" ca="1" si="173"/>
        <v>3.2784154600324282E-3</v>
      </c>
      <c r="Q659" s="796">
        <f t="shared" ca="1" si="166"/>
        <v>2.945710298375197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0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0.99658964223518609</v>
      </c>
      <c r="E701" s="834">
        <f ca="1">$E$713*(D701/$D$713)</f>
        <v>13498.736315547421</v>
      </c>
      <c r="F701" s="540"/>
      <c r="G701" s="598">
        <f ca="1">Calcs!L371/(Calcs!L345+Calcs!L371)</f>
        <v>3.4103577648139051E-3</v>
      </c>
      <c r="H701" s="834">
        <f ca="1">$H$713*(G701/$G$713)</f>
        <v>0</v>
      </c>
      <c r="I701" s="540"/>
      <c r="J701" s="835">
        <f ca="1">(Calcs!L345+Calcs!L371)/($L$357+Calcs!$L$383)</f>
        <v>0.1097626613345251</v>
      </c>
      <c r="K701" s="834">
        <f ca="1">IF(OR($E$713=0,$H$713=0),E701+H701,$K$713*J701/$J$713)</f>
        <v>13498.736315547421</v>
      </c>
      <c r="L701" s="776">
        <f ca="1">H701+E701</f>
        <v>13498.736315547421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0.98888727585363279</v>
      </c>
      <c r="E702" s="834">
        <f t="shared" ref="E702:E712" ca="1" si="175">$E$713*(D702/$D$713)</f>
        <v>13394.408306922796</v>
      </c>
      <c r="F702" s="540"/>
      <c r="G702" s="598">
        <f ca="1">Calcs!L372/(Calcs!L346+Calcs!L372)</f>
        <v>1.111272414636718E-2</v>
      </c>
      <c r="H702" s="834">
        <f t="shared" ref="H702:H712" ca="1" si="176">$H$713*(G702/$G$713)</f>
        <v>0</v>
      </c>
      <c r="I702" s="540"/>
      <c r="J702" s="835">
        <f ca="1">(Calcs!L346+Calcs!L372)/($L$357+Calcs!$L$383)</f>
        <v>7.3986463942107478E-2</v>
      </c>
      <c r="K702" s="834">
        <f t="shared" ref="K702:K712" ca="1" si="177">IF(OR($E$713=0,$H$713=0),E702+H702,$K$713*J702/$J$713)</f>
        <v>13394.408306922796</v>
      </c>
      <c r="L702" s="776">
        <f t="shared" ref="L702:L712" ca="1" si="178">H702+E702</f>
        <v>13394.408306922796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0.77075469720141254</v>
      </c>
      <c r="E703" s="834">
        <f t="shared" ca="1" si="175"/>
        <v>10439.817935651557</v>
      </c>
      <c r="F703" s="540"/>
      <c r="G703" s="598">
        <f ca="1">Calcs!L373/(Calcs!L347+Calcs!L373)</f>
        <v>0.22924530279858743</v>
      </c>
      <c r="H703" s="834">
        <f t="shared" ca="1" si="176"/>
        <v>0</v>
      </c>
      <c r="I703" s="540"/>
      <c r="J703" s="835">
        <f ca="1">(Calcs!L347+Calcs!L373)/($L$357+Calcs!$L$383)</f>
        <v>2.8700776511734531E-2</v>
      </c>
      <c r="K703" s="834">
        <f t="shared" ca="1" si="177"/>
        <v>10439.817935651557</v>
      </c>
      <c r="L703" s="776">
        <f t="shared" ca="1" si="178"/>
        <v>10439.817935651557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3.9302708538112623E-2</v>
      </c>
      <c r="E704" s="834">
        <f t="shared" ca="1" si="175"/>
        <v>532.35241122202501</v>
      </c>
      <c r="F704" s="540"/>
      <c r="G704" s="598">
        <f ca="1">Calcs!L374/(Calcs!L348+Calcs!L374)</f>
        <v>0.96069729146188743</v>
      </c>
      <c r="H704" s="834">
        <f t="shared" ca="1" si="176"/>
        <v>0</v>
      </c>
      <c r="I704" s="540"/>
      <c r="J704" s="835">
        <f ca="1">(Calcs!L348+Calcs!L374)/($L$357+Calcs!$L$383)</f>
        <v>3.2980991161117808E-2</v>
      </c>
      <c r="K704" s="834">
        <f t="shared" ca="1" si="177"/>
        <v>532.35241122202501</v>
      </c>
      <c r="L704" s="776">
        <f t="shared" ca="1" si="178"/>
        <v>532.35241122202501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7.5900475748975969E-5</v>
      </c>
      <c r="E705" s="834">
        <f t="shared" ca="1" si="175"/>
        <v>1.0280665832148406</v>
      </c>
      <c r="F705" s="540"/>
      <c r="G705" s="598">
        <f ca="1">Calcs!L375/(Calcs!L349+Calcs!L375)</f>
        <v>0.9999240995242511</v>
      </c>
      <c r="H705" s="834">
        <f t="shared" ca="1" si="176"/>
        <v>0</v>
      </c>
      <c r="I705" s="540"/>
      <c r="J705" s="835">
        <f ca="1">(Calcs!L349+Calcs!L375)/($L$357+Calcs!$L$383)</f>
        <v>8.371692279963544E-2</v>
      </c>
      <c r="K705" s="834">
        <f t="shared" ca="1" si="177"/>
        <v>1.0280665832148406</v>
      </c>
      <c r="L705" s="776">
        <f t="shared" ca="1" si="178"/>
        <v>1.0280665832148406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4.6984144399441326E-13</v>
      </c>
      <c r="E706" s="834">
        <f t="shared" ca="1" si="175"/>
        <v>6.3639691742851857E-9</v>
      </c>
      <c r="F706" s="540"/>
      <c r="G706" s="598">
        <f ca="1">Calcs!L376/(Calcs!L350+Calcs!L376)</f>
        <v>0.99999999999953015</v>
      </c>
      <c r="H706" s="834">
        <f t="shared" ca="1" si="176"/>
        <v>0</v>
      </c>
      <c r="I706" s="540"/>
      <c r="J706" s="835">
        <f ca="1">(Calcs!L350+Calcs!L376)/($L$357+Calcs!$L$383)</f>
        <v>0.12479273445476692</v>
      </c>
      <c r="K706" s="834">
        <f t="shared" ca="1" si="177"/>
        <v>6.3639691742851857E-9</v>
      </c>
      <c r="L706" s="776">
        <f t="shared" ca="1" si="178"/>
        <v>6.3639691742851857E-9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0</v>
      </c>
      <c r="I707" s="540"/>
      <c r="J707" s="835">
        <f ca="1">(Calcs!L351+Calcs!L377)/($L$357+Calcs!$L$383)</f>
        <v>0.1518788441494259</v>
      </c>
      <c r="K707" s="834">
        <f t="shared" ca="1" si="177"/>
        <v>0</v>
      </c>
      <c r="L707" s="776">
        <f t="shared" ca="1" si="178"/>
        <v>0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0</v>
      </c>
      <c r="I708" s="540"/>
      <c r="J708" s="835">
        <f ca="1">(Calcs!L352+Calcs!L378)/($L$357+Calcs!$L$383)</f>
        <v>0.1308923373342841</v>
      </c>
      <c r="K708" s="834">
        <f t="shared" ca="1" si="177"/>
        <v>0</v>
      </c>
      <c r="L708" s="776">
        <f t="shared" ca="1" si="178"/>
        <v>0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6.1303484573938732E-7</v>
      </c>
      <c r="E709" s="834">
        <f t="shared" ca="1" si="175"/>
        <v>8.3035136872568541E-3</v>
      </c>
      <c r="F709" s="540"/>
      <c r="G709" s="598">
        <f ca="1">Calcs!L379/(Calcs!L353+Calcs!L379)</f>
        <v>0.99999938696515434</v>
      </c>
      <c r="H709" s="834">
        <f t="shared" ca="1" si="176"/>
        <v>0</v>
      </c>
      <c r="I709" s="540"/>
      <c r="J709" s="835">
        <f ca="1">(Calcs!L353+Calcs!L379)/($L$357+Calcs!$L$383)</f>
        <v>9.7829280845534106E-2</v>
      </c>
      <c r="K709" s="834">
        <f t="shared" ca="1" si="177"/>
        <v>8.3035136872568541E-3</v>
      </c>
      <c r="L709" s="776">
        <f t="shared" ca="1" si="178"/>
        <v>8.3035136872568541E-3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2.0262592891883913E-2</v>
      </c>
      <c r="E710" s="834">
        <f t="shared" ca="1" si="175"/>
        <v>274.45538958579533</v>
      </c>
      <c r="F710" s="540"/>
      <c r="G710" s="598">
        <f ca="1">Calcs!L380/(Calcs!L354+Calcs!L380)</f>
        <v>0.97973740710811608</v>
      </c>
      <c r="H710" s="834">
        <f t="shared" ca="1" si="176"/>
        <v>0</v>
      </c>
      <c r="I710" s="540"/>
      <c r="J710" s="835">
        <f ca="1">(Calcs!L354+Calcs!L380)/($L$357+Calcs!$L$383)</f>
        <v>3.7475359931755513E-2</v>
      </c>
      <c r="K710" s="834">
        <f t="shared" ca="1" si="177"/>
        <v>274.45538958579533</v>
      </c>
      <c r="L710" s="776">
        <f t="shared" ca="1" si="178"/>
        <v>274.45538958579533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0.81683408069962238</v>
      </c>
      <c r="E711" s="834">
        <f t="shared" ca="1" si="175"/>
        <v>11063.959930575615</v>
      </c>
      <c r="F711" s="540"/>
      <c r="G711" s="598">
        <f ca="1">Calcs!L381/(Calcs!L355+Calcs!L381)</f>
        <v>0.18316591930037765</v>
      </c>
      <c r="H711" s="834">
        <f t="shared" ca="1" si="176"/>
        <v>0</v>
      </c>
      <c r="I711" s="540"/>
      <c r="J711" s="835">
        <f ca="1">(Calcs!L355+Calcs!L381)/($L$357+Calcs!$L$383)</f>
        <v>2.683357067811977E-2</v>
      </c>
      <c r="K711" s="834">
        <f t="shared" ca="1" si="177"/>
        <v>11063.959930575615</v>
      </c>
      <c r="L711" s="776">
        <f t="shared" ca="1" si="178"/>
        <v>11063.959930575615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0.99579945907047129</v>
      </c>
      <c r="E712" s="834">
        <f t="shared" ca="1" si="175"/>
        <v>13488.033340391523</v>
      </c>
      <c r="F712" s="540"/>
      <c r="G712" s="598">
        <f ca="1">Calcs!L382/(Calcs!L356+Calcs!L382)</f>
        <v>4.2005409295287318E-3</v>
      </c>
      <c r="H712" s="834">
        <f t="shared" ca="1" si="176"/>
        <v>0</v>
      </c>
      <c r="I712" s="540"/>
      <c r="J712" s="835">
        <f ca="1">(Calcs!L356+Calcs!L382)/($L$357+Calcs!$L$383)</f>
        <v>0.10115005685699344</v>
      </c>
      <c r="K712" s="834">
        <f t="shared" ca="1" si="177"/>
        <v>13488.033340391523</v>
      </c>
      <c r="L712" s="776">
        <f t="shared" ca="1" si="178"/>
        <v>13488.033340391523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4.6285069700013866</v>
      </c>
      <c r="E713" s="774">
        <f>$D$675*(D693*C2)</f>
        <v>62692.800000000003</v>
      </c>
      <c r="F713" s="595">
        <f ca="1">SUM(E701:E712)</f>
        <v>62692.799999999996</v>
      </c>
      <c r="G713" s="836">
        <f ca="1">SUM(G701:G712)</f>
        <v>7.3714930299986143</v>
      </c>
      <c r="H713" s="774">
        <f>$D$675*(G693*C2)</f>
        <v>0</v>
      </c>
      <c r="I713" s="595">
        <f ca="1">SUM(H701:H712)</f>
        <v>0</v>
      </c>
      <c r="J713" s="836">
        <f ca="1">SUM(J701:J712)</f>
        <v>1</v>
      </c>
      <c r="K713" s="774">
        <f>E713+H713</f>
        <v>62692.800000000003</v>
      </c>
      <c r="L713" s="776">
        <f ca="1">SUM(K701:K712)</f>
        <v>62692.799999999996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4778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798881.6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1</v>
      </c>
      <c r="E730" s="326">
        <f>IF(ISBLANK(Inputs!C65),"",Inputs!C65)</f>
        <v>1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18794.510408767124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18794.510408767124</v>
      </c>
      <c r="M731" s="506">
        <f ca="1">MAX((L731-K731)/$D$731,0)</f>
        <v>23493.138010958904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16975.686820821917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16975.686820821917</v>
      </c>
      <c r="M732" s="50">
        <f t="shared" ref="M732:M742" ca="1" si="184">MAX((L732-K732)/$D$731,0)</f>
        <v>21219.608526027394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18794.510408767124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18794.510408767124</v>
      </c>
      <c r="M733" s="50">
        <f t="shared" ca="1" si="184"/>
        <v>23493.138010958904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18188.235879452059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18188.235879452059</v>
      </c>
      <c r="M734" s="50">
        <f t="shared" ca="1" si="184"/>
        <v>22735.294849315072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18794.510408767124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18794.510408767124</v>
      </c>
      <c r="M735" s="50">
        <f t="shared" ca="1" si="184"/>
        <v>23493.138010958904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18188.235879452059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18188.235879452059</v>
      </c>
      <c r="M736" s="50">
        <f t="shared" ca="1" si="184"/>
        <v>22735.294849315072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18794.510408767124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18794.510408767124</v>
      </c>
      <c r="M737" s="50">
        <f t="shared" ca="1" si="184"/>
        <v>23493.138010958904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18794.510408767124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18794.510408767124</v>
      </c>
      <c r="M738" s="50">
        <f t="shared" ca="1" si="184"/>
        <v>23493.138010958904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18188.235879452059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18188.235879452059</v>
      </c>
      <c r="M739" s="50">
        <f t="shared" ca="1" si="184"/>
        <v>22735.294849315072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18794.510408767124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18794.510408767124</v>
      </c>
      <c r="M740" s="50">
        <f t="shared" ca="1" si="184"/>
        <v>23493.138010958904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18188.235879452059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18188.235879452059</v>
      </c>
      <c r="M741" s="50">
        <f t="shared" ca="1" si="184"/>
        <v>22735.294849315072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18794.510408767124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18794.510408767124</v>
      </c>
      <c r="M742" s="183">
        <f t="shared" ca="1" si="184"/>
        <v>23493.138010958904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221290.20319999999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221290.20319999999</v>
      </c>
      <c r="M743" s="50">
        <f t="shared" ca="1" si="185"/>
        <v>276612.75400000002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2.97228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3.61</v>
      </c>
      <c r="D748" s="286">
        <f>Inputs!C29</f>
        <v>0</v>
      </c>
      <c r="E748" s="287">
        <f>E18</f>
        <v>0.70833333333333337</v>
      </c>
      <c r="G748" s="82" t="s">
        <v>115</v>
      </c>
      <c r="H748" s="838">
        <f t="shared" si="186"/>
        <v>2.6846399999999999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4.93</v>
      </c>
      <c r="D749" s="286">
        <f>Inputs!C30</f>
        <v>0</v>
      </c>
      <c r="E749" s="287">
        <f>1-E748</f>
        <v>0.29166666666666663</v>
      </c>
      <c r="G749" s="82" t="s">
        <v>116</v>
      </c>
      <c r="H749" s="838">
        <f t="shared" si="186"/>
        <v>2.97228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3.9950000000000001</v>
      </c>
      <c r="D750" s="837">
        <f>SUMPRODUCT(D748:D749,$E$748:$E$749)</f>
        <v>0</v>
      </c>
      <c r="G750" s="82" t="s">
        <v>117</v>
      </c>
      <c r="H750" s="838">
        <f t="shared" si="186"/>
        <v>2.8764000000000003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2.97228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2.8764000000000003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2.97228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2.97228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2.8764000000000003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2.97228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2.8764000000000003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2.97228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34.996200000000002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1.5866666666666667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3.4099378881987574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84352.46037386221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119</v>
      </c>
      <c r="AA801" s="10"/>
      <c r="AB801" s="10"/>
    </row>
    <row r="802" spans="2:28" outlineLevel="1" x14ac:dyDescent="0.25">
      <c r="B802" s="10" t="s">
        <v>735</v>
      </c>
      <c r="C802" s="11">
        <f>PeoDOcc</f>
        <v>65.88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11.342759256177789</v>
      </c>
      <c r="E809" s="338">
        <v>9.5350000000000001</v>
      </c>
      <c r="F809" s="337">
        <f>D809-E809</f>
        <v>1.8077592561777891</v>
      </c>
      <c r="G809" s="338">
        <v>34.17</v>
      </c>
      <c r="H809" s="338">
        <f>F809*G809</f>
        <v>61.771133783595054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4.7791234931115296</v>
      </c>
      <c r="E811" s="338">
        <v>3.972</v>
      </c>
      <c r="F811" s="337">
        <f t="shared" si="196"/>
        <v>0.80712349311152964</v>
      </c>
      <c r="G811" s="338">
        <v>55.96</v>
      </c>
      <c r="H811" s="338">
        <f t="shared" si="197"/>
        <v>45.166630674521201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0.34372146330643816</v>
      </c>
      <c r="E812" s="338">
        <v>0.56159999999999999</v>
      </c>
      <c r="F812" s="337">
        <f t="shared" si="196"/>
        <v>-0.21787853669356183</v>
      </c>
      <c r="G812" s="338">
        <v>10.34</v>
      </c>
      <c r="H812" s="338">
        <f t="shared" si="197"/>
        <v>-2.2528640694114292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270.52176509919718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853.17850929530744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537.50246085604374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7.2672247502024483</v>
      </c>
      <c r="D830" s="206">
        <f ca="1">D846/Calcs!$C$2/3.6</f>
        <v>4.4872135214290321</v>
      </c>
      <c r="E830" s="206">
        <f ca="1">E846/Calcs!$C$2/3.6</f>
        <v>11.754438271631479</v>
      </c>
      <c r="F830" s="206">
        <f ca="1">F846/Calcs!$C$2/3.6</f>
        <v>1.1899688140634412</v>
      </c>
      <c r="G830" s="206">
        <f>G846/Calcs!$C$2/3.6</f>
        <v>4.2179668999529021</v>
      </c>
      <c r="H830" s="206">
        <f>H846/Calcs!$C$2/3.6</f>
        <v>1.0120438356164385</v>
      </c>
      <c r="I830" s="206">
        <f ca="1">I846/Calcs!$C$2/3.6</f>
        <v>6.4199795496327825</v>
      </c>
      <c r="J830" s="206">
        <f t="shared" ref="J830:J841" ca="1" si="198">J846</f>
        <v>0.99337775951335427</v>
      </c>
      <c r="K830" s="206">
        <f ca="1">K846/Calcs!$C$2/3.6</f>
        <v>5.3769733704957119</v>
      </c>
      <c r="L830" s="204"/>
      <c r="M830" s="9" t="s">
        <v>114</v>
      </c>
      <c r="N830" s="206">
        <f ca="1">N846/Calcs!$C$2/3.6</f>
        <v>8.1319758454973083</v>
      </c>
      <c r="O830" s="206">
        <f ca="1">O846/Calcs!$C$2/3.6</f>
        <v>5.3840113799303913</v>
      </c>
      <c r="P830" s="206">
        <f ca="1">P846/Calcs!$C$2/3.6</f>
        <v>13.515987225427699</v>
      </c>
      <c r="Q830" s="206">
        <f ca="1">Q846/Calcs!$C$2/3.6</f>
        <v>1.1899688140634412</v>
      </c>
      <c r="R830" s="206">
        <f>R846/Calcs!$C$2/3.6</f>
        <v>4.2179668999529021</v>
      </c>
      <c r="S830" s="206">
        <f>S846/Calcs!$C$2/3.6</f>
        <v>1.0120438356164385</v>
      </c>
      <c r="T830" s="206">
        <f ca="1">T846/Calcs!$C$2/3.6</f>
        <v>6.4199795496327825</v>
      </c>
      <c r="U830" s="206">
        <f t="shared" ref="U830:U841" ca="1" si="199">U846</f>
        <v>0.47363017505640609</v>
      </c>
      <c r="V830" s="206">
        <f ca="1">V846/Calcs!$C$2/3.6</f>
        <v>1.8400153993312515E-2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6.0342886161845426</v>
      </c>
      <c r="D831" s="206">
        <f ca="1">D847/Calcs!$C$2/3.6</f>
        <v>3.5474403089195499</v>
      </c>
      <c r="E831" s="206">
        <f ca="1">E847/Calcs!$C$2/3.6</f>
        <v>9.5817289251040929</v>
      </c>
      <c r="F831" s="206">
        <f ca="1">F847/Calcs!$C$2/3.6</f>
        <v>1.3558489917525705</v>
      </c>
      <c r="G831" s="206">
        <f>G847/Calcs!$C$2/3.6</f>
        <v>3.8097765547961706</v>
      </c>
      <c r="H831" s="206">
        <f>H847/Calcs!$C$2/3.6</f>
        <v>0.9141041095890412</v>
      </c>
      <c r="I831" s="206">
        <f ca="1">I847/Calcs!$C$2/3.6</f>
        <v>6.0797296561377809</v>
      </c>
      <c r="J831" s="206">
        <f t="shared" ca="1" si="198"/>
        <v>0.98447565322489083</v>
      </c>
      <c r="K831" s="206">
        <f ca="1">K847/Calcs!$C$2/3.6</f>
        <v>3.5963831004471087</v>
      </c>
      <c r="L831" s="204"/>
      <c r="M831" s="9" t="s">
        <v>115</v>
      </c>
      <c r="N831" s="206">
        <f ca="1">N847/Calcs!$C$2/3.6</f>
        <v>6.8099614780134239</v>
      </c>
      <c r="O831" s="206">
        <f ca="1">O847/Calcs!$C$2/3.6</f>
        <v>4.3142939355470418</v>
      </c>
      <c r="P831" s="206">
        <f ca="1">P847/Calcs!$C$2/3.6</f>
        <v>11.124255413560466</v>
      </c>
      <c r="Q831" s="206">
        <f ca="1">Q847/Calcs!$C$2/3.6</f>
        <v>1.3558489917525705</v>
      </c>
      <c r="R831" s="206">
        <f>R847/Calcs!$C$2/3.6</f>
        <v>3.8097765547961706</v>
      </c>
      <c r="S831" s="206">
        <f>S847/Calcs!$C$2/3.6</f>
        <v>0.9141041095890412</v>
      </c>
      <c r="T831" s="206">
        <f ca="1">T847/Calcs!$C$2/3.6</f>
        <v>6.0797296561377809</v>
      </c>
      <c r="U831" s="206">
        <f t="shared" ca="1" si="199"/>
        <v>0.54289610410221378</v>
      </c>
      <c r="V831" s="206">
        <f ca="1">V847/Calcs!$C$2/3.6</f>
        <v>4.041473107784313E-2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4.9209704862678141</v>
      </c>
      <c r="D832" s="206">
        <f ca="1">D848/Calcs!$C$2/3.6</f>
        <v>2.4147588237380253</v>
      </c>
      <c r="E832" s="206">
        <f ca="1">E848/Calcs!$C$2/3.6</f>
        <v>7.3357293100058403</v>
      </c>
      <c r="F832" s="206">
        <f ca="1">F848/Calcs!$C$2/3.6</f>
        <v>1.7430993342184835</v>
      </c>
      <c r="G832" s="206">
        <f>G848/Calcs!$C$2/3.6</f>
        <v>4.2179668999529021</v>
      </c>
      <c r="H832" s="206">
        <f>H848/Calcs!$C$2/3.6</f>
        <v>1.0120438356164385</v>
      </c>
      <c r="I832" s="206">
        <f ca="1">I848/Calcs!$C$2/3.6</f>
        <v>6.9731100697878245</v>
      </c>
      <c r="J832" s="206">
        <f t="shared" ca="1" si="198"/>
        <v>0.89606514588944808</v>
      </c>
      <c r="K832" s="206">
        <f ca="1">K848/Calcs!$C$2/3.6</f>
        <v>1.0873684180182341</v>
      </c>
      <c r="L832" s="204"/>
      <c r="M832" s="9" t="s">
        <v>116</v>
      </c>
      <c r="N832" s="206">
        <f ca="1">N848/Calcs!$C$2/3.6</f>
        <v>5.7605672019370662</v>
      </c>
      <c r="O832" s="206">
        <f ca="1">O848/Calcs!$C$2/3.6</f>
        <v>3.1115474012882567</v>
      </c>
      <c r="P832" s="206">
        <f ca="1">P848/Calcs!$C$2/3.6</f>
        <v>8.872114603225322</v>
      </c>
      <c r="Q832" s="206">
        <f ca="1">Q848/Calcs!$C$2/3.6</f>
        <v>1.7430993342184835</v>
      </c>
      <c r="R832" s="206">
        <f>R848/Calcs!$C$2/3.6</f>
        <v>4.2179668999529021</v>
      </c>
      <c r="S832" s="206">
        <f>S848/Calcs!$C$2/3.6</f>
        <v>1.0120438356164385</v>
      </c>
      <c r="T832" s="206">
        <f ca="1">T848/Calcs!$C$2/3.6</f>
        <v>6.9731100697878245</v>
      </c>
      <c r="U832" s="206">
        <f t="shared" ca="1" si="199"/>
        <v>0.74950502275775133</v>
      </c>
      <c r="V832" s="206">
        <f ca="1">V848/Calcs!$C$2/3.6</f>
        <v>0.32341561218805148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3.1282611675394301</v>
      </c>
      <c r="D833" s="206">
        <f ca="1">D849/Calcs!$C$2/3.6</f>
        <v>1.1826409572007279</v>
      </c>
      <c r="E833" s="206">
        <f ca="1">E849/Calcs!$C$2/3.6</f>
        <v>4.3109021247401582</v>
      </c>
      <c r="F833" s="206">
        <f ca="1">F849/Calcs!$C$2/3.6</f>
        <v>1.79372325561719</v>
      </c>
      <c r="G833" s="206">
        <f>G849/Calcs!$C$2/3.6</f>
        <v>4.0819034515673263</v>
      </c>
      <c r="H833" s="206">
        <f>H849/Calcs!$C$2/3.6</f>
        <v>0.97939726027397267</v>
      </c>
      <c r="I833" s="206">
        <f ca="1">I849/Calcs!$C$2/3.6</f>
        <v>6.8550239674584894</v>
      </c>
      <c r="J833" s="206">
        <f t="shared" ca="1" si="198"/>
        <v>0.61957266301095393</v>
      </c>
      <c r="K833" s="206">
        <f ca="1">K849/Calcs!$C$2/3.6</f>
        <v>6.3716670217988172E-2</v>
      </c>
      <c r="L833" s="204"/>
      <c r="M833" s="9" t="s">
        <v>117</v>
      </c>
      <c r="N833" s="206">
        <f ca="1">N849/Calcs!$C$2/3.6</f>
        <v>3.9182755079115914</v>
      </c>
      <c r="O833" s="206">
        <f ca="1">O849/Calcs!$C$2/3.6</f>
        <v>1.6931177145294984</v>
      </c>
      <c r="P833" s="206">
        <f ca="1">P849/Calcs!$C$2/3.6</f>
        <v>5.6113932224410901</v>
      </c>
      <c r="Q833" s="206">
        <f ca="1">Q849/Calcs!$C$2/3.6</f>
        <v>1.79372325561719</v>
      </c>
      <c r="R833" s="206">
        <f>R849/Calcs!$C$2/3.6</f>
        <v>4.0819034515673263</v>
      </c>
      <c r="S833" s="206">
        <f>S849/Calcs!$C$2/3.6</f>
        <v>0.97939726027397267</v>
      </c>
      <c r="T833" s="206">
        <f ca="1">T849/Calcs!$C$2/3.6</f>
        <v>6.8550239674584894</v>
      </c>
      <c r="U833" s="206">
        <f t="shared" ca="1" si="199"/>
        <v>0.94407268212608053</v>
      </c>
      <c r="V833" s="206">
        <f ca="1">V849/Calcs!$C$2/3.6</f>
        <v>1.5574609174844178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1.7561674784161141</v>
      </c>
      <c r="D834" s="206">
        <f ca="1">D850/Calcs!$C$2/3.6</f>
        <v>0.46138577361178107</v>
      </c>
      <c r="E834" s="206">
        <f ca="1">E850/Calcs!$C$2/3.6</f>
        <v>2.2175532520278951</v>
      </c>
      <c r="F834" s="206">
        <f ca="1">F850/Calcs!$C$2/3.6</f>
        <v>2.2527507390295263</v>
      </c>
      <c r="G834" s="206">
        <f>G850/Calcs!$C$2/3.6</f>
        <v>4.2179668999529021</v>
      </c>
      <c r="H834" s="206">
        <f>H850/Calcs!$C$2/3.6</f>
        <v>1.0120438356164385</v>
      </c>
      <c r="I834" s="206">
        <f ca="1">I850/Calcs!$C$2/3.6</f>
        <v>7.4827614745988669</v>
      </c>
      <c r="J834" s="206">
        <f t="shared" ca="1" si="198"/>
        <v>0.29631318887897379</v>
      </c>
      <c r="K834" s="206">
        <f ca="1">K850/Calcs!$C$2/3.6</f>
        <v>3.1233786877264263E-4</v>
      </c>
      <c r="L834" s="204"/>
      <c r="M834" s="9" t="s">
        <v>118</v>
      </c>
      <c r="N834" s="206">
        <f ca="1">N850/Calcs!$C$2/3.6</f>
        <v>2.5485988434078553</v>
      </c>
      <c r="O834" s="206">
        <f ca="1">O850/Calcs!$C$2/3.6</f>
        <v>0.82641116430748318</v>
      </c>
      <c r="P834" s="206">
        <f ca="1">P850/Calcs!$C$2/3.6</f>
        <v>3.3750100077153378</v>
      </c>
      <c r="Q834" s="206">
        <f ca="1">Q850/Calcs!$C$2/3.6</f>
        <v>2.2527507390295263</v>
      </c>
      <c r="R834" s="206">
        <f>R850/Calcs!$C$2/3.6</f>
        <v>4.2179668999529021</v>
      </c>
      <c r="S834" s="206">
        <f>S850/Calcs!$C$2/3.6</f>
        <v>1.0120438356164385</v>
      </c>
      <c r="T834" s="206">
        <f ca="1">T850/Calcs!$C$2/3.6</f>
        <v>7.4827614745988669</v>
      </c>
      <c r="U834" s="206">
        <f t="shared" ca="1" si="199"/>
        <v>0.99791590628836679</v>
      </c>
      <c r="V834" s="206">
        <f ca="1">V850/Calcs!$C$2/3.6</f>
        <v>4.1147853040173077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0.15931696936530437</v>
      </c>
      <c r="D835" s="206">
        <f ca="1">D851/Calcs!$C$2/3.6</f>
        <v>4.7021986786613665E-2</v>
      </c>
      <c r="E835" s="206">
        <f ca="1">E851/Calcs!$C$2/3.6</f>
        <v>0.20633895615191802</v>
      </c>
      <c r="F835" s="206">
        <f ca="1">F851/Calcs!$C$2/3.6</f>
        <v>2.2326453509624935</v>
      </c>
      <c r="G835" s="206">
        <f>G851/Calcs!$C$2/3.6</f>
        <v>4.0819034515673263</v>
      </c>
      <c r="H835" s="206">
        <f>H851/Calcs!$C$2/3.6</f>
        <v>0.97939726027397267</v>
      </c>
      <c r="I835" s="206">
        <f ca="1">I851/Calcs!$C$2/3.6</f>
        <v>7.2939460628037924</v>
      </c>
      <c r="J835" s="206">
        <f t="shared" ca="1" si="198"/>
        <v>2.8289070740635459E-2</v>
      </c>
      <c r="K835" s="206">
        <f ca="1">K851/Calcs!$C$2/3.6</f>
        <v>2.882089821354633E-12</v>
      </c>
      <c r="L835" s="204"/>
      <c r="M835" s="9" t="s">
        <v>119</v>
      </c>
      <c r="N835" s="206">
        <f ca="1">N851/Calcs!$C$2/3.6</f>
        <v>0.89141689778730437</v>
      </c>
      <c r="O835" s="206">
        <f ca="1">O851/Calcs!$C$2/3.6</f>
        <v>0.26835627332365197</v>
      </c>
      <c r="P835" s="206">
        <f ca="1">P851/Calcs!$C$2/3.6</f>
        <v>1.1597731711109565</v>
      </c>
      <c r="Q835" s="206">
        <f ca="1">Q851/Calcs!$C$2/3.6</f>
        <v>2.2326453509624935</v>
      </c>
      <c r="R835" s="206">
        <f>R851/Calcs!$C$2/3.6</f>
        <v>4.0819034515673263</v>
      </c>
      <c r="S835" s="206">
        <f>S851/Calcs!$C$2/3.6</f>
        <v>0.97939726027397267</v>
      </c>
      <c r="T835" s="206">
        <f ca="1">T851/Calcs!$C$2/3.6</f>
        <v>7.2939460628037924</v>
      </c>
      <c r="U835" s="206">
        <f t="shared" ca="1" si="199"/>
        <v>0.99999784880071207</v>
      </c>
      <c r="V835" s="206">
        <f ca="1">V851/Calcs!$C$2/3.6</f>
        <v>6.1341753865960547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-0.68022846354286004</v>
      </c>
      <c r="D836" s="206">
        <f ca="1">D852/Calcs!$C$2/3.6</f>
        <v>-0.17372350895956962</v>
      </c>
      <c r="E836" s="206">
        <f ca="1">E852/Calcs!$C$2/3.6</f>
        <v>-0.8539519725024296</v>
      </c>
      <c r="F836" s="206">
        <f ca="1">F852/Calcs!$C$2/3.6</f>
        <v>2.3302917509132657</v>
      </c>
      <c r="G836" s="206">
        <f>G852/Calcs!$C$2/3.6</f>
        <v>4.2179668999529021</v>
      </c>
      <c r="H836" s="206">
        <f>H852/Calcs!$C$2/3.6</f>
        <v>1.0120438356164385</v>
      </c>
      <c r="I836" s="206">
        <f ca="1">I852/Calcs!$C$2/3.6</f>
        <v>7.5603024864826072</v>
      </c>
      <c r="J836" s="206">
        <f t="shared" ca="1" si="198"/>
        <v>-0.11295209074362403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7.5714741571602684E-2</v>
      </c>
      <c r="O836" s="206">
        <f ca="1">O852/Calcs!$C$2/3.6</f>
        <v>1.8997127019739282E-2</v>
      </c>
      <c r="P836" s="206">
        <f ca="1">P852/Calcs!$C$2/3.6</f>
        <v>9.471186859134198E-2</v>
      </c>
      <c r="Q836" s="206">
        <f ca="1">Q852/Calcs!$C$2/3.6</f>
        <v>2.3302917509132657</v>
      </c>
      <c r="R836" s="206">
        <f>R852/Calcs!$C$2/3.6</f>
        <v>4.2179668999529021</v>
      </c>
      <c r="S836" s="206">
        <f>S852/Calcs!$C$2/3.6</f>
        <v>1.0120438356164385</v>
      </c>
      <c r="T836" s="206">
        <f ca="1">T852/Calcs!$C$2/3.6</f>
        <v>7.5603024864826072</v>
      </c>
      <c r="U836" s="206">
        <f t="shared" ca="1" si="199"/>
        <v>0.9999999999999527</v>
      </c>
      <c r="V836" s="206">
        <f ca="1">V852/Calcs!$C$2/3.6</f>
        <v>7.4655906178912694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-2.2503685616214516E-2</v>
      </c>
      <c r="D837" s="206">
        <f ca="1">D853/Calcs!$C$2/3.6</f>
        <v>-5.0625598045728904E-3</v>
      </c>
      <c r="E837" s="206">
        <f ca="1">E853/Calcs!$C$2/3.6</f>
        <v>-2.7566245420787405E-2</v>
      </c>
      <c r="F837" s="206">
        <f ca="1">F853/Calcs!$C$2/3.6</f>
        <v>2.1059906081277711</v>
      </c>
      <c r="G837" s="206">
        <f>G853/Calcs!$C$2/3.6</f>
        <v>4.2179668999529021</v>
      </c>
      <c r="H837" s="206">
        <f>H853/Calcs!$C$2/3.6</f>
        <v>1.0120438356164385</v>
      </c>
      <c r="I837" s="206">
        <f ca="1">I853/Calcs!$C$2/3.6</f>
        <v>7.336001343697113</v>
      </c>
      <c r="J837" s="206">
        <f t="shared" ca="1" si="198"/>
        <v>-3.7576663538197905E-3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0.73343951949824815</v>
      </c>
      <c r="O837" s="206">
        <f ca="1">O853/Calcs!$C$2/3.6</f>
        <v>0.16856135330330121</v>
      </c>
      <c r="P837" s="206">
        <f ca="1">P853/Calcs!$C$2/3.6</f>
        <v>0.90200087280154939</v>
      </c>
      <c r="Q837" s="206">
        <f ca="1">Q853/Calcs!$C$2/3.6</f>
        <v>2.1059906081277711</v>
      </c>
      <c r="R837" s="206">
        <f>R853/Calcs!$C$2/3.6</f>
        <v>4.2179668999529021</v>
      </c>
      <c r="S837" s="206">
        <f>S853/Calcs!$C$2/3.6</f>
        <v>1.0120438356164385</v>
      </c>
      <c r="T837" s="206">
        <f ca="1">T853/Calcs!$C$2/3.6</f>
        <v>7.336001343697113</v>
      </c>
      <c r="U837" s="206">
        <f t="shared" ca="1" si="199"/>
        <v>0.99999962932759578</v>
      </c>
      <c r="V837" s="206">
        <f ca="1">V853/Calcs!$C$2/3.6</f>
        <v>6.4340008052423947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0.94318127815106556</v>
      </c>
      <c r="D838" s="206">
        <f ca="1">D854/Calcs!$C$2/3.6</f>
        <v>0.19235002586216157</v>
      </c>
      <c r="E838" s="206">
        <f ca="1">E854/Calcs!$C$2/3.6</f>
        <v>1.1355313040132271</v>
      </c>
      <c r="F838" s="206">
        <f ca="1">F854/Calcs!$C$2/3.6</f>
        <v>1.8857532696358832</v>
      </c>
      <c r="G838" s="206">
        <f>G854/Calcs!$C$2/3.6</f>
        <v>4.0819034515673263</v>
      </c>
      <c r="H838" s="206">
        <f>H854/Calcs!$C$2/3.6</f>
        <v>0.97939726027397267</v>
      </c>
      <c r="I838" s="206">
        <f ca="1">I854/Calcs!$C$2/3.6</f>
        <v>6.9470539814771826</v>
      </c>
      <c r="J838" s="206">
        <f t="shared" ca="1" si="198"/>
        <v>0.16345466136947534</v>
      </c>
      <c r="K838" s="206">
        <f ca="1">K854/Calcs!$C$2/3.6</f>
        <v>2.9479554091136493E-6</v>
      </c>
      <c r="L838" s="204"/>
      <c r="M838" s="9" t="s">
        <v>122</v>
      </c>
      <c r="N838" s="206">
        <f ca="1">N854/Calcs!$C$2/3.6</f>
        <v>1.6955661585445139</v>
      </c>
      <c r="O838" s="206">
        <f ca="1">O854/Calcs!$C$2/3.6</f>
        <v>0.4430882631838356</v>
      </c>
      <c r="P838" s="206">
        <f ca="1">P854/Calcs!$C$2/3.6</f>
        <v>2.1386544217283494</v>
      </c>
      <c r="Q838" s="206">
        <f ca="1">Q854/Calcs!$C$2/3.6</f>
        <v>1.8857532696358832</v>
      </c>
      <c r="R838" s="206">
        <f>R854/Calcs!$C$2/3.6</f>
        <v>4.0819034515673263</v>
      </c>
      <c r="S838" s="206">
        <f>S854/Calcs!$C$2/3.6</f>
        <v>0.97939726027397267</v>
      </c>
      <c r="T838" s="206">
        <f ca="1">T854/Calcs!$C$2/3.6</f>
        <v>6.9470539814771826</v>
      </c>
      <c r="U838" s="206">
        <f t="shared" ca="1" si="199"/>
        <v>0.9998191403910266</v>
      </c>
      <c r="V838" s="206">
        <f ca="1">V854/Calcs!$C$2/3.6</f>
        <v>4.8087863559512742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2.9413584796775702</v>
      </c>
      <c r="D839" s="206">
        <f ca="1">D855/Calcs!$C$2/3.6</f>
        <v>1.0513017287988313</v>
      </c>
      <c r="E839" s="206">
        <f ca="1">E855/Calcs!$C$2/3.6</f>
        <v>3.9926602084764014</v>
      </c>
      <c r="F839" s="206">
        <f ca="1">F855/Calcs!$C$2/3.6</f>
        <v>1.6580436053896925</v>
      </c>
      <c r="G839" s="206">
        <f>G855/Calcs!$C$2/3.6</f>
        <v>4.2179668999529021</v>
      </c>
      <c r="H839" s="206">
        <f>H855/Calcs!$C$2/3.6</f>
        <v>1.0120438356164385</v>
      </c>
      <c r="I839" s="206">
        <f ca="1">I855/Calcs!$C$2/3.6</f>
        <v>6.8880543409590338</v>
      </c>
      <c r="J839" s="206">
        <f t="shared" ca="1" si="198"/>
        <v>0.5742310285972293</v>
      </c>
      <c r="K839" s="206">
        <f ca="1">K855/Calcs!$C$2/3.6</f>
        <v>3.732567923388503E-2</v>
      </c>
      <c r="L839" s="204"/>
      <c r="M839" s="9" t="s">
        <v>123</v>
      </c>
      <c r="N839" s="206">
        <f ca="1">N855/Calcs!$C$2/3.6</f>
        <v>3.7564220767488452</v>
      </c>
      <c r="O839" s="206">
        <f ca="1">O855/Calcs!$C$2/3.6</f>
        <v>1.5509361131279931</v>
      </c>
      <c r="P839" s="206">
        <f ca="1">P855/Calcs!$C$2/3.6</f>
        <v>5.3073581898768385</v>
      </c>
      <c r="Q839" s="206">
        <f ca="1">Q855/Calcs!$C$2/3.6</f>
        <v>1.6580436053896925</v>
      </c>
      <c r="R839" s="206">
        <f>R855/Calcs!$C$2/3.6</f>
        <v>4.2179668999529021</v>
      </c>
      <c r="S839" s="206">
        <f>S855/Calcs!$C$2/3.6</f>
        <v>1.0120438356164385</v>
      </c>
      <c r="T839" s="206">
        <f ca="1">T855/Calcs!$C$2/3.6</f>
        <v>6.8880543409590338</v>
      </c>
      <c r="U839" s="206">
        <f t="shared" ca="1" si="199"/>
        <v>0.95778011714995881</v>
      </c>
      <c r="V839" s="206">
        <f ca="1">V855/Calcs!$C$2/3.6</f>
        <v>1.8047721921020019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4.5190492441530852</v>
      </c>
      <c r="D840" s="206">
        <f ca="1">D856/Calcs!$C$2/3.6</f>
        <v>2.1420567568968125</v>
      </c>
      <c r="E840" s="206">
        <f ca="1">E856/Calcs!$C$2/3.6</f>
        <v>6.6611060010498973</v>
      </c>
      <c r="F840" s="206">
        <f ca="1">F856/Calcs!$C$2/3.6</f>
        <v>1.0982847231559849</v>
      </c>
      <c r="G840" s="206">
        <f>G856/Calcs!$C$2/3.6</f>
        <v>4.0819034515673263</v>
      </c>
      <c r="H840" s="206">
        <f>H856/Calcs!$C$2/3.6</f>
        <v>0.97939726027397267</v>
      </c>
      <c r="I840" s="206">
        <f ca="1">I856/Calcs!$C$2/3.6</f>
        <v>6.1595854349972834</v>
      </c>
      <c r="J840" s="206">
        <f t="shared" ca="1" si="198"/>
        <v>0.90650588738529536</v>
      </c>
      <c r="K840" s="206">
        <f ca="1">K856/Calcs!$C$2/3.6</f>
        <v>1.0774055403721439</v>
      </c>
      <c r="L840" s="204"/>
      <c r="M840" s="9" t="s">
        <v>124</v>
      </c>
      <c r="N840" s="206">
        <f ca="1">N856/Calcs!$C$2/3.6</f>
        <v>5.3270137538026736</v>
      </c>
      <c r="O840" s="206">
        <f ca="1">O856/Calcs!$C$2/3.6</f>
        <v>2.7903620823794597</v>
      </c>
      <c r="P840" s="206">
        <f ca="1">P856/Calcs!$C$2/3.6</f>
        <v>8.1173758361821324</v>
      </c>
      <c r="Q840" s="206">
        <f ca="1">Q856/Calcs!$C$2/3.6</f>
        <v>1.0982847231559849</v>
      </c>
      <c r="R840" s="206">
        <f>R856/Calcs!$C$2/3.6</f>
        <v>4.0819034515673263</v>
      </c>
      <c r="S840" s="206">
        <f>S856/Calcs!$C$2/3.6</f>
        <v>0.97939726027397267</v>
      </c>
      <c r="T840" s="206">
        <f ca="1">T856/Calcs!$C$2/3.6</f>
        <v>6.1595854349972834</v>
      </c>
      <c r="U840" s="206">
        <f t="shared" ca="1" si="199"/>
        <v>0.72905202317154949</v>
      </c>
      <c r="V840" s="206">
        <f ca="1">V856/Calcs!$C$2/3.6</f>
        <v>0.24159615878485116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6.999790804605265</v>
      </c>
      <c r="D841" s="206">
        <f ca="1">D857/Calcs!$C$2/3.6</f>
        <v>4.1864175698528578</v>
      </c>
      <c r="E841" s="206">
        <f ca="1">E857/Calcs!$C$2/3.6</f>
        <v>11.186208374458124</v>
      </c>
      <c r="F841" s="206">
        <f ca="1">F857/Calcs!$C$2/3.6</f>
        <v>1.0541034179820103</v>
      </c>
      <c r="G841" s="206">
        <f>G857/Calcs!$C$2/3.6</f>
        <v>4.2179668999529021</v>
      </c>
      <c r="H841" s="206">
        <f>H857/Calcs!$C$2/3.6</f>
        <v>1.0120438356164385</v>
      </c>
      <c r="I841" s="206">
        <f ca="1">I857/Calcs!$C$2/3.6</f>
        <v>6.2841141535513518</v>
      </c>
      <c r="J841" s="206">
        <f t="shared" ca="1" si="198"/>
        <v>0.99219582260255912</v>
      </c>
      <c r="K841" s="206">
        <f ca="1">K857/Calcs!$C$2/3.6</f>
        <v>4.9511365625468562</v>
      </c>
      <c r="L841" s="204"/>
      <c r="M841" s="9" t="s">
        <v>125</v>
      </c>
      <c r="N841" s="206">
        <f ca="1">N857/Calcs!$C$2/3.6</f>
        <v>7.8609825496700312</v>
      </c>
      <c r="O841" s="206">
        <f ca="1">O857/Calcs!$C$2/3.6</f>
        <v>5.0516528858213885</v>
      </c>
      <c r="P841" s="206">
        <f ca="1">P857/Calcs!$C$2/3.6</f>
        <v>12.912635435491421</v>
      </c>
      <c r="Q841" s="206">
        <f ca="1">Q857/Calcs!$C$2/3.6</f>
        <v>1.0541034179820103</v>
      </c>
      <c r="R841" s="206">
        <f>R857/Calcs!$C$2/3.6</f>
        <v>4.2179668999529021</v>
      </c>
      <c r="S841" s="206">
        <f>S857/Calcs!$C$2/3.6</f>
        <v>1.0120438356164385</v>
      </c>
      <c r="T841" s="206">
        <f ca="1">T857/Calcs!$C$2/3.6</f>
        <v>6.2841141535513518</v>
      </c>
      <c r="U841" s="206">
        <f t="shared" ca="1" si="199"/>
        <v>0.48504652702428014</v>
      </c>
      <c r="V841" s="206">
        <f ca="1">V857/Calcs!$C$2/3.6</f>
        <v>2.0885180835584743E-2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37.966877125403563</v>
      </c>
      <c r="D842" s="208">
        <f t="shared" ca="1" si="200"/>
        <v>19.53380138433225</v>
      </c>
      <c r="E842" s="208">
        <f t="shared" ca="1" si="200"/>
        <v>57.50067850973582</v>
      </c>
      <c r="F842" s="208">
        <f t="shared" ca="1" si="200"/>
        <v>20.700503860848311</v>
      </c>
      <c r="G842" s="208">
        <f t="shared" si="200"/>
        <v>49.663158660735789</v>
      </c>
      <c r="H842" s="208">
        <f t="shared" si="200"/>
        <v>11.916</v>
      </c>
      <c r="I842" s="208">
        <f t="shared" ca="1" si="200"/>
        <v>82.279662521584115</v>
      </c>
      <c r="J842" s="208" t="s">
        <v>479</v>
      </c>
      <c r="K842" s="208">
        <f ca="1">SUM(K830:K841)</f>
        <v>16.190624627158993</v>
      </c>
      <c r="L842" s="204"/>
      <c r="M842" s="207" t="s">
        <v>178</v>
      </c>
      <c r="N842" s="208">
        <f t="shared" ref="N842:T842" ca="1" si="201">SUM(N830:N841)</f>
        <v>47.509934574390471</v>
      </c>
      <c r="O842" s="208">
        <f t="shared" ca="1" si="201"/>
        <v>25.621335693762042</v>
      </c>
      <c r="P842" s="208">
        <f t="shared" ca="1" si="201"/>
        <v>73.131270268152491</v>
      </c>
      <c r="Q842" s="208">
        <f t="shared" ca="1" si="201"/>
        <v>20.700503860848311</v>
      </c>
      <c r="R842" s="208">
        <f>SUM(R830:R841)</f>
        <v>49.663158660735789</v>
      </c>
      <c r="S842" s="208">
        <f t="shared" si="201"/>
        <v>11.916</v>
      </c>
      <c r="T842" s="208">
        <f t="shared" ca="1" si="201"/>
        <v>82.279662521584115</v>
      </c>
      <c r="U842" s="208" t="s">
        <v>479</v>
      </c>
      <c r="V842" s="208">
        <f ca="1">SUM(V830:V841)</f>
        <v>32.964283416164363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205021.20051877142</v>
      </c>
      <c r="D846" s="208">
        <f t="shared" ref="D846:D857" ca="1" si="203">E345</f>
        <v>126592.1909353107</v>
      </c>
      <c r="E846" s="208">
        <f t="shared" ref="E846:E857" ca="1" si="204">C846+D846</f>
        <v>331613.3914540821</v>
      </c>
      <c r="F846" s="208">
        <f t="shared" ref="F846:F857" ca="1" si="205">AM144</f>
        <v>33571.114589842437</v>
      </c>
      <c r="G846" s="208">
        <f t="shared" ref="G846:G857" si="206">C313+D313</f>
        <v>118996.26986941531</v>
      </c>
      <c r="H846" s="208">
        <f t="shared" ref="H846:H857" si="207">E313</f>
        <v>28551.537799890415</v>
      </c>
      <c r="I846" s="208">
        <f t="shared" ref="I846:I857" ca="1" si="208">F846+G846+H846</f>
        <v>181118.92225914815</v>
      </c>
      <c r="J846" s="209">
        <f t="shared" ref="J846:J857" ca="1" si="209">J345</f>
        <v>0.99337775951335427</v>
      </c>
      <c r="K846" s="208">
        <f t="shared" ref="K846:K857" ca="1" si="210">L345</f>
        <v>151693.88225481613</v>
      </c>
      <c r="L846" s="204"/>
      <c r="M846" s="9" t="s">
        <v>114</v>
      </c>
      <c r="N846" s="208">
        <f t="shared" ref="N846:N857" ca="1" si="211">C371</f>
        <v>229417.35087896715</v>
      </c>
      <c r="O846" s="208">
        <f t="shared" ref="O846:O857" ca="1" si="212">E371</f>
        <v>151892.43688786504</v>
      </c>
      <c r="P846" s="208">
        <f t="shared" ref="P846:P857" ca="1" si="213">N846+O846</f>
        <v>381309.78776683216</v>
      </c>
      <c r="Q846" s="208">
        <f ca="1">AM144</f>
        <v>33571.114589842437</v>
      </c>
      <c r="R846" s="208">
        <f t="shared" ref="R846:R857" si="214">C313+D313</f>
        <v>118996.26986941531</v>
      </c>
      <c r="S846" s="208">
        <f t="shared" ref="S846:S857" si="215">E313</f>
        <v>28551.537799890415</v>
      </c>
      <c r="T846" s="208">
        <f t="shared" ref="T846:T857" ca="1" si="216">Q846+R846+S846</f>
        <v>181118.92225914815</v>
      </c>
      <c r="U846" s="209">
        <f t="shared" ref="U846:U857" ca="1" si="217">J371</f>
        <v>0.47363017505640609</v>
      </c>
      <c r="V846" s="208">
        <f t="shared" ref="V846:V857" ca="1" si="218">L371</f>
        <v>519.10072842237423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170237.90221053045</v>
      </c>
      <c r="D847" s="208">
        <f t="shared" ca="1" si="203"/>
        <v>100079.5346095642</v>
      </c>
      <c r="E847" s="208">
        <f t="shared" ca="1" si="204"/>
        <v>270317.43682009465</v>
      </c>
      <c r="F847" s="208">
        <f t="shared" ca="1" si="205"/>
        <v>38250.886351565496</v>
      </c>
      <c r="G847" s="208">
        <f t="shared" si="206"/>
        <v>107480.50181753642</v>
      </c>
      <c r="H847" s="208">
        <f t="shared" si="207"/>
        <v>25788.48575473973</v>
      </c>
      <c r="I847" s="208">
        <f t="shared" ca="1" si="208"/>
        <v>171519.87392384163</v>
      </c>
      <c r="J847" s="209">
        <f t="shared" ca="1" si="209"/>
        <v>0.98447565322489083</v>
      </c>
      <c r="K847" s="208">
        <f t="shared" ca="1" si="210"/>
        <v>101460.29689786973</v>
      </c>
      <c r="L847" s="204"/>
      <c r="M847" s="9" t="s">
        <v>115</v>
      </c>
      <c r="N847" s="208">
        <f t="shared" ca="1" si="211"/>
        <v>192120.99882696001</v>
      </c>
      <c r="O847" s="208">
        <f t="shared" ca="1" si="212"/>
        <v>121713.82507910862</v>
      </c>
      <c r="P847" s="208">
        <f t="shared" ca="1" si="213"/>
        <v>313834.82390606863</v>
      </c>
      <c r="Q847" s="208">
        <f t="shared" ref="Q847:Q858" ca="1" si="219">AM145</f>
        <v>38250.886351565496</v>
      </c>
      <c r="R847" s="208">
        <f t="shared" si="214"/>
        <v>107480.50181753642</v>
      </c>
      <c r="S847" s="208">
        <f t="shared" si="215"/>
        <v>25788.48575473973</v>
      </c>
      <c r="T847" s="208">
        <f t="shared" ca="1" si="216"/>
        <v>171519.87392384163</v>
      </c>
      <c r="U847" s="209">
        <f t="shared" ca="1" si="217"/>
        <v>0.54289610410221378</v>
      </c>
      <c r="V847" s="208">
        <f t="shared" ca="1" si="218"/>
        <v>1140.1706936326518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138829.23832567089</v>
      </c>
      <c r="D848" s="208">
        <f t="shared" ca="1" si="203"/>
        <v>68124.596393179483</v>
      </c>
      <c r="E848" s="208">
        <f t="shared" ca="1" si="204"/>
        <v>206953.83471885038</v>
      </c>
      <c r="F848" s="208">
        <f t="shared" ca="1" si="205"/>
        <v>49175.900073131648</v>
      </c>
      <c r="G848" s="208">
        <f t="shared" si="206"/>
        <v>118996.26986941531</v>
      </c>
      <c r="H848" s="208">
        <f t="shared" si="207"/>
        <v>28551.537799890415</v>
      </c>
      <c r="I848" s="208">
        <f t="shared" ca="1" si="208"/>
        <v>196723.70774243737</v>
      </c>
      <c r="J848" s="209">
        <f t="shared" ca="1" si="209"/>
        <v>0.89606514588944808</v>
      </c>
      <c r="K848" s="208">
        <f t="shared" ca="1" si="210"/>
        <v>30676.576840710099</v>
      </c>
      <c r="L848" s="204"/>
      <c r="M848" s="9" t="s">
        <v>116</v>
      </c>
      <c r="N848" s="208">
        <f t="shared" ca="1" si="211"/>
        <v>162515.73936492004</v>
      </c>
      <c r="O848" s="208">
        <f t="shared" ca="1" si="212"/>
        <v>87782.228513768001</v>
      </c>
      <c r="P848" s="208">
        <f t="shared" ca="1" si="213"/>
        <v>250297.96787868804</v>
      </c>
      <c r="Q848" s="208">
        <f t="shared" ca="1" si="219"/>
        <v>49175.900073131648</v>
      </c>
      <c r="R848" s="208">
        <f t="shared" si="214"/>
        <v>118996.26986941531</v>
      </c>
      <c r="S848" s="208">
        <f t="shared" si="215"/>
        <v>28551.537799890415</v>
      </c>
      <c r="T848" s="208">
        <f t="shared" ca="1" si="216"/>
        <v>196723.70774243737</v>
      </c>
      <c r="U848" s="209">
        <f t="shared" ca="1" si="217"/>
        <v>0.74950502275775133</v>
      </c>
      <c r="V848" s="208">
        <f t="shared" ca="1" si="218"/>
        <v>9124.1236313023837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88253.753275942203</v>
      </c>
      <c r="D849" s="208">
        <f t="shared" ca="1" si="203"/>
        <v>33364.382850717215</v>
      </c>
      <c r="E849" s="208">
        <f t="shared" ca="1" si="204"/>
        <v>121618.13612665942</v>
      </c>
      <c r="F849" s="208">
        <f t="shared" ca="1" si="205"/>
        <v>50604.089993890819</v>
      </c>
      <c r="G849" s="208">
        <f t="shared" si="206"/>
        <v>115157.68051878903</v>
      </c>
      <c r="H849" s="208">
        <f t="shared" si="207"/>
        <v>27630.520451506854</v>
      </c>
      <c r="I849" s="208">
        <f t="shared" ca="1" si="208"/>
        <v>193392.29096418672</v>
      </c>
      <c r="J849" s="209">
        <f t="shared" ca="1" si="209"/>
        <v>0.61957266301095393</v>
      </c>
      <c r="K849" s="208">
        <f t="shared" ca="1" si="210"/>
        <v>1797.5594081890304</v>
      </c>
      <c r="L849" s="204"/>
      <c r="M849" s="9" t="s">
        <v>117</v>
      </c>
      <c r="N849" s="208">
        <f t="shared" ca="1" si="211"/>
        <v>110541.44824307993</v>
      </c>
      <c r="O849" s="208">
        <f t="shared" ca="1" si="212"/>
        <v>47765.830614054728</v>
      </c>
      <c r="P849" s="208">
        <f t="shared" ca="1" si="213"/>
        <v>158307.27885713466</v>
      </c>
      <c r="Q849" s="208">
        <f t="shared" ca="1" si="219"/>
        <v>50604.089993890819</v>
      </c>
      <c r="R849" s="208">
        <f t="shared" si="214"/>
        <v>115157.68051878903</v>
      </c>
      <c r="S849" s="208">
        <f t="shared" si="215"/>
        <v>27630.520451506854</v>
      </c>
      <c r="T849" s="208">
        <f t="shared" ca="1" si="216"/>
        <v>193392.29096418672</v>
      </c>
      <c r="U849" s="209">
        <f t="shared" ca="1" si="217"/>
        <v>0.94407268212608053</v>
      </c>
      <c r="V849" s="208">
        <f t="shared" ca="1" si="218"/>
        <v>43938.713613450207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49544.575420880596</v>
      </c>
      <c r="D850" s="208">
        <f t="shared" ca="1" si="203"/>
        <v>13016.504712549902</v>
      </c>
      <c r="E850" s="208">
        <f t="shared" ca="1" si="204"/>
        <v>62561.0801334305</v>
      </c>
      <c r="F850" s="208">
        <f t="shared" ca="1" si="205"/>
        <v>63554.063189323628</v>
      </c>
      <c r="G850" s="208">
        <f t="shared" si="206"/>
        <v>118996.26986941531</v>
      </c>
      <c r="H850" s="208">
        <f t="shared" si="207"/>
        <v>28551.537799890415</v>
      </c>
      <c r="I850" s="208">
        <f t="shared" ca="1" si="208"/>
        <v>211101.87085862935</v>
      </c>
      <c r="J850" s="209">
        <f t="shared" ca="1" si="209"/>
        <v>0.29631318887897379</v>
      </c>
      <c r="K850" s="208">
        <f t="shared" ca="1" si="210"/>
        <v>8.811600992725289</v>
      </c>
      <c r="L850" s="204"/>
      <c r="M850" s="9" t="s">
        <v>118</v>
      </c>
      <c r="N850" s="208">
        <f t="shared" ca="1" si="211"/>
        <v>71900.458906499989</v>
      </c>
      <c r="O850" s="208">
        <f t="shared" ca="1" si="212"/>
        <v>23314.513428763283</v>
      </c>
      <c r="P850" s="208">
        <f t="shared" ca="1" si="213"/>
        <v>95214.972335263272</v>
      </c>
      <c r="Q850" s="208">
        <f t="shared" ca="1" si="219"/>
        <v>63554.063189323628</v>
      </c>
      <c r="R850" s="208">
        <f t="shared" si="214"/>
        <v>118996.26986941531</v>
      </c>
      <c r="S850" s="208">
        <f t="shared" si="215"/>
        <v>28551.537799890415</v>
      </c>
      <c r="T850" s="208">
        <f t="shared" ca="1" si="216"/>
        <v>211101.87085862935</v>
      </c>
      <c r="U850" s="209">
        <f t="shared" ca="1" si="217"/>
        <v>0.99791590628836679</v>
      </c>
      <c r="V850" s="208">
        <f t="shared" ca="1" si="218"/>
        <v>116085.33544846333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4494.6121036613195</v>
      </c>
      <c r="D851" s="208">
        <f t="shared" ca="1" si="203"/>
        <v>1326.5730059471159</v>
      </c>
      <c r="E851" s="208">
        <f t="shared" ca="1" si="204"/>
        <v>5821.1851096084356</v>
      </c>
      <c r="F851" s="208">
        <f t="shared" ca="1" si="205"/>
        <v>62986.854806469637</v>
      </c>
      <c r="G851" s="208">
        <f t="shared" si="206"/>
        <v>115157.68051878903</v>
      </c>
      <c r="H851" s="208">
        <f t="shared" si="207"/>
        <v>27630.520451506854</v>
      </c>
      <c r="I851" s="208">
        <f t="shared" ca="1" si="208"/>
        <v>205775.05577676554</v>
      </c>
      <c r="J851" s="209">
        <f t="shared" ca="1" si="209"/>
        <v>2.8289070740635459E-2</v>
      </c>
      <c r="K851" s="208">
        <f t="shared" ca="1" si="210"/>
        <v>8.1308826338499784E-8</v>
      </c>
      <c r="L851" s="204"/>
      <c r="M851" s="9" t="s">
        <v>119</v>
      </c>
      <c r="N851" s="208">
        <f t="shared" ca="1" si="211"/>
        <v>25148.439580319966</v>
      </c>
      <c r="O851" s="208">
        <f t="shared" ca="1" si="212"/>
        <v>7570.8027775012724</v>
      </c>
      <c r="P851" s="208">
        <f t="shared" ca="1" si="213"/>
        <v>32719.24235782124</v>
      </c>
      <c r="Q851" s="208">
        <f t="shared" ca="1" si="219"/>
        <v>62986.854806469637</v>
      </c>
      <c r="R851" s="208">
        <f t="shared" si="214"/>
        <v>115157.68051878903</v>
      </c>
      <c r="S851" s="208">
        <f t="shared" si="215"/>
        <v>27630.520451506854</v>
      </c>
      <c r="T851" s="208">
        <f t="shared" ca="1" si="216"/>
        <v>205775.05577676554</v>
      </c>
      <c r="U851" s="209">
        <f t="shared" ca="1" si="217"/>
        <v>0.99999784880071207</v>
      </c>
      <c r="V851" s="208">
        <f t="shared" ca="1" si="218"/>
        <v>173055.88380455514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-19190.442158639918</v>
      </c>
      <c r="D852" s="208">
        <f t="shared" ca="1" si="203"/>
        <v>-4901.0459411252277</v>
      </c>
      <c r="E852" s="208">
        <f t="shared" ca="1" si="204"/>
        <v>-24091.488099765145</v>
      </c>
      <c r="F852" s="208">
        <f t="shared" ca="1" si="205"/>
        <v>65741.631606744835</v>
      </c>
      <c r="G852" s="208">
        <f t="shared" si="206"/>
        <v>118996.26986941531</v>
      </c>
      <c r="H852" s="208">
        <f t="shared" si="207"/>
        <v>28551.537799890415</v>
      </c>
      <c r="I852" s="208">
        <f t="shared" ca="1" si="208"/>
        <v>213289.43927605057</v>
      </c>
      <c r="J852" s="209">
        <f t="shared" ca="1" si="209"/>
        <v>-0.11295209074362403</v>
      </c>
      <c r="K852" s="208">
        <f t="shared" ca="1" si="210"/>
        <v>0</v>
      </c>
      <c r="L852" s="204"/>
      <c r="M852" s="9" t="s">
        <v>120</v>
      </c>
      <c r="N852" s="208">
        <f t="shared" ca="1" si="211"/>
        <v>2136.0461176800777</v>
      </c>
      <c r="O852" s="208">
        <f t="shared" ca="1" si="212"/>
        <v>535.94238817039991</v>
      </c>
      <c r="P852" s="208">
        <f t="shared" ca="1" si="213"/>
        <v>2671.9885058504778</v>
      </c>
      <c r="Q852" s="208">
        <f t="shared" ca="1" si="219"/>
        <v>65741.631606744835</v>
      </c>
      <c r="R852" s="208">
        <f t="shared" si="214"/>
        <v>118996.26986941531</v>
      </c>
      <c r="S852" s="208">
        <f t="shared" si="215"/>
        <v>28551.537799890415</v>
      </c>
      <c r="T852" s="208">
        <f t="shared" ca="1" si="216"/>
        <v>213289.43927605057</v>
      </c>
      <c r="U852" s="209">
        <f t="shared" ca="1" si="217"/>
        <v>0.9999999999999527</v>
      </c>
      <c r="V852" s="208">
        <f t="shared" ca="1" si="218"/>
        <v>210617.4507702002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-634.86857772009614</v>
      </c>
      <c r="D853" s="208">
        <f t="shared" ca="1" si="203"/>
        <v>-142.82372219225729</v>
      </c>
      <c r="E853" s="208">
        <f t="shared" ca="1" si="204"/>
        <v>-777.69229991235341</v>
      </c>
      <c r="F853" s="208">
        <f t="shared" ca="1" si="205"/>
        <v>59413.701598754735</v>
      </c>
      <c r="G853" s="208">
        <f t="shared" si="206"/>
        <v>118996.26986941531</v>
      </c>
      <c r="H853" s="208">
        <f t="shared" si="207"/>
        <v>28551.537799890415</v>
      </c>
      <c r="I853" s="208">
        <f t="shared" ca="1" si="208"/>
        <v>206961.50926806047</v>
      </c>
      <c r="J853" s="209">
        <f t="shared" ca="1" si="209"/>
        <v>-3.7576663538197905E-3</v>
      </c>
      <c r="K853" s="208">
        <f t="shared" ca="1" si="210"/>
        <v>0</v>
      </c>
      <c r="L853" s="204"/>
      <c r="M853" s="9" t="s">
        <v>121</v>
      </c>
      <c r="N853" s="208">
        <f t="shared" ca="1" si="211"/>
        <v>20691.619698599898</v>
      </c>
      <c r="O853" s="208">
        <f t="shared" ca="1" si="212"/>
        <v>4755.4124446679416</v>
      </c>
      <c r="P853" s="208">
        <f t="shared" ca="1" si="213"/>
        <v>25447.032143267839</v>
      </c>
      <c r="Q853" s="208">
        <f t="shared" ca="1" si="219"/>
        <v>59413.701598754735</v>
      </c>
      <c r="R853" s="208">
        <f t="shared" si="214"/>
        <v>118996.26986941531</v>
      </c>
      <c r="S853" s="208">
        <f t="shared" si="215"/>
        <v>28551.537799890415</v>
      </c>
      <c r="T853" s="208">
        <f t="shared" ca="1" si="216"/>
        <v>206961.50926806047</v>
      </c>
      <c r="U853" s="209">
        <f t="shared" ca="1" si="217"/>
        <v>0.99999962932759578</v>
      </c>
      <c r="V853" s="208">
        <f t="shared" ca="1" si="218"/>
        <v>181514.48655730518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26608.803855691109</v>
      </c>
      <c r="D854" s="208">
        <f t="shared" ca="1" si="203"/>
        <v>5426.5327656170957</v>
      </c>
      <c r="E854" s="208">
        <f t="shared" ca="1" si="204"/>
        <v>32035.336621308204</v>
      </c>
      <c r="F854" s="208">
        <f t="shared" ca="1" si="205"/>
        <v>53200.418662182827</v>
      </c>
      <c r="G854" s="208">
        <f t="shared" si="206"/>
        <v>115157.68051878903</v>
      </c>
      <c r="H854" s="208">
        <f t="shared" si="207"/>
        <v>27630.520451506854</v>
      </c>
      <c r="I854" s="208">
        <f t="shared" ca="1" si="208"/>
        <v>195988.61963247872</v>
      </c>
      <c r="J854" s="209">
        <f t="shared" ca="1" si="209"/>
        <v>0.16345466136947534</v>
      </c>
      <c r="K854" s="208">
        <f t="shared" ca="1" si="210"/>
        <v>8.31670104926161E-2</v>
      </c>
      <c r="L854" s="204"/>
      <c r="M854" s="9" t="s">
        <v>122</v>
      </c>
      <c r="N854" s="208">
        <f t="shared" ca="1" si="211"/>
        <v>47834.905528979783</v>
      </c>
      <c r="O854" s="208">
        <f t="shared" ca="1" si="212"/>
        <v>12500.299739759206</v>
      </c>
      <c r="P854" s="208">
        <f t="shared" ca="1" si="213"/>
        <v>60335.205268738988</v>
      </c>
      <c r="Q854" s="208">
        <f t="shared" ca="1" si="219"/>
        <v>53200.418662182827</v>
      </c>
      <c r="R854" s="208">
        <f t="shared" si="214"/>
        <v>115157.68051878903</v>
      </c>
      <c r="S854" s="208">
        <f t="shared" si="215"/>
        <v>27630.520451506854</v>
      </c>
      <c r="T854" s="208">
        <f t="shared" ca="1" si="216"/>
        <v>195988.61963247872</v>
      </c>
      <c r="U854" s="209">
        <f t="shared" ca="1" si="217"/>
        <v>0.9998191403910266</v>
      </c>
      <c r="V854" s="208">
        <f t="shared" ca="1" si="218"/>
        <v>135664.32656537194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82980.899502628483</v>
      </c>
      <c r="D855" s="208">
        <f t="shared" ca="1" si="203"/>
        <v>29659.072060457722</v>
      </c>
      <c r="E855" s="208">
        <f t="shared" ca="1" si="204"/>
        <v>112639.9715630862</v>
      </c>
      <c r="F855" s="208">
        <f t="shared" ca="1" si="205"/>
        <v>46776.328264788717</v>
      </c>
      <c r="G855" s="208">
        <f t="shared" si="206"/>
        <v>118996.26986941531</v>
      </c>
      <c r="H855" s="208">
        <f t="shared" si="207"/>
        <v>28551.537799890415</v>
      </c>
      <c r="I855" s="208">
        <f t="shared" ca="1" si="208"/>
        <v>194324.13593409443</v>
      </c>
      <c r="J855" s="209">
        <f t="shared" ca="1" si="209"/>
        <v>0.5742310285972293</v>
      </c>
      <c r="K855" s="208">
        <f t="shared" ca="1" si="210"/>
        <v>1053.0231043833483</v>
      </c>
      <c r="L855" s="204"/>
      <c r="M855" s="9" t="s">
        <v>123</v>
      </c>
      <c r="N855" s="208">
        <f t="shared" ca="1" si="211"/>
        <v>105975.27808794001</v>
      </c>
      <c r="O855" s="208">
        <f t="shared" ca="1" si="212"/>
        <v>43754.637398899795</v>
      </c>
      <c r="P855" s="208">
        <f t="shared" ca="1" si="213"/>
        <v>149729.9154868398</v>
      </c>
      <c r="Q855" s="208">
        <f t="shared" ca="1" si="219"/>
        <v>46776.328264788717</v>
      </c>
      <c r="R855" s="208">
        <f t="shared" si="214"/>
        <v>118996.26986941531</v>
      </c>
      <c r="S855" s="208">
        <f t="shared" si="215"/>
        <v>28551.537799890415</v>
      </c>
      <c r="T855" s="208">
        <f t="shared" ca="1" si="216"/>
        <v>194324.13593409443</v>
      </c>
      <c r="U855" s="209">
        <f t="shared" ca="1" si="217"/>
        <v>0.95778011714995881</v>
      </c>
      <c r="V855" s="208">
        <f t="shared" ca="1" si="218"/>
        <v>50915.799938255572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127490.33270422825</v>
      </c>
      <c r="D856" s="208">
        <f t="shared" ca="1" si="203"/>
        <v>60431.191131951229</v>
      </c>
      <c r="E856" s="208">
        <f t="shared" ca="1" si="204"/>
        <v>187921.52383617946</v>
      </c>
      <c r="F856" s="208">
        <f t="shared" ca="1" si="205"/>
        <v>30984.545021343089</v>
      </c>
      <c r="G856" s="208">
        <f t="shared" si="206"/>
        <v>115157.68051878903</v>
      </c>
      <c r="H856" s="208">
        <f t="shared" si="207"/>
        <v>27630.520451506854</v>
      </c>
      <c r="I856" s="208">
        <f t="shared" ca="1" si="208"/>
        <v>173772.74599163898</v>
      </c>
      <c r="J856" s="209">
        <f t="shared" ca="1" si="209"/>
        <v>0.90650588738529536</v>
      </c>
      <c r="K856" s="208">
        <f t="shared" ca="1" si="210"/>
        <v>30395.506527649239</v>
      </c>
      <c r="L856" s="204"/>
      <c r="M856" s="9" t="s">
        <v>124</v>
      </c>
      <c r="N856" s="208">
        <f t="shared" ca="1" si="211"/>
        <v>150284.43353898011</v>
      </c>
      <c r="O856" s="208">
        <f t="shared" ca="1" si="212"/>
        <v>78721.025381189553</v>
      </c>
      <c r="P856" s="208">
        <f t="shared" ca="1" si="213"/>
        <v>229005.45892016968</v>
      </c>
      <c r="Q856" s="208">
        <f t="shared" ca="1" si="219"/>
        <v>30984.545021343089</v>
      </c>
      <c r="R856" s="208">
        <f t="shared" si="214"/>
        <v>115157.68051878903</v>
      </c>
      <c r="S856" s="208">
        <f t="shared" si="215"/>
        <v>27630.520451506854</v>
      </c>
      <c r="T856" s="208">
        <f t="shared" ca="1" si="216"/>
        <v>173772.74599163898</v>
      </c>
      <c r="U856" s="209">
        <f t="shared" ca="1" si="217"/>
        <v>0.72905202317154949</v>
      </c>
      <c r="V856" s="208">
        <f t="shared" ca="1" si="218"/>
        <v>6815.8528485601128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197476.41822973065</v>
      </c>
      <c r="D857" s="208">
        <f t="shared" ca="1" si="203"/>
        <v>118106.20774047206</v>
      </c>
      <c r="E857" s="208">
        <f t="shared" ca="1" si="204"/>
        <v>315582.62597020273</v>
      </c>
      <c r="F857" s="208">
        <f t="shared" ca="1" si="205"/>
        <v>29738.112643288161</v>
      </c>
      <c r="G857" s="208">
        <f t="shared" si="206"/>
        <v>118996.26986941531</v>
      </c>
      <c r="H857" s="208">
        <f t="shared" si="207"/>
        <v>28551.537799890415</v>
      </c>
      <c r="I857" s="208">
        <f t="shared" ca="1" si="208"/>
        <v>177285.92031259389</v>
      </c>
      <c r="J857" s="209">
        <f t="shared" ca="1" si="209"/>
        <v>0.99219582260255912</v>
      </c>
      <c r="K857" s="208">
        <f t="shared" ca="1" si="210"/>
        <v>139680.27642979691</v>
      </c>
      <c r="L857" s="204"/>
      <c r="M857" s="9" t="s">
        <v>125</v>
      </c>
      <c r="N857" s="208">
        <f t="shared" ca="1" si="211"/>
        <v>221772.15305547902</v>
      </c>
      <c r="O857" s="208">
        <f t="shared" ca="1" si="212"/>
        <v>142516.01881810042</v>
      </c>
      <c r="P857" s="208">
        <f t="shared" ca="1" si="213"/>
        <v>364288.17187357944</v>
      </c>
      <c r="Q857" s="208">
        <f t="shared" ca="1" si="219"/>
        <v>29738.112643288161</v>
      </c>
      <c r="R857" s="208">
        <f t="shared" si="214"/>
        <v>118996.26986941531</v>
      </c>
      <c r="S857" s="208">
        <f t="shared" si="215"/>
        <v>28551.537799890415</v>
      </c>
      <c r="T857" s="208">
        <f t="shared" ca="1" si="216"/>
        <v>177285.92031259389</v>
      </c>
      <c r="U857" s="209">
        <f t="shared" ca="1" si="217"/>
        <v>0.48504652702428014</v>
      </c>
      <c r="V857" s="208">
        <f t="shared" ca="1" si="218"/>
        <v>589.20770929011633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1071112.4254113752</v>
      </c>
      <c r="D858" s="208">
        <f t="shared" ca="1" si="220"/>
        <v>551082.91654244927</v>
      </c>
      <c r="E858" s="208">
        <f t="shared" ca="1" si="220"/>
        <v>1622195.3419538247</v>
      </c>
      <c r="F858" s="208">
        <f t="shared" ca="1" si="220"/>
        <v>583997.64680132607</v>
      </c>
      <c r="G858" s="208">
        <f t="shared" si="220"/>
        <v>1401085.1129785995</v>
      </c>
      <c r="H858" s="208">
        <f t="shared" si="220"/>
        <v>336171.33215999999</v>
      </c>
      <c r="I858" s="208">
        <f t="shared" ca="1" si="220"/>
        <v>2321254.0919399257</v>
      </c>
      <c r="J858" s="208" t="s">
        <v>479</v>
      </c>
      <c r="K858" s="208">
        <f ca="1">SUM(K846:K857)</f>
        <v>456766.01623149903</v>
      </c>
      <c r="L858" s="204"/>
      <c r="M858" s="207" t="s">
        <v>178</v>
      </c>
      <c r="N858" s="208">
        <f t="shared" ref="N858:T858" ca="1" si="221">SUM(N846:N857)</f>
        <v>1340338.8718284061</v>
      </c>
      <c r="O858" s="208">
        <f t="shared" ca="1" si="221"/>
        <v>722822.97347184829</v>
      </c>
      <c r="P858" s="208">
        <f t="shared" ca="1" si="221"/>
        <v>2063161.8453002542</v>
      </c>
      <c r="Q858" s="208">
        <f t="shared" ca="1" si="219"/>
        <v>583997.64680132607</v>
      </c>
      <c r="R858" s="208">
        <f>SUM(R846:R857)</f>
        <v>1401085.1129785995</v>
      </c>
      <c r="S858" s="208">
        <f t="shared" si="221"/>
        <v>336171.33215999999</v>
      </c>
      <c r="T858" s="208">
        <f t="shared" ca="1" si="221"/>
        <v>2321254.0919399257</v>
      </c>
      <c r="U858" s="208" t="s">
        <v>479</v>
      </c>
      <c r="V858" s="208">
        <f ca="1">SUM(V846:V857)</f>
        <v>929980.45230880915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AptHighrise</vt:lpstr>
      <vt:lpstr>OfficeSmall</vt:lpstr>
      <vt:lpstr>OfficeLarge</vt:lpstr>
      <vt:lpstr>Outputs</vt:lpstr>
      <vt:lpstr>Calcs</vt:lpstr>
      <vt:lpstr>Weather</vt:lpstr>
      <vt:lpstr>OfficeMedium</vt:lpstr>
      <vt:lpstr>AptMidrise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2013-11-20T20:57:48Z</dcterms:modified>
</cp:coreProperties>
</file>