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OfficeSmall" sheetId="64" r:id="rId4"/>
    <sheet name="OfficeLarge" sheetId="59" r:id="rId5"/>
    <sheet name="Outputs" sheetId="5" r:id="rId6"/>
    <sheet name="Calcs" sheetId="2" state="hidden" r:id="rId7"/>
    <sheet name="Weather" sheetId="4" state="hidden" r:id="rId8"/>
    <sheet name="OfficeMedium" sheetId="68" r:id="rId9"/>
    <sheet name="AptMidrise" sheetId="60" r:id="rId10"/>
    <sheet name="AptHighrise" sheetId="61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10">AptHighrise!$C$64</definedName>
    <definedName name="DHWSysEff" localSheetId="9">AptMidrise!$C$64</definedName>
    <definedName name="DHWSysEff" localSheetId="4">OfficeLarge!$C$64</definedName>
    <definedName name="DHWSysEff" localSheetId="8">OfficeMedium!$C$64</definedName>
    <definedName name="DHWSysEff" localSheetId="3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10">AptHighrise!$C$33</definedName>
    <definedName name="LPD" localSheetId="9">AptMidrise!$C$33</definedName>
    <definedName name="LPD" localSheetId="4">OfficeLarge!$C$33</definedName>
    <definedName name="LPD" localSheetId="8">OfficeMedium!$C$33</definedName>
    <definedName name="LPD" localSheetId="3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10">AptHighrise!$C$12</definedName>
    <definedName name="PeoDOcc" localSheetId="9">AptMidrise!$C$12</definedName>
    <definedName name="PeoDOcc" localSheetId="4">OfficeLarge!$C$12</definedName>
    <definedName name="PeoDOcc" localSheetId="8">OfficeMedium!$C$12</definedName>
    <definedName name="PeoDOcc" localSheetId="3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10">AptHighrise!$C$13</definedName>
    <definedName name="PeoDUnocc" localSheetId="9">AptMidrise!$C$13</definedName>
    <definedName name="PeoDUnocc" localSheetId="4">OfficeLarge!$C$13</definedName>
    <definedName name="PeoDUnocc" localSheetId="8">OfficeMedium!$C$13</definedName>
    <definedName name="PeoDUnocc" localSheetId="3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10">AptHighrise!$C$75</definedName>
    <definedName name="Qinf" localSheetId="9">AptMidrise!$C$75</definedName>
    <definedName name="Qinf" localSheetId="4">OfficeLarge!$C$75</definedName>
    <definedName name="Qinf" localSheetId="8">OfficeMedium!$C$75</definedName>
    <definedName name="Qinf" localSheetId="3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10">AptHighrise!$K$80</definedName>
    <definedName name="RoofAbs" localSheetId="9">AptMidrise!$K$80</definedName>
    <definedName name="RoofAbs" localSheetId="4">OfficeLarge!$K$80</definedName>
    <definedName name="RoofAbs" localSheetId="8">OfficeMedium!$K$80</definedName>
    <definedName name="RoofAbs" localSheetId="3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10">AptHighrise!$K$81</definedName>
    <definedName name="RoofEmis" localSheetId="9">AptMidrise!$K$81</definedName>
    <definedName name="RoofEmis" localSheetId="4">OfficeLarge!$K$81</definedName>
    <definedName name="RoofEmis" localSheetId="8">OfficeMedium!$K$81</definedName>
    <definedName name="RoofEmis" localSheetId="3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10">AptHighrise!$K$79</definedName>
    <definedName name="RoofU" localSheetId="9">AptMidrise!$K$79</definedName>
    <definedName name="RoofU" localSheetId="4">OfficeLarge!$K$79</definedName>
    <definedName name="RoofU" localSheetId="8">OfficeMedium!$K$79</definedName>
    <definedName name="RoofU" localSheetId="3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10">AptHighrise!$J$85</definedName>
    <definedName name="SHGC" localSheetId="9">AptMidrise!$J$85</definedName>
    <definedName name="SHGC" localSheetId="4">OfficeLarge!$J$85</definedName>
    <definedName name="SHGC" localSheetId="8">OfficeMedium!$J$85</definedName>
    <definedName name="SHGC" localSheetId="3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10">AptHighrise!$C$23</definedName>
    <definedName name="TCoolOcc" localSheetId="9">AptMidrise!$C$23</definedName>
    <definedName name="TCoolOcc" localSheetId="4">OfficeLarge!$C$23</definedName>
    <definedName name="TCoolOcc" localSheetId="8">OfficeMedium!$C$23</definedName>
    <definedName name="TCoolOcc" localSheetId="3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10">AptHighrise!$C$24</definedName>
    <definedName name="TCoolUnocc" localSheetId="9">AptMidrise!$C$24</definedName>
    <definedName name="TCoolUnocc" localSheetId="4">OfficeLarge!$C$24</definedName>
    <definedName name="TCoolUnocc" localSheetId="8">OfficeMedium!$C$24</definedName>
    <definedName name="TCoolUnocc" localSheetId="3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10">AptHighrise!$C$21</definedName>
    <definedName name="THeatOcc" localSheetId="9">AptMidrise!$C$21</definedName>
    <definedName name="THeatOcc" localSheetId="4">OfficeLarge!$C$21</definedName>
    <definedName name="THeatOcc" localSheetId="8">OfficeMedium!$C$21</definedName>
    <definedName name="THeatOcc" localSheetId="3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10">AptHighrise!$C$22</definedName>
    <definedName name="THeatUnocc" localSheetId="9">AptMidrise!$C$22</definedName>
    <definedName name="THeatUnocc" localSheetId="4">OfficeLarge!$C$22</definedName>
    <definedName name="THeatUnocc" localSheetId="8">OfficeMedium!$C$22</definedName>
    <definedName name="THeatUnocc" localSheetId="3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10">AptHighrise!$J$80</definedName>
    <definedName name="WallAbs" localSheetId="9">AptMidrise!$J$80</definedName>
    <definedName name="WallAbs" localSheetId="4">OfficeLarge!$J$80</definedName>
    <definedName name="WallAbs" localSheetId="8">OfficeMedium!$J$80</definedName>
    <definedName name="WallAbs" localSheetId="3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10">AptHighrise!$J$81</definedName>
    <definedName name="WallEmis" localSheetId="9">AptMidrise!$J$81</definedName>
    <definedName name="WallEmis" localSheetId="4">OfficeLarge!$J$81</definedName>
    <definedName name="WallEmis" localSheetId="8">OfficeMedium!$J$81</definedName>
    <definedName name="WallEmis" localSheetId="3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10">AptHighrise!$J$79</definedName>
    <definedName name="WallU" localSheetId="9">AptMidrise!$J$79</definedName>
    <definedName name="WallU" localSheetId="4">OfficeLarge!$J$79</definedName>
    <definedName name="WallU" localSheetId="8">OfficeMedium!$J$79</definedName>
    <definedName name="WallU" localSheetId="3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10">AptHighrise!$J$84</definedName>
    <definedName name="WinU" localSheetId="9">AptMidrise!$J$84</definedName>
    <definedName name="WinU" localSheetId="4">OfficeLarge!$J$84</definedName>
    <definedName name="WinU" localSheetId="8">OfficeMedium!$J$84</definedName>
    <definedName name="WinU" localSheetId="3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<sst xmlns="http://schemas.openxmlformats.org/spreadsheetml/2006/main" count="3482" uniqueCount="1178">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</sst>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office_small.xlsx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LargeOffice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39.94</v>
      </c>
    </row>
    <row r="8" spans="1:6" x14ac:dyDescent="0.25">
      <c r="A8" s="429" t="str">
        <f>"floorArea = "&amp;Inputs!C11</f>
        <v>floorArea = 46320.43</v>
      </c>
    </row>
    <row r="9" spans="1:6" x14ac:dyDescent="0.25">
      <c r="A9" s="429" t="str">
        <f>"peopleDensityOccupied = "&amp;Inputs!C12</f>
        <v>peopleDensityOccupied = 24.03</v>
      </c>
    </row>
    <row r="10" spans="1:6" s="429" customFormat="1" x14ac:dyDescent="0.25">
      <c r="A10" s="429" t="str">
        <f>"peopleDensityUnoccupied = "&amp;Inputs!C13</f>
        <v>peopleDensityUnoccupied = 344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4</v>
      </c>
    </row>
    <row r="13" spans="1:6" x14ac:dyDescent="0.25">
      <c r="A13" s="429" t="str">
        <f>"occupancyHourStart= "&amp;Inputs!C16</f>
        <v>occupancyHourStart= 8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7.28</v>
      </c>
    </row>
    <row r="17" spans="1:1" x14ac:dyDescent="0.25">
      <c r="A17" s="429" t="str">
        <f>"lightingPowerDensityUnoccupied = "&amp;Inputs!C34</f>
        <v>lightingPowerDensityUnoccupied = 0.96</v>
      </c>
    </row>
    <row r="18" spans="1:1" x14ac:dyDescent="0.25">
      <c r="A18" s="429" t="str">
        <f>"electricAppliancePowerDensityOccupied = "&amp;Inputs!C27</f>
        <v>electricAppliancePowerDensityOccupied = 6.07</v>
      </c>
    </row>
    <row r="19" spans="1:1" x14ac:dyDescent="0.25">
      <c r="A19" s="429" t="str">
        <f>"electricAppliancePowerDensityUnoccupied = "&amp;Inputs!C28</f>
        <v>electricAppliancePowerDensityUnoccupied = 2.61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17485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</v>
      </c>
    </row>
    <row r="30" spans="1:1" x14ac:dyDescent="0.25">
      <c r="A30" s="429" t="str">
        <f>"heatingSetpointUnoccupied = "&amp;Inputs!C22</f>
        <v>heatingSetpointUnoccupied = 17.4</v>
      </c>
    </row>
    <row r="31" spans="1:1" x14ac:dyDescent="0.25">
      <c r="A31" s="429" t="str">
        <f>"coolingSetpointOccupied = "&amp;Inputs!C23</f>
        <v>coolingSetpointOccupied = 24</v>
      </c>
    </row>
    <row r="32" spans="1:1" x14ac:dyDescent="0.25">
      <c r="A32" s="429" t="str">
        <f>"coolingSetpointUnoccupied = "&amp;Inputs!C24</f>
        <v>coolingSetpointUnoccupied = 25.9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5.86</v>
      </c>
    </row>
    <row r="39" spans="1:1" x14ac:dyDescent="0.25">
      <c r="A39" s="429" t="str">
        <f>"coolingSystemIPLVToCopRatio= "&amp;Inputs!C44</f>
        <v>coolingSystemIPLVToCopRatio= 1.13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0.81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3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28040</v>
      </c>
    </row>
    <row r="47" spans="1:1" s="429" customFormat="1" x14ac:dyDescent="0.25">
      <c r="A47" s="429" t="str">
        <f>"ventilationIntakeRateUnoccupied= "&amp;Inputs!C51</f>
        <v>ventilationIntakeRateUnoccupied= 28040</v>
      </c>
    </row>
    <row r="48" spans="1:1" x14ac:dyDescent="0.25">
      <c r="A48" s="429" t="str">
        <f>"ventilationExhaustRateOccupied= "&amp;Inputs!C52</f>
        <v>ventilationExhaustRateOccupied= 28040</v>
      </c>
    </row>
    <row r="49" spans="1:1" s="429" customFormat="1" x14ac:dyDescent="0.25">
      <c r="A49" s="429" t="str">
        <f>"ventilationExhaustRateUnoccupied= "&amp;Inputs!C53</f>
        <v>ventilationExhaustRateUnoccupied= 28040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2493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1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1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239755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0.89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1.8</v>
      </c>
    </row>
    <row r="70" spans="1:1" s="429" customFormat="1" x14ac:dyDescent="0.25">
      <c r="A70" s="429" t="str">
        <f>"infiltrationRateUnoccupied= "&amp;Inputs!C76</f>
        <v>infiltrationRateUnoccupied= 1.8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3563.11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2086</v>
      </c>
    </row>
    <row r="86" spans="1:1" x14ac:dyDescent="0.25">
      <c r="A86" s="429" t="str">
        <f>"WallUvalueS= "&amp;Inputs!C79</f>
        <v>WallUvalueS= 0.511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0.511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1390.67</v>
      </c>
    </row>
    <row r="94" spans="1:1" x14ac:dyDescent="0.25">
      <c r="A94" s="429" t="str">
        <f>"WallUvalueE= "&amp;Inputs!E79</f>
        <v>WallUvalueE= 0.511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0.511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2086</v>
      </c>
    </row>
    <row r="102" spans="1:1" x14ac:dyDescent="0.25">
      <c r="A102" s="429" t="str">
        <f>"WallUvalueN= "&amp;Inputs!G79</f>
        <v>WallUvalueN= 0.511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0.511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1390.67</v>
      </c>
    </row>
    <row r="110" spans="1:1" x14ac:dyDescent="0.25">
      <c r="A110" s="429" t="str">
        <f>"WallUvalueW= "&amp;Inputs!I79</f>
        <v>WallUvalueW= 0.511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1390.84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927.33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1390.84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927.33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4" activePane="bottomLeft" state="frozen"/>
      <selection pane="bottomLeft" activeCell="F15" sqref="F15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84  kWh/m2 = 26.6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1148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1.8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2086</v>
      </c>
      <c r="D78" s="939">
        <v>0</v>
      </c>
      <c r="E78" s="939">
        <v>1390.67</v>
      </c>
      <c r="F78" s="939">
        <v>0</v>
      </c>
      <c r="G78" s="430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  <dataValidation type="list" allowBlank="1" showInputMessage="1" showErrorMessage="1" sqref="C54">
      <formula1>"0.4, 0.6, 0.65, 0.7"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67" activePane="bottomLeft" state="frozen"/>
      <selection pane="bottomLeft" activeCell="C4" sqref="C4:C7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0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1.1252701011836637</v>
      </c>
      <c r="R4" s="316" t="s">
        <v>589</v>
      </c>
      <c r="S4" s="270">
        <f ca="1">Q4*Calcs!$N$23/Calcs!$N$20</f>
        <v>0.35670874357137783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0.64941221090651524</v>
      </c>
      <c r="C5" s="269">
        <f ca="1">(Calcs!D558+Calcs!G558)/Calcs!$C$2/Calcs!$N$22</f>
        <v>7.6815715396791301E-2</v>
      </c>
      <c r="D5" s="269">
        <f>Calcs!J48/Calcs!$C$2/Calcs!$N$22</f>
        <v>2.3644931506849316</v>
      </c>
      <c r="E5" s="269">
        <f>Calcs!Q48</f>
        <v>0.12872041559199687</v>
      </c>
      <c r="F5" s="269">
        <f ca="1">Calcs!L424</f>
        <v>0.11929688168142775</v>
      </c>
      <c r="G5" s="269">
        <f ca="1">Calcs!K701/Calcs!$C$2/Calcs!$N$22</f>
        <v>7.9239877527494298E-2</v>
      </c>
      <c r="H5" s="269">
        <f>SUM(H22,H39)</f>
        <v>2.707982857142857</v>
      </c>
      <c r="I5" s="269">
        <f ca="1">Calcs!M731/Calcs!$C$2</f>
        <v>0.26463335372720637</v>
      </c>
      <c r="J5" s="269">
        <f>Calcs!AR766/Calcs!$C$2/Calcs!$N$22</f>
        <v>0</v>
      </c>
      <c r="K5" s="269">
        <f t="shared" ref="K5:K16" ca="1" si="0">SUM(B5:I5)-J5</f>
        <v>6.3905944626592204</v>
      </c>
      <c r="L5" s="379">
        <f ca="1">K5*Inputs!$C$11</f>
        <v>296015.08346599404</v>
      </c>
      <c r="O5" s="314" t="s">
        <v>690</v>
      </c>
      <c r="P5" s="314"/>
      <c r="Q5" s="270">
        <f ca="1">Calcs!V842</f>
        <v>54.723010866179258</v>
      </c>
      <c r="R5" s="316" t="s">
        <v>589</v>
      </c>
      <c r="S5" s="270">
        <f ca="1">Q5*Calcs!$N$23/Calcs!$N$20</f>
        <v>17.347103091057448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0.25073701258168551</v>
      </c>
      <c r="C6" s="269">
        <f ca="1">(Calcs!D559+Calcs!G559)/Calcs!$C$2/Calcs!$N$22</f>
        <v>0.13185828342530606</v>
      </c>
      <c r="D6" s="269">
        <f>Calcs!J49/Calcs!$C$2/Calcs!$N$22</f>
        <v>2.1356712328767125</v>
      </c>
      <c r="E6" s="269">
        <f>Calcs!Q49</f>
        <v>0.11626360117986816</v>
      </c>
      <c r="F6" s="269">
        <f ca="1">Calcs!L425</f>
        <v>0.10775202216387024</v>
      </c>
      <c r="G6" s="269">
        <f ca="1">Calcs!K702/Calcs!$C$2/Calcs!$N$22</f>
        <v>8.4450381341955399E-2</v>
      </c>
      <c r="H6" s="269">
        <f t="shared" ref="H6:H16" si="1">SUM(H23,H40)</f>
        <v>2.4459200000000001</v>
      </c>
      <c r="I6" s="269">
        <f ca="1">Calcs!M732/Calcs!$C$2</f>
        <v>0.23902367433425087</v>
      </c>
      <c r="J6" s="269">
        <f>Calcs!AR767/Calcs!$C$2/Calcs!$N$22</f>
        <v>0</v>
      </c>
      <c r="K6" s="269">
        <f t="shared" ca="1" si="0"/>
        <v>5.5116762079036485</v>
      </c>
      <c r="L6" s="379">
        <f ca="1">K6*Inputs!$C$11</f>
        <v>255303.2119708664</v>
      </c>
      <c r="O6" s="314" t="s">
        <v>688</v>
      </c>
      <c r="P6" s="314"/>
      <c r="Q6" s="270">
        <f ca="1">SUM(Q4:Q5)</f>
        <v>55.848280967362925</v>
      </c>
      <c r="R6" s="316" t="s">
        <v>589</v>
      </c>
      <c r="S6" s="270">
        <f ca="1">Q6*Calcs!$N$23/Calcs!$N$20</f>
        <v>17.70381183462883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1.8310007441790298E-2</v>
      </c>
      <c r="C7" s="269">
        <f ca="1">(Calcs!D560+Calcs!G560)/Calcs!$C$2/Calcs!$N$22</f>
        <v>0.40046089140271585</v>
      </c>
      <c r="D7" s="269">
        <f>Calcs!J50/Calcs!$C$2/Calcs!$N$22</f>
        <v>2.3644931506849316</v>
      </c>
      <c r="E7" s="269">
        <f>Calcs!Q50</f>
        <v>0.12872041559199687</v>
      </c>
      <c r="F7" s="269">
        <f ca="1">Calcs!L426</f>
        <v>0.27396993590280627</v>
      </c>
      <c r="G7" s="269">
        <f ca="1">Calcs!K703/Calcs!$C$2/Calcs!$N$22</f>
        <v>0.21212266838353522</v>
      </c>
      <c r="H7" s="269">
        <f t="shared" si="1"/>
        <v>2.707982857142857</v>
      </c>
      <c r="I7" s="269">
        <f ca="1">Calcs!M733/Calcs!$C$2</f>
        <v>0.26463335372720637</v>
      </c>
      <c r="J7" s="269">
        <f>Calcs!AR768/Calcs!$C$2/Calcs!$N$22</f>
        <v>0</v>
      </c>
      <c r="K7" s="269">
        <f t="shared" ca="1" si="0"/>
        <v>6.3706932802778402</v>
      </c>
      <c r="L7" s="379">
        <f ca="1">K7*Inputs!$C$11</f>
        <v>295093.25214058009</v>
      </c>
      <c r="O7" s="320" t="s">
        <v>608</v>
      </c>
      <c r="P7" s="313"/>
      <c r="Q7" s="270">
        <f ca="1">K34</f>
        <v>82.511512495861112</v>
      </c>
      <c r="R7" s="316" t="s">
        <v>589</v>
      </c>
      <c r="S7" s="270">
        <f ca="1">Q7*Calcs!$N$23/Calcs!$N$20</f>
        <v>26.15601171808683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3.5887344397806937E-4</v>
      </c>
      <c r="C8" s="269">
        <f ca="1">(Calcs!D561+Calcs!G561)/Calcs!$C$2/Calcs!$N$22</f>
        <v>0.67627274204667331</v>
      </c>
      <c r="D8" s="269">
        <f>Calcs!J51/Calcs!$C$2/Calcs!$N$22</f>
        <v>2.2882191780821914</v>
      </c>
      <c r="E8" s="269">
        <f>Calcs!Q51</f>
        <v>0.12456814412128731</v>
      </c>
      <c r="F8" s="269">
        <f ca="1">Calcs!L427</f>
        <v>0.46051384997897865</v>
      </c>
      <c r="G8" s="269">
        <f ca="1">Calcs!K704/Calcs!$C$2/Calcs!$N$22</f>
        <v>0.35639509365937533</v>
      </c>
      <c r="H8" s="269">
        <f t="shared" si="1"/>
        <v>2.6206285714285715</v>
      </c>
      <c r="I8" s="269">
        <f ca="1">Calcs!M734/Calcs!$C$2</f>
        <v>0.25609679392955453</v>
      </c>
      <c r="J8" s="269">
        <f>Calcs!AR769/Calcs!$C$2/Calcs!$N$22</f>
        <v>0</v>
      </c>
      <c r="K8" s="269">
        <f t="shared" ca="1" si="0"/>
        <v>6.7830532466906099</v>
      </c>
      <c r="L8" s="379">
        <f ca="1">K8*Inputs!$C$11</f>
        <v>314193.94309960515</v>
      </c>
      <c r="O8" s="320" t="s">
        <v>609</v>
      </c>
      <c r="P8" s="320"/>
      <c r="Q8" s="270">
        <f ca="1">K51</f>
        <v>1.4961591265337995</v>
      </c>
      <c r="R8" s="316" t="s">
        <v>589</v>
      </c>
      <c r="S8" s="270">
        <f ca="1">Q8*Calcs!$N$23/Calcs!$N$20</f>
        <v>0.47427994545250407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3.6669853714561344E-7</v>
      </c>
      <c r="C9" s="269">
        <f ca="1">(Calcs!D562+Calcs!G562)/Calcs!$C$2/Calcs!$N$22</f>
        <v>1.0029440711661133</v>
      </c>
      <c r="D9" s="269">
        <f>Calcs!J52/Calcs!$C$2/Calcs!$N$22</f>
        <v>2.3644931506849316</v>
      </c>
      <c r="E9" s="269">
        <f>Calcs!Q52</f>
        <v>0.12872041559199687</v>
      </c>
      <c r="F9" s="269">
        <f ca="1">Calcs!L428</f>
        <v>0.65599156355730603</v>
      </c>
      <c r="G9" s="269">
        <f ca="1">Calcs!K705/Calcs!$C$2/Calcs!$N$22</f>
        <v>0.52851882997896993</v>
      </c>
      <c r="H9" s="269">
        <f t="shared" si="1"/>
        <v>2.707982857142857</v>
      </c>
      <c r="I9" s="269">
        <f ca="1">Calcs!M735/Calcs!$C$2</f>
        <v>0.26463335372720637</v>
      </c>
      <c r="J9" s="269">
        <f>Calcs!AR770/Calcs!$C$2/Calcs!$N$22</f>
        <v>0</v>
      </c>
      <c r="K9" s="269">
        <f t="shared" ca="1" si="0"/>
        <v>7.653284608547918</v>
      </c>
      <c r="L9" s="379">
        <f ca="1">K9*Inputs!$C$11</f>
        <v>354503.43398032122</v>
      </c>
      <c r="O9" s="320" t="s">
        <v>610</v>
      </c>
      <c r="P9" s="320"/>
      <c r="Q9" s="270">
        <f ca="1">K17</f>
        <v>84.007671622394909</v>
      </c>
      <c r="R9" s="316" t="s">
        <v>589</v>
      </c>
      <c r="S9" s="270">
        <f ca="1">Q9*Calcs!$N$23/Calcs!$N$20</f>
        <v>26.630291663539332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1.2114481086316031</v>
      </c>
      <c r="D10" s="269">
        <f>Calcs!J53/Calcs!$C$2/Calcs!$N$22</f>
        <v>2.2882191780821914</v>
      </c>
      <c r="E10" s="269">
        <f>Calcs!Q53</f>
        <v>0.12456814412128731</v>
      </c>
      <c r="F10" s="269">
        <f ca="1">Calcs!L429</f>
        <v>0.76034608052684804</v>
      </c>
      <c r="G10" s="269">
        <f ca="1">Calcs!K706/Calcs!$C$2/Calcs!$N$22</f>
        <v>0.63839363414881434</v>
      </c>
      <c r="H10" s="269">
        <f t="shared" si="1"/>
        <v>2.6206285714285715</v>
      </c>
      <c r="I10" s="269">
        <f ca="1">Calcs!M736/Calcs!$C$2</f>
        <v>0.25609679392955453</v>
      </c>
      <c r="J10" s="269">
        <f>Calcs!AR771/Calcs!$C$2/Calcs!$N$22</f>
        <v>0</v>
      </c>
      <c r="K10" s="269">
        <f t="shared" ca="1" si="0"/>
        <v>7.89970051086887</v>
      </c>
      <c r="L10" s="379">
        <f ca="1">K10*Inputs!$C$11</f>
        <v>365917.52453466575</v>
      </c>
      <c r="O10" s="314" t="s">
        <v>686</v>
      </c>
      <c r="P10" s="314"/>
      <c r="Q10" s="270">
        <f ca="1">Q20/Inputs!C11*1000</f>
        <v>279.28504531474755</v>
      </c>
      <c r="R10" s="312" t="s">
        <v>589</v>
      </c>
      <c r="S10" s="270">
        <f ca="1">Q10*Calcs!$N$23/Calcs!$N$20</f>
        <v>88.532893131796314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1.3772919959142544</v>
      </c>
      <c r="D11" s="269">
        <f>Calcs!J54/Calcs!$C$2/Calcs!$N$22</f>
        <v>2.3644931506849316</v>
      </c>
      <c r="E11" s="269">
        <f>Calcs!Q54</f>
        <v>0.12872041559199687</v>
      </c>
      <c r="F11" s="269">
        <f ca="1">Calcs!L430</f>
        <v>0.85347213613498152</v>
      </c>
      <c r="G11" s="269">
        <f ca="1">Calcs!K707/Calcs!$C$2/Calcs!$N$22</f>
        <v>0.72578795269154428</v>
      </c>
      <c r="H11" s="269">
        <f t="shared" si="1"/>
        <v>2.707982857142857</v>
      </c>
      <c r="I11" s="269">
        <f ca="1">Calcs!M737/Calcs!$C$2</f>
        <v>0.26463335372720637</v>
      </c>
      <c r="J11" s="269">
        <f>Calcs!AR772/Calcs!$C$2/Calcs!$N$22</f>
        <v>0</v>
      </c>
      <c r="K11" s="269">
        <f t="shared" ca="1" si="0"/>
        <v>8.4223818618877715</v>
      </c>
      <c r="L11" s="379">
        <f ca="1">K11*Inputs!$C$11</f>
        <v>390128.34946684219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1.239128404202408</v>
      </c>
      <c r="D12" s="269">
        <f>Calcs!J55/Calcs!$C$2/Calcs!$N$22</f>
        <v>2.3644931506849316</v>
      </c>
      <c r="E12" s="269">
        <f>Calcs!Q55</f>
        <v>0.12872041559199687</v>
      </c>
      <c r="F12" s="269">
        <f ca="1">Calcs!L431</f>
        <v>0.77775359872904071</v>
      </c>
      <c r="G12" s="269">
        <f ca="1">Calcs!K708/Calcs!$C$2/Calcs!$N$22</f>
        <v>0.65298024694539525</v>
      </c>
      <c r="H12" s="269">
        <f t="shared" si="1"/>
        <v>2.707982857142857</v>
      </c>
      <c r="I12" s="269">
        <f ca="1">Calcs!M738/Calcs!$C$2</f>
        <v>0.26463335372720637</v>
      </c>
      <c r="J12" s="269">
        <f>Calcs!AR773/Calcs!$C$2/Calcs!$N$22</f>
        <v>0</v>
      </c>
      <c r="K12" s="269">
        <f t="shared" ca="1" si="0"/>
        <v>8.1356920270238344</v>
      </c>
      <c r="L12" s="379">
        <f ca="1">K12*Inputs!$C$11</f>
        <v>376848.75303931563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6.1765418686687247E-10</v>
      </c>
      <c r="C13" s="269">
        <f ca="1">(Calcs!D566+Calcs!G566)/Calcs!$C$2/Calcs!$N$22</f>
        <v>1.0225470165673174</v>
      </c>
      <c r="D13" s="269">
        <f>Calcs!J56/Calcs!$C$2/Calcs!$N$22</f>
        <v>2.2882191780821914</v>
      </c>
      <c r="E13" s="269">
        <f>Calcs!Q56</f>
        <v>0.12456814412128731</v>
      </c>
      <c r="F13" s="269">
        <f ca="1">Calcs!L432</f>
        <v>0.65828918761721211</v>
      </c>
      <c r="G13" s="269">
        <f ca="1">Calcs!K709/Calcs!$C$2/Calcs!$N$22</f>
        <v>0.53884892088069458</v>
      </c>
      <c r="H13" s="269">
        <f t="shared" si="1"/>
        <v>2.6206285714285715</v>
      </c>
      <c r="I13" s="269">
        <f ca="1">Calcs!M739/Calcs!$C$2</f>
        <v>0.25609679392955453</v>
      </c>
      <c r="J13" s="269">
        <f>Calcs!AR774/Calcs!$C$2/Calcs!$N$22</f>
        <v>0</v>
      </c>
      <c r="K13" s="269">
        <f t="shared" ca="1" si="0"/>
        <v>7.5091978132444837</v>
      </c>
      <c r="L13" s="379">
        <f ca="1">K13*Inputs!$C$11</f>
        <v>347829.27166454418</v>
      </c>
      <c r="O13" s="320" t="s">
        <v>619</v>
      </c>
      <c r="P13" s="313"/>
      <c r="Q13" s="285">
        <f ca="1">Q7*Inputs!C11/1000</f>
        <v>3821.96873875866</v>
      </c>
      <c r="R13" s="312" t="s">
        <v>685</v>
      </c>
      <c r="S13" s="270">
        <f ca="1">Q13</f>
        <v>3821.96873875866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1.9449135994565591E-4</v>
      </c>
      <c r="C14" s="269">
        <f ca="1">(Calcs!D567+Calcs!G567)/Calcs!$C$2/Calcs!$N$22</f>
        <v>0.69853294105222097</v>
      </c>
      <c r="D14" s="269">
        <f>Calcs!J57/Calcs!$C$2/Calcs!$N$22</f>
        <v>2.3644931506849316</v>
      </c>
      <c r="E14" s="269">
        <f>Calcs!Q57</f>
        <v>0.12872041559199687</v>
      </c>
      <c r="F14" s="269">
        <f ca="1">Calcs!L433</f>
        <v>0.47565853901763894</v>
      </c>
      <c r="G14" s="269">
        <f ca="1">Calcs!K710/Calcs!$C$2/Calcs!$N$22</f>
        <v>0.36811568114794235</v>
      </c>
      <c r="H14" s="269">
        <f t="shared" si="1"/>
        <v>2.707982857142857</v>
      </c>
      <c r="I14" s="269">
        <f ca="1">Calcs!M740/Calcs!$C$2</f>
        <v>0.26463335372720637</v>
      </c>
      <c r="J14" s="269">
        <f>Calcs!AR775/Calcs!$C$2/Calcs!$N$22</f>
        <v>0</v>
      </c>
      <c r="K14" s="269">
        <f t="shared" ca="1" si="0"/>
        <v>7.0083314297247403</v>
      </c>
      <c r="L14" s="379">
        <f ca="1">K14*Inputs!$C$11</f>
        <v>324628.92540736473</v>
      </c>
      <c r="O14" s="314" t="s">
        <v>620</v>
      </c>
      <c r="P14" s="315"/>
      <c r="Q14" s="285">
        <f ca="1">Q8*Inputs!C11/1000</f>
        <v>69.302734089470007</v>
      </c>
      <c r="R14" s="312" t="s">
        <v>685</v>
      </c>
      <c r="S14" s="270">
        <f ca="1">Q14*Calcs!$N$23/1000*10</f>
        <v>2.3647074427627972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2.0458838399926245E-2</v>
      </c>
      <c r="C15" s="269">
        <f ca="1">(Calcs!D568+Calcs!G568)/Calcs!$C$2/Calcs!$N$22</f>
        <v>0.32174136795176594</v>
      </c>
      <c r="D15" s="269">
        <f>Calcs!J58/Calcs!$C$2/Calcs!$N$22</f>
        <v>2.2882191780821914</v>
      </c>
      <c r="E15" s="269">
        <f>Calcs!Q58</f>
        <v>0.12456814412128731</v>
      </c>
      <c r="F15" s="269">
        <f ca="1">Calcs!L434</f>
        <v>0.22050469984124088</v>
      </c>
      <c r="G15" s="269">
        <f ca="1">Calcs!K711/Calcs!$C$2/Calcs!$N$22</f>
        <v>0.17076830154316425</v>
      </c>
      <c r="H15" s="269">
        <f t="shared" si="1"/>
        <v>2.6206285714285715</v>
      </c>
      <c r="I15" s="269">
        <f ca="1">Calcs!M741/Calcs!$C$2</f>
        <v>0.25609679392955453</v>
      </c>
      <c r="J15" s="269">
        <f>Calcs!AR776/Calcs!$C$2/Calcs!$N$22</f>
        <v>0</v>
      </c>
      <c r="K15" s="269">
        <f t="shared" ca="1" si="0"/>
        <v>6.0229858952977029</v>
      </c>
      <c r="L15" s="379">
        <f ca="1">K15*Inputs!$C$11</f>
        <v>278987.29655412456</v>
      </c>
      <c r="O15" s="314" t="s">
        <v>621</v>
      </c>
      <c r="P15" s="321"/>
      <c r="Q15" s="285">
        <f ca="1">Q9*Inputs!C11/1000</f>
        <v>3891.2714728481301</v>
      </c>
      <c r="R15" s="312" t="s">
        <v>685</v>
      </c>
      <c r="S15" s="270">
        <f ca="1">Q15*Calcs!$N$23/1000</f>
        <v>13.277569398308417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0.55668732508376728</v>
      </c>
      <c r="C16" s="269">
        <f ca="1">(Calcs!D569+Calcs!G569)/Calcs!$C$2/Calcs!$N$22</f>
        <v>8.1887882604962367E-2</v>
      </c>
      <c r="D16" s="269">
        <f>Calcs!J59/Calcs!$C$2/Calcs!$N$22</f>
        <v>2.3644931506849316</v>
      </c>
      <c r="E16" s="269">
        <f>Calcs!Q59</f>
        <v>0.12872041559199687</v>
      </c>
      <c r="F16" s="269">
        <f ca="1">Calcs!L435</f>
        <v>0.11929688168142775</v>
      </c>
      <c r="G16" s="269">
        <f ca="1">Calcs!K712/Calcs!$C$2/Calcs!$N$22</f>
        <v>7.6378411751114511E-2</v>
      </c>
      <c r="H16" s="269">
        <f t="shared" si="1"/>
        <v>2.707982857142857</v>
      </c>
      <c r="I16" s="269">
        <f ca="1">Calcs!M742/Calcs!$C$2</f>
        <v>0.26463335372720637</v>
      </c>
      <c r="J16" s="269">
        <f>Calcs!AR777/Calcs!$C$2/Calcs!$N$22</f>
        <v>0</v>
      </c>
      <c r="K16" s="269">
        <f t="shared" ca="1" si="0"/>
        <v>6.3000802782682639</v>
      </c>
      <c r="L16" s="379">
        <f ca="1">K16*Inputs!$C$11</f>
        <v>291822.42752390564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1.4961591265337995</v>
      </c>
      <c r="C17" s="271">
        <f ca="1">SUM(C5:C16)</f>
        <v>8.2409294203621322</v>
      </c>
      <c r="D17" s="271">
        <f>SUM(D5:D16)</f>
        <v>27.84</v>
      </c>
      <c r="E17" s="271">
        <f t="shared" ref="E17:H17" si="2">SUM(E5:E16)</f>
        <v>1.5155790868089953</v>
      </c>
      <c r="F17" s="271">
        <f ca="1">SUM(F5:F16)</f>
        <v>5.4828453768327785</v>
      </c>
      <c r="G17" s="271">
        <f ca="1">SUM(G5:G16)</f>
        <v>4.4319999999999995</v>
      </c>
      <c r="H17" s="271">
        <f t="shared" si="2"/>
        <v>31.884314285714282</v>
      </c>
      <c r="I17" s="271">
        <f ca="1">SUM(I5:I16)</f>
        <v>3.1158443261429136</v>
      </c>
      <c r="J17" s="271">
        <f>SUM(J5:J16)</f>
        <v>0</v>
      </c>
      <c r="K17" s="272">
        <f ca="1">SUM(K5:K16)</f>
        <v>84.007671622394909</v>
      </c>
      <c r="L17" s="383">
        <f ca="1">K17*Inputs!$C$11</f>
        <v>3891271.4728481299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12860.924805922892</v>
      </c>
      <c r="R18" s="312" t="s">
        <v>685</v>
      </c>
      <c r="S18" s="323">
        <f ca="1">Q18*Calcs!$N$23/1000</f>
        <v>43.883296970818144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75.67858562570126</v>
      </c>
      <c r="R19" s="312" t="s">
        <v>685</v>
      </c>
      <c r="S19" s="323">
        <f ca="1">Q19*Calcs!$N$23/1000</f>
        <v>0.25822605274969751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12936.603391548593</v>
      </c>
      <c r="R20" s="312" t="s">
        <v>685</v>
      </c>
      <c r="S20" s="270">
        <f ca="1">Q20*Calcs!$N$23/1000</f>
        <v>44.141523023567842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7.6815715396791301E-2</v>
      </c>
      <c r="D22" s="269">
        <f t="shared" ref="D22:D33" si="3">D5</f>
        <v>2.3644931506849316</v>
      </c>
      <c r="E22" s="269">
        <f t="shared" ref="E22" si="4">E5</f>
        <v>0.12872041559199687</v>
      </c>
      <c r="F22" s="269">
        <f t="shared" ref="F22:G33" ca="1" si="5">F5</f>
        <v>0.11929688168142775</v>
      </c>
      <c r="G22" s="269">
        <f t="shared" ca="1" si="5"/>
        <v>7.9239877527494298E-2</v>
      </c>
      <c r="H22" s="269">
        <f>Calcs!H747</f>
        <v>2.707982857142857</v>
      </c>
      <c r="I22" s="269">
        <f ca="1">IF(Inputs!$C$66=2,0,Outputs!I5)</f>
        <v>0.26463335372720637</v>
      </c>
      <c r="J22" s="269">
        <f t="shared" ref="J22:J33" si="6">J5</f>
        <v>0</v>
      </c>
      <c r="K22" s="381">
        <f t="shared" ref="K22:K33" ca="1" si="7">SUM(B22:I22)-J22</f>
        <v>5.7411822517527051</v>
      </c>
      <c r="L22" s="379">
        <f ca="1">K22*Inputs!$C$11</f>
        <v>265934.03060955356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0.13185828342530606</v>
      </c>
      <c r="D23" s="269">
        <f t="shared" si="3"/>
        <v>2.1356712328767125</v>
      </c>
      <c r="E23" s="269">
        <f t="shared" ref="E23:E33" si="8">E6</f>
        <v>0.11626360117986816</v>
      </c>
      <c r="F23" s="269">
        <f t="shared" ca="1" si="5"/>
        <v>0.10775202216387024</v>
      </c>
      <c r="G23" s="269">
        <f t="shared" ca="1" si="5"/>
        <v>8.4450381341955399E-2</v>
      </c>
      <c r="H23" s="269">
        <f>Calcs!H748</f>
        <v>2.4459200000000001</v>
      </c>
      <c r="I23" s="269">
        <f ca="1">IF(Inputs!$C$66=2,0,Outputs!I6)</f>
        <v>0.23902367433425087</v>
      </c>
      <c r="J23" s="269">
        <f t="shared" si="6"/>
        <v>0</v>
      </c>
      <c r="K23" s="381">
        <f t="shared" ca="1" si="7"/>
        <v>5.2609391953219635</v>
      </c>
      <c r="L23" s="379">
        <f ca="1">K23*Inputs!$C$11</f>
        <v>243688.96573116735</v>
      </c>
      <c r="O23" s="313" t="s">
        <v>616</v>
      </c>
      <c r="P23" s="313"/>
      <c r="Q23" s="270">
        <f ca="1">Calcs!U9*$Q$13+SUM(Calcs!T15:U15)*$Q$14</f>
        <v>2322.6968879341712</v>
      </c>
      <c r="R23" s="312" t="s">
        <v>622</v>
      </c>
      <c r="S23" s="270">
        <f ca="1">Q23</f>
        <v>2322.6968879341712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0.40046089140271585</v>
      </c>
      <c r="D24" s="269">
        <f t="shared" si="3"/>
        <v>2.3644931506849316</v>
      </c>
      <c r="E24" s="269">
        <f t="shared" si="8"/>
        <v>0.12872041559199687</v>
      </c>
      <c r="F24" s="269">
        <f t="shared" ca="1" si="5"/>
        <v>0.27396993590280627</v>
      </c>
      <c r="G24" s="269">
        <f t="shared" ca="1" si="5"/>
        <v>0.21212266838353522</v>
      </c>
      <c r="H24" s="269">
        <f>Calcs!H749</f>
        <v>2.707982857142857</v>
      </c>
      <c r="I24" s="269">
        <f ca="1">IF(Inputs!$C$66=2,0,Outputs!I7)</f>
        <v>0.26463335372720637</v>
      </c>
      <c r="J24" s="269">
        <f t="shared" si="6"/>
        <v>0</v>
      </c>
      <c r="K24" s="381">
        <f t="shared" ca="1" si="7"/>
        <v>6.3523832728360494</v>
      </c>
      <c r="L24" s="379">
        <f ca="1">K24*Inputs!$C$11</f>
        <v>294245.12472257315</v>
      </c>
      <c r="O24" s="313" t="s">
        <v>617</v>
      </c>
      <c r="P24" s="313"/>
      <c r="Q24" s="285">
        <f ca="1">Calcs!U10*$Q$13+SUM(Calcs!T16:U16)*$Q$14</f>
        <v>4.2941432473240919</v>
      </c>
      <c r="R24" s="312" t="s">
        <v>622</v>
      </c>
      <c r="S24" s="285">
        <f t="shared" ref="S24:S25" ca="1" si="9">Q24</f>
        <v>4.2941432473240919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0.67627274204667331</v>
      </c>
      <c r="D25" s="269">
        <f t="shared" si="3"/>
        <v>2.2882191780821914</v>
      </c>
      <c r="E25" s="269">
        <f t="shared" si="8"/>
        <v>0.12456814412128731</v>
      </c>
      <c r="F25" s="269">
        <f t="shared" ca="1" si="5"/>
        <v>0.46051384997897865</v>
      </c>
      <c r="G25" s="269">
        <f t="shared" ca="1" si="5"/>
        <v>0.35639509365937533</v>
      </c>
      <c r="H25" s="269">
        <f>Calcs!H750</f>
        <v>2.6206285714285715</v>
      </c>
      <c r="I25" s="269">
        <f ca="1">IF(Inputs!$C$66=2,0,Outputs!I8)</f>
        <v>0.25609679392955453</v>
      </c>
      <c r="J25" s="269">
        <f t="shared" si="6"/>
        <v>0</v>
      </c>
      <c r="K25" s="381">
        <f t="shared" ca="1" si="7"/>
        <v>6.782694373246632</v>
      </c>
      <c r="L25" s="379">
        <f ca="1">K25*Inputs!$C$11</f>
        <v>314177.31992736447</v>
      </c>
      <c r="O25" s="313" t="s">
        <v>618</v>
      </c>
      <c r="P25" s="313"/>
      <c r="Q25" s="285">
        <f ca="1">Calcs!U11*$Q$13+SUM(Calcs!T17:U17)*$Q$14</f>
        <v>8.3848025270192892</v>
      </c>
      <c r="R25" s="312" t="s">
        <v>622</v>
      </c>
      <c r="S25" s="285">
        <f t="shared" ca="1" si="9"/>
        <v>8.3848025270192892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1.0029440711661133</v>
      </c>
      <c r="D26" s="269">
        <f t="shared" si="3"/>
        <v>2.3644931506849316</v>
      </c>
      <c r="E26" s="269">
        <f t="shared" si="8"/>
        <v>0.12872041559199687</v>
      </c>
      <c r="F26" s="269">
        <f t="shared" ca="1" si="5"/>
        <v>0.65599156355730603</v>
      </c>
      <c r="G26" s="269">
        <f t="shared" ca="1" si="5"/>
        <v>0.52851882997896993</v>
      </c>
      <c r="H26" s="269">
        <f>Calcs!H751</f>
        <v>2.707982857142857</v>
      </c>
      <c r="I26" s="269">
        <f ca="1">IF(Inputs!$C$66=2,0,Outputs!I9)</f>
        <v>0.26463335372720637</v>
      </c>
      <c r="J26" s="269">
        <f t="shared" si="6"/>
        <v>0</v>
      </c>
      <c r="K26" s="381">
        <f t="shared" ca="1" si="7"/>
        <v>7.6532842418493816</v>
      </c>
      <c r="L26" s="379">
        <f ca="1">K26*Inputs!$C$11</f>
        <v>354503.41699468734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1.2114481086316031</v>
      </c>
      <c r="D27" s="269">
        <f t="shared" si="3"/>
        <v>2.2882191780821914</v>
      </c>
      <c r="E27" s="269">
        <f t="shared" si="8"/>
        <v>0.12456814412128731</v>
      </c>
      <c r="F27" s="269">
        <f t="shared" ca="1" si="5"/>
        <v>0.76034608052684804</v>
      </c>
      <c r="G27" s="269">
        <f t="shared" ca="1" si="5"/>
        <v>0.63839363414881434</v>
      </c>
      <c r="H27" s="269">
        <f>Calcs!H752</f>
        <v>2.6206285714285715</v>
      </c>
      <c r="I27" s="269">
        <f ca="1">IF(Inputs!$C$66=2,0,Outputs!I10)</f>
        <v>0.25609679392955453</v>
      </c>
      <c r="J27" s="269">
        <f t="shared" si="6"/>
        <v>0</v>
      </c>
      <c r="K27" s="381">
        <f t="shared" ca="1" si="7"/>
        <v>7.89970051086887</v>
      </c>
      <c r="L27" s="379">
        <f ca="1">K27*Inputs!$C$11</f>
        <v>365917.52453466575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1.3772919959142544</v>
      </c>
      <c r="D28" s="269">
        <f t="shared" si="3"/>
        <v>2.3644931506849316</v>
      </c>
      <c r="E28" s="269">
        <f t="shared" si="8"/>
        <v>0.12872041559199687</v>
      </c>
      <c r="F28" s="269">
        <f t="shared" ca="1" si="5"/>
        <v>0.85347213613498152</v>
      </c>
      <c r="G28" s="269">
        <f t="shared" ca="1" si="5"/>
        <v>0.72578795269154428</v>
      </c>
      <c r="H28" s="269">
        <f>Calcs!H753</f>
        <v>2.707982857142857</v>
      </c>
      <c r="I28" s="269">
        <f ca="1">IF(Inputs!$C$66=2,0,Outputs!I11)</f>
        <v>0.26463335372720637</v>
      </c>
      <c r="J28" s="269">
        <f t="shared" si="6"/>
        <v>0</v>
      </c>
      <c r="K28" s="381">
        <f t="shared" ca="1" si="7"/>
        <v>8.4223818618877715</v>
      </c>
      <c r="L28" s="379">
        <f ca="1">K28*Inputs!$C$11</f>
        <v>390128.34946684219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1.239128404202408</v>
      </c>
      <c r="D29" s="269">
        <f t="shared" si="3"/>
        <v>2.3644931506849316</v>
      </c>
      <c r="E29" s="269">
        <f t="shared" si="8"/>
        <v>0.12872041559199687</v>
      </c>
      <c r="F29" s="269">
        <f t="shared" ca="1" si="5"/>
        <v>0.77775359872904071</v>
      </c>
      <c r="G29" s="269">
        <f t="shared" ca="1" si="5"/>
        <v>0.65298024694539525</v>
      </c>
      <c r="H29" s="269">
        <f>Calcs!H754</f>
        <v>2.707982857142857</v>
      </c>
      <c r="I29" s="269">
        <f ca="1">IF(Inputs!$C$66=2,0,Outputs!I12)</f>
        <v>0.26463335372720637</v>
      </c>
      <c r="J29" s="269">
        <f t="shared" si="6"/>
        <v>0</v>
      </c>
      <c r="K29" s="381">
        <f t="shared" ca="1" si="7"/>
        <v>8.1356920270238344</v>
      </c>
      <c r="L29" s="379">
        <f ca="1">K29*Inputs!$C$11</f>
        <v>376848.75303931563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1.0225470165673174</v>
      </c>
      <c r="D30" s="269">
        <f t="shared" si="3"/>
        <v>2.2882191780821914</v>
      </c>
      <c r="E30" s="269">
        <f t="shared" si="8"/>
        <v>0.12456814412128731</v>
      </c>
      <c r="F30" s="269">
        <f t="shared" ca="1" si="5"/>
        <v>0.65828918761721211</v>
      </c>
      <c r="G30" s="269">
        <f t="shared" ca="1" si="5"/>
        <v>0.53884892088069458</v>
      </c>
      <c r="H30" s="269">
        <f>Calcs!H755</f>
        <v>2.6206285714285715</v>
      </c>
      <c r="I30" s="269">
        <f ca="1">IF(Inputs!$C$66=2,0,Outputs!I13)</f>
        <v>0.25609679392955453</v>
      </c>
      <c r="J30" s="269">
        <f t="shared" si="6"/>
        <v>0</v>
      </c>
      <c r="K30" s="381">
        <f t="shared" ca="1" si="7"/>
        <v>7.5091978126268302</v>
      </c>
      <c r="L30" s="379">
        <f ca="1">K30*Inputs!$C$11</f>
        <v>347829.27163593419</v>
      </c>
      <c r="O30" s="313" t="s">
        <v>696</v>
      </c>
      <c r="P30" s="313"/>
      <c r="Q30" s="325">
        <f>Calcs!C821</f>
        <v>582.44196325634186</v>
      </c>
      <c r="R30" s="312" t="s">
        <v>589</v>
      </c>
      <c r="S30" s="325">
        <f>Q30*Calcs!$N$23/Calcs!$N$20</f>
        <v>184.63313003506696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0.69853294105222097</v>
      </c>
      <c r="D31" s="269">
        <f t="shared" si="3"/>
        <v>2.3644931506849316</v>
      </c>
      <c r="E31" s="269">
        <f t="shared" si="8"/>
        <v>0.12872041559199687</v>
      </c>
      <c r="F31" s="269">
        <f t="shared" ca="1" si="5"/>
        <v>0.47565853901763894</v>
      </c>
      <c r="G31" s="269">
        <f t="shared" ca="1" si="5"/>
        <v>0.36811568114794235</v>
      </c>
      <c r="H31" s="269">
        <f>Calcs!H756</f>
        <v>2.707982857142857</v>
      </c>
      <c r="I31" s="269">
        <f ca="1">IF(Inputs!$C$66=2,0,Outputs!I14)</f>
        <v>0.26463335372720637</v>
      </c>
      <c r="J31" s="269">
        <f t="shared" si="6"/>
        <v>0</v>
      </c>
      <c r="K31" s="381">
        <f t="shared" ca="1" si="7"/>
        <v>7.0081369383647951</v>
      </c>
      <c r="L31" s="379">
        <f ca="1">K31*Inputs!$C$11</f>
        <v>324619.91648394079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0.32174136795176594</v>
      </c>
      <c r="D32" s="269">
        <f t="shared" si="3"/>
        <v>2.2882191780821914</v>
      </c>
      <c r="E32" s="269">
        <f t="shared" si="8"/>
        <v>0.12456814412128731</v>
      </c>
      <c r="F32" s="269">
        <f t="shared" ca="1" si="5"/>
        <v>0.22050469984124088</v>
      </c>
      <c r="G32" s="269">
        <f t="shared" ca="1" si="5"/>
        <v>0.17076830154316425</v>
      </c>
      <c r="H32" s="269">
        <f>Calcs!H757</f>
        <v>2.6206285714285715</v>
      </c>
      <c r="I32" s="269">
        <f ca="1">IF(Inputs!$C$66=2,0,Outputs!I15)</f>
        <v>0.25609679392955453</v>
      </c>
      <c r="J32" s="269">
        <f t="shared" si="6"/>
        <v>0</v>
      </c>
      <c r="K32" s="381">
        <f t="shared" ca="1" si="7"/>
        <v>6.002527056897776</v>
      </c>
      <c r="L32" s="379">
        <f ca="1">K32*Inputs!$C$11</f>
        <v>278039.63436213945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8.1887882604962367E-2</v>
      </c>
      <c r="D33" s="269">
        <f t="shared" si="3"/>
        <v>2.3644931506849316</v>
      </c>
      <c r="E33" s="269">
        <f t="shared" si="8"/>
        <v>0.12872041559199687</v>
      </c>
      <c r="F33" s="269">
        <f t="shared" ca="1" si="5"/>
        <v>0.11929688168142775</v>
      </c>
      <c r="G33" s="269">
        <f t="shared" ca="1" si="5"/>
        <v>7.6378411751114511E-2</v>
      </c>
      <c r="H33" s="269">
        <f>Calcs!H758</f>
        <v>2.707982857142857</v>
      </c>
      <c r="I33" s="269">
        <f ca="1">IF(Inputs!$C$66=2,0,Outputs!I16)</f>
        <v>0.26463335372720637</v>
      </c>
      <c r="J33" s="269">
        <f t="shared" si="6"/>
        <v>0</v>
      </c>
      <c r="K33" s="381">
        <f t="shared" ca="1" si="7"/>
        <v>5.7433929531844967</v>
      </c>
      <c r="L33" s="379">
        <f ca="1">K33*Inputs!$C$11</f>
        <v>266036.43125047575</v>
      </c>
      <c r="O33" s="314" t="s">
        <v>693</v>
      </c>
      <c r="P33" s="313"/>
      <c r="Q33" s="285">
        <f ca="1">Q6/Q28</f>
        <v>0.47329051667256716</v>
      </c>
      <c r="R33" s="313"/>
      <c r="S33" s="285">
        <f ca="1">Q33</f>
        <v>0.47329051667256716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8.2409294203621322</v>
      </c>
      <c r="D34" s="272">
        <f>SUM(D22:D33)</f>
        <v>27.84</v>
      </c>
      <c r="E34" s="272">
        <f t="shared" si="10"/>
        <v>1.5155790868089953</v>
      </c>
      <c r="F34" s="272">
        <f ca="1">SUM(F22:F33)</f>
        <v>5.4828453768327785</v>
      </c>
      <c r="G34" s="272">
        <f ca="1">SUM(G22:G33)</f>
        <v>4.4319999999999995</v>
      </c>
      <c r="H34" s="272">
        <f t="shared" si="10"/>
        <v>31.884314285714282</v>
      </c>
      <c r="I34" s="272">
        <f t="shared" ca="1" si="10"/>
        <v>3.1158443261429136</v>
      </c>
      <c r="J34" s="272">
        <f>SUM(J22:J33)</f>
        <v>0</v>
      </c>
      <c r="K34" s="382">
        <f ca="1">SUM(K22:K33)</f>
        <v>82.511512495861112</v>
      </c>
      <c r="L34" s="383">
        <f ca="1">K34*Inputs!$C$11</f>
        <v>3821968.7387586599</v>
      </c>
      <c r="O34" s="314" t="s">
        <v>691</v>
      </c>
      <c r="P34" s="313"/>
      <c r="Q34" s="285">
        <f ca="1">Q9/Q29</f>
        <v>0.42003835811197454</v>
      </c>
      <c r="R34" s="313"/>
      <c r="S34" s="285">
        <f t="shared" ref="S34:S35" ca="1" si="11">Q34</f>
        <v>0.42003835811197454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0.47950708041932377</v>
      </c>
      <c r="R35" s="313"/>
      <c r="S35" s="285">
        <f t="shared" ca="1" si="11"/>
        <v>0.47950708041932377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0.64941221090651524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</v>
      </c>
      <c r="J39" s="269"/>
      <c r="K39" s="381">
        <f t="shared" ref="K39:K50" ca="1" si="13">SUM(B39:I39)-J39</f>
        <v>0.64941221090651524</v>
      </c>
      <c r="L39" s="379">
        <f ca="1">K39*Inputs!$C$11</f>
        <v>30081.052856440478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0.25073701258168551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</v>
      </c>
      <c r="J40" s="269"/>
      <c r="K40" s="381">
        <f t="shared" ca="1" si="13"/>
        <v>0.25073701258168551</v>
      </c>
      <c r="L40" s="379">
        <f ca="1">K40*Inputs!$C$11</f>
        <v>11614.246239699083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1.8310007441790298E-2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</v>
      </c>
      <c r="J41" s="269"/>
      <c r="K41" s="381">
        <f t="shared" ca="1" si="13"/>
        <v>1.8310007441790298E-2</v>
      </c>
      <c r="L41" s="379">
        <f ca="1">K41*Inputs!$C$11</f>
        <v>848.12741800692663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3.5887344397806937E-4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</v>
      </c>
      <c r="J42" s="269"/>
      <c r="K42" s="381">
        <f t="shared" ca="1" si="13"/>
        <v>3.5887344397806937E-4</v>
      </c>
      <c r="L42" s="379">
        <f ca="1">K42*Inputs!$C$11</f>
        <v>16.623172240645083</v>
      </c>
    </row>
    <row r="43" spans="1:20" ht="13.5" customHeight="1" x14ac:dyDescent="0.2">
      <c r="A43" s="9" t="s">
        <v>118</v>
      </c>
      <c r="B43" s="269">
        <f ca="1">Calcs!F562/Calcs!$C$2/Calcs!$N$22</f>
        <v>3.6669853714561344E-7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</v>
      </c>
      <c r="J43" s="269"/>
      <c r="K43" s="381">
        <f t="shared" ca="1" si="13"/>
        <v>3.6669853714561344E-7</v>
      </c>
      <c r="L43" s="379">
        <f ca="1">K43*Inputs!$C$11</f>
        <v>1.6985633920955787E-2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</v>
      </c>
      <c r="J44" s="269"/>
      <c r="K44" s="381">
        <f t="shared" ca="1" si="13"/>
        <v>0</v>
      </c>
      <c r="L44" s="379">
        <f ca="1">K44*Inputs!$C$11</f>
        <v>0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</v>
      </c>
      <c r="J45" s="269"/>
      <c r="K45" s="381">
        <f t="shared" ca="1" si="13"/>
        <v>0</v>
      </c>
      <c r="L45" s="379">
        <f ca="1">K45*Inputs!$C$11</f>
        <v>0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</v>
      </c>
      <c r="J46" s="269"/>
      <c r="K46" s="381">
        <f t="shared" ca="1" si="13"/>
        <v>0</v>
      </c>
      <c r="L46" s="379">
        <f ca="1">K46*Inputs!$C$11</f>
        <v>0</v>
      </c>
    </row>
    <row r="47" spans="1:20" ht="13.5" customHeight="1" x14ac:dyDescent="0.2">
      <c r="A47" s="9" t="s">
        <v>122</v>
      </c>
      <c r="B47" s="269">
        <f ca="1">Calcs!F566/Calcs!$C$2/Calcs!$N$22</f>
        <v>6.1765418686687247E-10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</v>
      </c>
      <c r="J47" s="269"/>
      <c r="K47" s="381">
        <f t="shared" ca="1" si="13"/>
        <v>6.1765418686687247E-10</v>
      </c>
      <c r="L47" s="379">
        <f ca="1">K47*Inputs!$C$11</f>
        <v>2.8610007526973886E-5</v>
      </c>
    </row>
    <row r="48" spans="1:20" ht="13.5" customHeight="1" x14ac:dyDescent="0.2">
      <c r="A48" s="9" t="s">
        <v>123</v>
      </c>
      <c r="B48" s="269">
        <f ca="1">Calcs!F567/Calcs!$C$2/Calcs!$N$22</f>
        <v>1.9449135994565591E-4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</v>
      </c>
      <c r="J48" s="269"/>
      <c r="K48" s="381">
        <f t="shared" ca="1" si="13"/>
        <v>1.9449135994565591E-4</v>
      </c>
      <c r="L48" s="379">
        <f ca="1">K48*Inputs!$C$11</f>
        <v>9.0089234239675591</v>
      </c>
    </row>
    <row r="49" spans="1:12" ht="13.5" customHeight="1" x14ac:dyDescent="0.2">
      <c r="A49" s="9" t="s">
        <v>124</v>
      </c>
      <c r="B49" s="269">
        <f ca="1">Calcs!F568/Calcs!$C$2/Calcs!$N$22</f>
        <v>2.0458838399926245E-2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</v>
      </c>
      <c r="J49" s="269"/>
      <c r="K49" s="381">
        <f t="shared" ca="1" si="13"/>
        <v>2.0458838399926245E-2</v>
      </c>
      <c r="L49" s="379">
        <f ca="1">K49*Inputs!$C$11</f>
        <v>947.66219198509566</v>
      </c>
    </row>
    <row r="50" spans="1:12" ht="13.5" customHeight="1" x14ac:dyDescent="0.2">
      <c r="A50" s="9" t="s">
        <v>125</v>
      </c>
      <c r="B50" s="269">
        <f ca="1">Calcs!F569/Calcs!$C$2/Calcs!$N$22</f>
        <v>0.55668732508376728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</v>
      </c>
      <c r="J50" s="269"/>
      <c r="K50" s="381">
        <f t="shared" ca="1" si="13"/>
        <v>0.55668732508376728</v>
      </c>
      <c r="L50" s="379">
        <f ca="1">K50*Inputs!$C$11</f>
        <v>25785.996273429886</v>
      </c>
    </row>
    <row r="51" spans="1:12" ht="13.5" customHeight="1" x14ac:dyDescent="0.2">
      <c r="A51" s="9" t="s">
        <v>178</v>
      </c>
      <c r="B51" s="272">
        <f ca="1">SUM(B39:B50)</f>
        <v>1.4961591265337995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0</v>
      </c>
      <c r="J51" s="272">
        <f t="shared" si="14"/>
        <v>0</v>
      </c>
      <c r="K51" s="382">
        <f ca="1">SUM(K39:K50)</f>
        <v>1.4961591265337995</v>
      </c>
      <c r="L51" s="383">
        <f ca="1">K51*Inputs!$C$11</f>
        <v>69302.734089470003</v>
      </c>
    </row>
  </sheetData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46320.43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0.79714285714285715</v>
      </c>
      <c r="AB5" s="569">
        <f>O5*$F$18</f>
        <v>0.89279999999999993</v>
      </c>
      <c r="AC5" s="569">
        <f>O5*$G$18</f>
        <v>0.31885714285714284</v>
      </c>
      <c r="AD5" s="569">
        <f>O5*$H$18</f>
        <v>0.66959999999999997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-3.289032258064517</v>
      </c>
      <c r="CS5" s="584">
        <f t="shared" ref="CS5:CS16" ca="1" si="1">SUMPRODUCT($BP$19:$CM$19,AR5:BO5)/SUM($BP$19:$CM$19)</f>
        <v>-5.616328725038402</v>
      </c>
      <c r="CT5" s="510"/>
      <c r="CU5" s="584">
        <f t="shared" ref="CU5:CU16" ca="1" si="2">SUMPRODUCT($BP$18:$CM$18,BP5:CM5)/SUM($BP$18:$CM$18)</f>
        <v>176.39677419354837</v>
      </c>
      <c r="CV5" s="584">
        <f t="shared" ref="CV5:CV16" ca="1" si="3">SUMPRODUCT($BP$19:$CM$19,BP5:CM5)/SUM($BP$19:$CM$19)</f>
        <v>0</v>
      </c>
      <c r="CW5" s="584">
        <f t="shared" ref="CW5:CW16" ca="1" si="4">$CU5*AA5</f>
        <v>140.61342857142856</v>
      </c>
      <c r="CX5" s="584">
        <f t="shared" ref="CX5:CX16" ca="1" si="5">$CV5*AB5</f>
        <v>0</v>
      </c>
      <c r="CY5" s="584">
        <f t="shared" ref="CY5:CY16" ca="1" si="6">$CU5*AC5</f>
        <v>56.245371428571417</v>
      </c>
      <c r="CZ5" s="584">
        <f t="shared" ref="CZ5:CZ16" ca="1" si="7">$CV5*AD5</f>
        <v>0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0.7142857142857143</v>
      </c>
      <c r="DD5" s="569">
        <f t="shared" ref="DD5:DD16" ca="1" si="10">CX5/$DA5</f>
        <v>0</v>
      </c>
      <c r="DE5" s="569">
        <f t="shared" ref="DE5:DE16" ca="1" si="11">CY5/$DA5</f>
        <v>0.2857142857142857</v>
      </c>
      <c r="DF5" s="569">
        <f t="shared" ref="DF5:DF16" ca="1" si="12">CZ5/$DA5</f>
        <v>0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8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0.72</v>
      </c>
      <c r="AB6" s="569">
        <f t="shared" ref="AB6:AB16" si="14">O6*$F$18</f>
        <v>0.80640000000000001</v>
      </c>
      <c r="AC6" s="569">
        <f t="shared" ref="AC6:AC16" si="15">O6*$G$18</f>
        <v>0.28799999999999998</v>
      </c>
      <c r="AD6" s="569">
        <f t="shared" ref="AD6:AD16" si="16">O6*$H$18</f>
        <v>0.6048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-1.0332142857142856</v>
      </c>
      <c r="CS6" s="584">
        <f t="shared" ca="1" si="1"/>
        <v>-3.5977040816326533</v>
      </c>
      <c r="CT6" s="510"/>
      <c r="CU6" s="584">
        <f t="shared" ca="1" si="2"/>
        <v>248.26785714285717</v>
      </c>
      <c r="CV6" s="584">
        <f t="shared" ca="1" si="3"/>
        <v>0.76275510204081631</v>
      </c>
      <c r="CW6" s="584">
        <f t="shared" ca="1" si="4"/>
        <v>178.75285714285715</v>
      </c>
      <c r="CX6" s="584">
        <f t="shared" ca="1" si="5"/>
        <v>0.61508571428571424</v>
      </c>
      <c r="CY6" s="584">
        <f t="shared" ca="1" si="6"/>
        <v>71.501142857142852</v>
      </c>
      <c r="CZ6" s="584">
        <f t="shared" ca="1" si="7"/>
        <v>0.46131428571428573</v>
      </c>
      <c r="DA6" s="691">
        <f t="shared" ca="1" si="8"/>
        <v>251.33040000000003</v>
      </c>
      <c r="DB6" s="539"/>
      <c r="DC6" s="569">
        <f t="shared" ca="1" si="9"/>
        <v>0.71122656528162587</v>
      </c>
      <c r="DD6" s="569">
        <f t="shared" ca="1" si="10"/>
        <v>2.4473192032707313E-3</v>
      </c>
      <c r="DE6" s="569">
        <f t="shared" ca="1" si="11"/>
        <v>0.2844906261126503</v>
      </c>
      <c r="DF6" s="569">
        <f t="shared" ca="1" si="12"/>
        <v>1.8354894024530486E-3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5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0.79714285714285715</v>
      </c>
      <c r="AB7" s="569">
        <f t="shared" si="14"/>
        <v>0.89279999999999993</v>
      </c>
      <c r="AC7" s="569">
        <f t="shared" si="15"/>
        <v>0.31885714285714284</v>
      </c>
      <c r="AD7" s="569">
        <f t="shared" si="16"/>
        <v>0.66959999999999997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5.9145161290322577</v>
      </c>
      <c r="CS7" s="584">
        <f t="shared" ca="1" si="1"/>
        <v>2.3324884792626728</v>
      </c>
      <c r="CT7" s="510"/>
      <c r="CU7" s="584">
        <f t="shared" ca="1" si="2"/>
        <v>337.41290322580642</v>
      </c>
      <c r="CV7" s="584">
        <f t="shared" ca="1" si="3"/>
        <v>4.7165898617511521</v>
      </c>
      <c r="CW7" s="584">
        <f t="shared" ca="1" si="4"/>
        <v>268.96628571428568</v>
      </c>
      <c r="CX7" s="584">
        <f t="shared" ca="1" si="5"/>
        <v>4.2109714285714279</v>
      </c>
      <c r="CY7" s="584">
        <f t="shared" ca="1" si="6"/>
        <v>107.58651428571427</v>
      </c>
      <c r="CZ7" s="584">
        <f t="shared" ca="1" si="7"/>
        <v>3.1582285714285714</v>
      </c>
      <c r="DA7" s="691">
        <f t="shared" ca="1" si="8"/>
        <v>383.92199999999997</v>
      </c>
      <c r="DB7" s="539"/>
      <c r="DC7" s="569">
        <f t="shared" ca="1" si="9"/>
        <v>0.70057534008023947</v>
      </c>
      <c r="DD7" s="569">
        <f t="shared" ca="1" si="10"/>
        <v>1.0968299364379817E-2</v>
      </c>
      <c r="DE7" s="569">
        <f t="shared" ca="1" si="11"/>
        <v>0.28023013603209579</v>
      </c>
      <c r="DF7" s="569">
        <f t="shared" ca="1" si="12"/>
        <v>8.2262245232848641E-3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10</v>
      </c>
      <c r="E8" s="510"/>
      <c r="F8" s="531" t="s">
        <v>93</v>
      </c>
      <c r="G8" s="532">
        <f>IF(G7-G6&lt;0,7+(G7-G6),G7-G6)</f>
        <v>5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0.77142857142857146</v>
      </c>
      <c r="AB8" s="569">
        <f t="shared" si="14"/>
        <v>0.86399999999999999</v>
      </c>
      <c r="AC8" s="569">
        <f t="shared" si="15"/>
        <v>0.30857142857142855</v>
      </c>
      <c r="AD8" s="569">
        <f t="shared" si="16"/>
        <v>0.64800000000000002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11.860666666666669</v>
      </c>
      <c r="CS8" s="584">
        <f t="shared" ca="1" si="1"/>
        <v>8.5657142857142876</v>
      </c>
      <c r="CT8" s="510"/>
      <c r="CU8" s="584">
        <f t="shared" ca="1" si="2"/>
        <v>415.03666666666669</v>
      </c>
      <c r="CV8" s="584">
        <f t="shared" ca="1" si="3"/>
        <v>17.411904761904761</v>
      </c>
      <c r="CW8" s="584">
        <f t="shared" ca="1" si="4"/>
        <v>320.17114285714291</v>
      </c>
      <c r="CX8" s="584">
        <f t="shared" ca="1" si="5"/>
        <v>15.043885714285713</v>
      </c>
      <c r="CY8" s="584">
        <f t="shared" ca="1" si="6"/>
        <v>128.06845714285714</v>
      </c>
      <c r="CZ8" s="584">
        <f t="shared" ca="1" si="7"/>
        <v>11.282914285714286</v>
      </c>
      <c r="DA8" s="691">
        <f t="shared" ca="1" si="8"/>
        <v>474.56640000000004</v>
      </c>
      <c r="DB8" s="539"/>
      <c r="DC8" s="569">
        <f t="shared" ca="1" si="9"/>
        <v>0.67466036967038312</v>
      </c>
      <c r="DD8" s="569">
        <f t="shared" ca="1" si="10"/>
        <v>3.1700275692265002E-2</v>
      </c>
      <c r="DE8" s="569">
        <f t="shared" ca="1" si="11"/>
        <v>0.26986414786815316</v>
      </c>
      <c r="DF8" s="569">
        <f t="shared" ca="1" si="12"/>
        <v>2.3775206769198757E-2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0.79714285714285715</v>
      </c>
      <c r="AB9" s="569">
        <f t="shared" si="14"/>
        <v>0.89279999999999993</v>
      </c>
      <c r="AC9" s="569">
        <f t="shared" si="15"/>
        <v>0.31885714285714284</v>
      </c>
      <c r="AD9" s="569">
        <f t="shared" si="16"/>
        <v>0.66959999999999997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19.395806451612902</v>
      </c>
      <c r="CS9" s="584">
        <f t="shared" ca="1" si="1"/>
        <v>12.36958525345622</v>
      </c>
      <c r="CT9" s="510"/>
      <c r="CU9" s="584">
        <f t="shared" ca="1" si="2"/>
        <v>552.45806451612896</v>
      </c>
      <c r="CV9" s="584">
        <f t="shared" ca="1" si="3"/>
        <v>32.235023041474655</v>
      </c>
      <c r="CW9" s="584">
        <f t="shared" ca="1" si="4"/>
        <v>440.38799999999992</v>
      </c>
      <c r="CX9" s="584">
        <f t="shared" ca="1" si="5"/>
        <v>28.779428571428568</v>
      </c>
      <c r="CY9" s="584">
        <f t="shared" ca="1" si="6"/>
        <v>176.15519999999998</v>
      </c>
      <c r="CZ9" s="584">
        <f t="shared" ca="1" si="7"/>
        <v>21.584571428571429</v>
      </c>
      <c r="DA9" s="691">
        <f t="shared" ca="1" si="8"/>
        <v>666.90719999999988</v>
      </c>
      <c r="DB9" s="539"/>
      <c r="DC9" s="569">
        <f t="shared" ca="1" si="9"/>
        <v>0.66034374797573037</v>
      </c>
      <c r="DD9" s="569">
        <f t="shared" ca="1" si="10"/>
        <v>4.3153573047987143E-2</v>
      </c>
      <c r="DE9" s="569">
        <f t="shared" ca="1" si="11"/>
        <v>0.26413749919029217</v>
      </c>
      <c r="DF9" s="569">
        <f t="shared" ca="1" si="12"/>
        <v>3.2365179785990364E-2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24.03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0.77142857142857146</v>
      </c>
      <c r="AB10" s="569">
        <f t="shared" si="14"/>
        <v>0.86399999999999999</v>
      </c>
      <c r="AC10" s="569">
        <f t="shared" si="15"/>
        <v>0.30857142857142855</v>
      </c>
      <c r="AD10" s="569">
        <f t="shared" si="16"/>
        <v>0.64800000000000002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24.256333333333334</v>
      </c>
      <c r="CS10" s="584">
        <f t="shared" ca="1" si="1"/>
        <v>18.862619047619042</v>
      </c>
      <c r="CT10" s="510"/>
      <c r="CU10" s="584">
        <f t="shared" ca="1" si="2"/>
        <v>569.6099999999999</v>
      </c>
      <c r="CV10" s="584">
        <f t="shared" ca="1" si="3"/>
        <v>42.671428571428571</v>
      </c>
      <c r="CW10" s="584">
        <f t="shared" ca="1" si="4"/>
        <v>439.41342857142854</v>
      </c>
      <c r="CX10" s="584">
        <f t="shared" ca="1" si="5"/>
        <v>36.868114285714285</v>
      </c>
      <c r="CY10" s="584">
        <f t="shared" ca="1" si="6"/>
        <v>175.7653714285714</v>
      </c>
      <c r="CZ10" s="584">
        <f t="shared" ca="1" si="7"/>
        <v>27.651085714285713</v>
      </c>
      <c r="DA10" s="691">
        <f t="shared" ca="1" si="8"/>
        <v>679.69799999999998</v>
      </c>
      <c r="DB10" s="539"/>
      <c r="DC10" s="569">
        <f t="shared" ca="1" si="9"/>
        <v>0.64648333314417372</v>
      </c>
      <c r="DD10" s="569">
        <f t="shared" ca="1" si="10"/>
        <v>5.4241904913232476E-2</v>
      </c>
      <c r="DE10" s="569">
        <f t="shared" ca="1" si="11"/>
        <v>0.25859333325766942</v>
      </c>
      <c r="DF10" s="569">
        <f t="shared" ca="1" si="12"/>
        <v>4.0681428684924352E-2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1927.6084061589679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0.79714285714285715</v>
      </c>
      <c r="AB11" s="569">
        <f t="shared" si="14"/>
        <v>0.89279999999999993</v>
      </c>
      <c r="AC11" s="569">
        <f t="shared" si="15"/>
        <v>0.31885714285714284</v>
      </c>
      <c r="AD11" s="569">
        <f t="shared" si="16"/>
        <v>0.66959999999999997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27.045806451612901</v>
      </c>
      <c r="CS11" s="584">
        <f t="shared" ca="1" si="1"/>
        <v>22.046543778801841</v>
      </c>
      <c r="CT11" s="510"/>
      <c r="CU11" s="584">
        <f t="shared" ca="1" si="2"/>
        <v>566.37741935483859</v>
      </c>
      <c r="CV11" s="584">
        <f t="shared" ca="1" si="3"/>
        <v>36.642857142857146</v>
      </c>
      <c r="CW11" s="584">
        <f t="shared" ca="1" si="4"/>
        <v>451.4837142857142</v>
      </c>
      <c r="CX11" s="584">
        <f t="shared" ca="1" si="5"/>
        <v>32.714742857142859</v>
      </c>
      <c r="CY11" s="584">
        <f t="shared" ca="1" si="6"/>
        <v>180.59348571428566</v>
      </c>
      <c r="CZ11" s="584">
        <f t="shared" ca="1" si="7"/>
        <v>24.536057142857143</v>
      </c>
      <c r="DA11" s="691">
        <f t="shared" ca="1" si="8"/>
        <v>689.32799999999986</v>
      </c>
      <c r="DB11" s="539"/>
      <c r="DC11" s="569">
        <f t="shared" ca="1" si="9"/>
        <v>0.65496209973439967</v>
      </c>
      <c r="DD11" s="569">
        <f t="shared" ca="1" si="10"/>
        <v>4.7458891641051673E-2</v>
      </c>
      <c r="DE11" s="569">
        <f t="shared" ca="1" si="11"/>
        <v>0.26198483989375987</v>
      </c>
      <c r="DF11" s="569">
        <f t="shared" ca="1" si="12"/>
        <v>3.5594168730788751E-2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0.79714285714285715</v>
      </c>
      <c r="AB12" s="569">
        <f t="shared" si="14"/>
        <v>0.89279999999999993</v>
      </c>
      <c r="AC12" s="569">
        <f t="shared" si="15"/>
        <v>0.31885714285714284</v>
      </c>
      <c r="AD12" s="569">
        <f t="shared" si="16"/>
        <v>0.66959999999999997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24.696774193548386</v>
      </c>
      <c r="CS12" s="584">
        <f t="shared" ca="1" si="1"/>
        <v>19.697235023041479</v>
      </c>
      <c r="CT12" s="510"/>
      <c r="CU12" s="584">
        <f t="shared" ca="1" si="2"/>
        <v>484.89677419354837</v>
      </c>
      <c r="CV12" s="584">
        <f t="shared" ca="1" si="3"/>
        <v>22.317972350230413</v>
      </c>
      <c r="CW12" s="584">
        <f t="shared" ca="1" si="4"/>
        <v>386.53199999999998</v>
      </c>
      <c r="CX12" s="584">
        <f t="shared" ca="1" si="5"/>
        <v>19.92548571428571</v>
      </c>
      <c r="CY12" s="584">
        <f t="shared" ca="1" si="6"/>
        <v>154.61279999999999</v>
      </c>
      <c r="CZ12" s="584">
        <f t="shared" ca="1" si="7"/>
        <v>14.944114285714283</v>
      </c>
      <c r="DA12" s="691">
        <f t="shared" ca="1" si="8"/>
        <v>576.01439999999991</v>
      </c>
      <c r="DB12" s="539"/>
      <c r="DC12" s="569">
        <f t="shared" ca="1" si="9"/>
        <v>0.67104572385690364</v>
      </c>
      <c r="DD12" s="569">
        <f t="shared" ca="1" si="10"/>
        <v>3.4591992343048564E-2</v>
      </c>
      <c r="DE12" s="569">
        <f t="shared" ca="1" si="11"/>
        <v>0.26841828954276148</v>
      </c>
      <c r="DF12" s="569">
        <f t="shared" ca="1" si="12"/>
        <v>2.5943994257286426E-2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0.77142857142857146</v>
      </c>
      <c r="AB13" s="569">
        <f t="shared" si="14"/>
        <v>0.86399999999999999</v>
      </c>
      <c r="AC13" s="569">
        <f t="shared" si="15"/>
        <v>0.30857142857142855</v>
      </c>
      <c r="AD13" s="569">
        <f t="shared" si="16"/>
        <v>0.64800000000000002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21.40666666666667</v>
      </c>
      <c r="CS13" s="584">
        <f t="shared" ca="1" si="1"/>
        <v>15.810238095238095</v>
      </c>
      <c r="CT13" s="510"/>
      <c r="CU13" s="584">
        <f t="shared" ca="1" si="2"/>
        <v>405.19333333333333</v>
      </c>
      <c r="CV13" s="584">
        <f t="shared" ca="1" si="3"/>
        <v>10.050000000000001</v>
      </c>
      <c r="CW13" s="584">
        <f t="shared" ca="1" si="4"/>
        <v>312.57771428571431</v>
      </c>
      <c r="CX13" s="584">
        <f t="shared" ca="1" si="5"/>
        <v>8.6832000000000011</v>
      </c>
      <c r="CY13" s="584">
        <f t="shared" ca="1" si="6"/>
        <v>125.03108571428571</v>
      </c>
      <c r="CZ13" s="584">
        <f t="shared" ca="1" si="7"/>
        <v>6.5124000000000004</v>
      </c>
      <c r="DA13" s="691">
        <f t="shared" ca="1" si="8"/>
        <v>452.80440000000004</v>
      </c>
      <c r="DB13" s="539"/>
      <c r="DC13" s="569">
        <f t="shared" ca="1" si="9"/>
        <v>0.69031509915918277</v>
      </c>
      <c r="DD13" s="569">
        <f t="shared" ca="1" si="10"/>
        <v>1.9176492101225167E-2</v>
      </c>
      <c r="DE13" s="569">
        <f t="shared" ca="1" si="11"/>
        <v>0.27612603966367311</v>
      </c>
      <c r="DF13" s="569">
        <f t="shared" ca="1" si="12"/>
        <v>1.4382369075918873E-2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0.79714285714285715</v>
      </c>
      <c r="AB14" s="569">
        <f t="shared" si="14"/>
        <v>0.89279999999999993</v>
      </c>
      <c r="AC14" s="569">
        <f t="shared" si="15"/>
        <v>0.31885714285714284</v>
      </c>
      <c r="AD14" s="569">
        <f t="shared" si="16"/>
        <v>0.66959999999999997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13.800322580645162</v>
      </c>
      <c r="CS14" s="584">
        <f t="shared" ca="1" si="1"/>
        <v>8.9709677419354854</v>
      </c>
      <c r="CT14" s="510"/>
      <c r="CU14" s="584">
        <f t="shared" ca="1" si="2"/>
        <v>290.3741935483871</v>
      </c>
      <c r="CV14" s="584">
        <f t="shared" ca="1" si="3"/>
        <v>2.6751152073732718</v>
      </c>
      <c r="CW14" s="584">
        <f t="shared" ca="1" si="4"/>
        <v>231.46971428571428</v>
      </c>
      <c r="CX14" s="584">
        <f t="shared" ca="1" si="5"/>
        <v>2.3883428571428569</v>
      </c>
      <c r="CY14" s="584">
        <f t="shared" ca="1" si="6"/>
        <v>92.587885714285704</v>
      </c>
      <c r="CZ14" s="584">
        <f t="shared" ca="1" si="7"/>
        <v>1.7912571428571427</v>
      </c>
      <c r="DA14" s="691">
        <f t="shared" ca="1" si="8"/>
        <v>328.23719999999997</v>
      </c>
      <c r="DB14" s="539"/>
      <c r="DC14" s="569">
        <f t="shared" ca="1" si="9"/>
        <v>0.70519037539229035</v>
      </c>
      <c r="DD14" s="569">
        <f t="shared" ca="1" si="10"/>
        <v>7.2762711147391496E-3</v>
      </c>
      <c r="DE14" s="569">
        <f t="shared" ca="1" si="11"/>
        <v>0.28207615015691612</v>
      </c>
      <c r="DF14" s="569">
        <f t="shared" ca="1" si="12"/>
        <v>5.4572033360543622E-3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5</v>
      </c>
      <c r="F15" s="508">
        <f>E15-1</f>
        <v>4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0.77142857142857146</v>
      </c>
      <c r="AB15" s="569">
        <f t="shared" si="14"/>
        <v>0.86399999999999999</v>
      </c>
      <c r="AC15" s="569">
        <f t="shared" si="15"/>
        <v>0.30857142857142855</v>
      </c>
      <c r="AD15" s="569">
        <f t="shared" si="16"/>
        <v>0.64800000000000002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6.1126666666666658</v>
      </c>
      <c r="CS15" s="584">
        <f t="shared" ca="1" si="1"/>
        <v>3.7583333333333329</v>
      </c>
      <c r="CT15" s="510"/>
      <c r="CU15" s="584">
        <f t="shared" ca="1" si="2"/>
        <v>181.39</v>
      </c>
      <c r="CV15" s="584">
        <f t="shared" ca="1" si="3"/>
        <v>0.33809523809523812</v>
      </c>
      <c r="CW15" s="584">
        <f t="shared" ca="1" si="4"/>
        <v>139.92942857142856</v>
      </c>
      <c r="CX15" s="584">
        <f t="shared" ca="1" si="5"/>
        <v>0.29211428571428572</v>
      </c>
      <c r="CY15" s="584">
        <f t="shared" ca="1" si="6"/>
        <v>55.971771428571422</v>
      </c>
      <c r="CZ15" s="584">
        <f t="shared" ca="1" si="7"/>
        <v>0.2190857142857143</v>
      </c>
      <c r="DA15" s="691">
        <f t="shared" ca="1" si="8"/>
        <v>196.41239999999999</v>
      </c>
      <c r="DB15" s="539"/>
      <c r="DC15" s="569">
        <f t="shared" ca="1" si="9"/>
        <v>0.71242665214328915</v>
      </c>
      <c r="DD15" s="569">
        <f t="shared" ca="1" si="10"/>
        <v>1.4872497139400858E-3</v>
      </c>
      <c r="DE15" s="569">
        <f t="shared" ca="1" si="11"/>
        <v>0.28497066085731565</v>
      </c>
      <c r="DF15" s="569">
        <f t="shared" ca="1" si="12"/>
        <v>1.1154372854550645E-3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10</v>
      </c>
      <c r="F16" s="511">
        <f>24-E16</f>
        <v>14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0.79714285714285715</v>
      </c>
      <c r="AB16" s="569">
        <f t="shared" si="14"/>
        <v>0.89279999999999993</v>
      </c>
      <c r="AC16" s="569">
        <f t="shared" si="15"/>
        <v>0.31885714285714284</v>
      </c>
      <c r="AD16" s="569">
        <f t="shared" si="16"/>
        <v>0.66959999999999997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-2.2890322580645157</v>
      </c>
      <c r="CS16" s="584">
        <f t="shared" ca="1" si="1"/>
        <v>-4.6660138248847929</v>
      </c>
      <c r="CT16" s="510"/>
      <c r="CU16" s="584">
        <f t="shared" ca="1" si="2"/>
        <v>150.39999999999998</v>
      </c>
      <c r="CV16" s="584">
        <f t="shared" ca="1" si="3"/>
        <v>0</v>
      </c>
      <c r="CW16" s="584">
        <f t="shared" ca="1" si="4"/>
        <v>119.8902857142857</v>
      </c>
      <c r="CX16" s="584">
        <f t="shared" ca="1" si="5"/>
        <v>0</v>
      </c>
      <c r="CY16" s="584">
        <f t="shared" ca="1" si="6"/>
        <v>47.956114285714278</v>
      </c>
      <c r="CZ16" s="584">
        <f t="shared" ca="1" si="7"/>
        <v>0</v>
      </c>
      <c r="DA16" s="691">
        <f t="shared" ca="1" si="8"/>
        <v>167.84639999999996</v>
      </c>
      <c r="DB16" s="539"/>
      <c r="DC16" s="569">
        <f t="shared" ca="1" si="9"/>
        <v>0.7142857142857143</v>
      </c>
      <c r="DD16" s="569">
        <f t="shared" ca="1" si="10"/>
        <v>0</v>
      </c>
      <c r="DE16" s="569">
        <f t="shared" ca="1" si="11"/>
        <v>0.28571428571428575</v>
      </c>
      <c r="DF16" s="569">
        <f t="shared" ca="1" si="12"/>
        <v>0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50</v>
      </c>
      <c r="F17" s="511">
        <f>F16*F15</f>
        <v>56</v>
      </c>
      <c r="G17" s="513">
        <f>(7-E15)*E16</f>
        <v>20</v>
      </c>
      <c r="H17" s="513">
        <f>I17-G17</f>
        <v>42</v>
      </c>
      <c r="I17" s="513">
        <f>D17-E17-F17</f>
        <v>62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0.29761904761904762</v>
      </c>
      <c r="F18" s="517">
        <f>F17/D17</f>
        <v>0.33333333333333331</v>
      </c>
      <c r="G18" s="517">
        <f>G17/D17</f>
        <v>0.11904761904761904</v>
      </c>
      <c r="H18" s="517">
        <f>H17/D17</f>
        <v>0.25</v>
      </c>
      <c r="I18" s="517">
        <f>I17/D17</f>
        <v>0.36904761904761907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1.0403662089055348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1.0032292967124428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7.28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3000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1011638.1912</v>
      </c>
      <c r="E47" s="536">
        <f>D34*C2</f>
        <v>277922.58</v>
      </c>
      <c r="F47" s="536">
        <f>D47+E47</f>
        <v>1289560.7712000001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85919.955964931505</v>
      </c>
      <c r="E48" s="536">
        <f t="shared" si="18"/>
        <v>23604.383506849317</v>
      </c>
      <c r="F48" s="536">
        <f t="shared" ref="F48:F59" si="19">D48+E48</f>
        <v>109524.33947178083</v>
      </c>
      <c r="G48" s="539"/>
      <c r="H48" s="536">
        <f t="shared" ref="H48:H59" si="20">D48*$N$22</f>
        <v>310180.34644379601</v>
      </c>
      <c r="I48" s="536">
        <f t="shared" ref="I48:I59" si="21">E48*$N$22</f>
        <v>85214.380891152759</v>
      </c>
      <c r="J48" s="750">
        <f t="shared" ref="J48:J59" si="22">H48+I48</f>
        <v>395394.72733494878</v>
      </c>
      <c r="K48" s="548"/>
      <c r="L48" s="555"/>
      <c r="M48" s="539" t="s">
        <v>671</v>
      </c>
      <c r="N48" s="558">
        <f>Inputs!C35</f>
        <v>17485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0.12872041559199687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77605.12151671233</v>
      </c>
      <c r="E49" s="536">
        <f t="shared" si="18"/>
        <v>21320.088328767124</v>
      </c>
      <c r="F49" s="536">
        <f t="shared" si="19"/>
        <v>98925.209845479461</v>
      </c>
      <c r="G49" s="539"/>
      <c r="H49" s="536">
        <f t="shared" si="20"/>
        <v>280162.89356213837</v>
      </c>
      <c r="I49" s="536">
        <f t="shared" si="21"/>
        <v>76967.827901686367</v>
      </c>
      <c r="J49" s="750">
        <f t="shared" si="22"/>
        <v>357130.72146382474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0.11626360117986816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85919.955964931505</v>
      </c>
      <c r="E50" s="536">
        <f t="shared" si="18"/>
        <v>23604.383506849317</v>
      </c>
      <c r="F50" s="536">
        <f t="shared" si="19"/>
        <v>109524.33947178083</v>
      </c>
      <c r="G50" s="539"/>
      <c r="H50" s="536">
        <f t="shared" si="20"/>
        <v>310180.34644379601</v>
      </c>
      <c r="I50" s="536">
        <f t="shared" si="21"/>
        <v>85214.380891152759</v>
      </c>
      <c r="J50" s="750">
        <f t="shared" si="22"/>
        <v>395394.72733494878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0.12872041559199687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83148.34448219178</v>
      </c>
      <c r="E51" s="536">
        <f t="shared" si="18"/>
        <v>22842.951780821921</v>
      </c>
      <c r="F51" s="536">
        <f t="shared" si="19"/>
        <v>105991.2962630137</v>
      </c>
      <c r="G51" s="539"/>
      <c r="H51" s="536">
        <f t="shared" si="20"/>
        <v>300174.52881657681</v>
      </c>
      <c r="I51" s="536">
        <f t="shared" si="21"/>
        <v>82465.529894663967</v>
      </c>
      <c r="J51" s="750">
        <f t="shared" si="22"/>
        <v>382640.05871124077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0.12456814412128731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85919.955964931505</v>
      </c>
      <c r="E52" s="536">
        <f t="shared" si="18"/>
        <v>23604.383506849317</v>
      </c>
      <c r="F52" s="536">
        <f t="shared" si="19"/>
        <v>109524.33947178083</v>
      </c>
      <c r="G52" s="539"/>
      <c r="H52" s="536">
        <f t="shared" si="20"/>
        <v>310180.34644379601</v>
      </c>
      <c r="I52" s="536">
        <f t="shared" si="21"/>
        <v>85214.380891152759</v>
      </c>
      <c r="J52" s="750">
        <f t="shared" si="22"/>
        <v>395394.72733494878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0.12872041559199687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83148.34448219178</v>
      </c>
      <c r="E53" s="536">
        <f t="shared" si="18"/>
        <v>22842.951780821921</v>
      </c>
      <c r="F53" s="536">
        <f t="shared" si="19"/>
        <v>105991.2962630137</v>
      </c>
      <c r="G53" s="539"/>
      <c r="H53" s="536">
        <f t="shared" si="20"/>
        <v>300174.52881657681</v>
      </c>
      <c r="I53" s="536">
        <f t="shared" si="21"/>
        <v>82465.529894663967</v>
      </c>
      <c r="J53" s="750">
        <f t="shared" si="22"/>
        <v>382640.05871124077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0.12456814412128731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85919.955964931505</v>
      </c>
      <c r="E54" s="536">
        <f t="shared" si="18"/>
        <v>23604.383506849317</v>
      </c>
      <c r="F54" s="536">
        <f t="shared" si="19"/>
        <v>109524.33947178083</v>
      </c>
      <c r="G54" s="539"/>
      <c r="H54" s="536">
        <f t="shared" si="20"/>
        <v>310180.34644379601</v>
      </c>
      <c r="I54" s="536">
        <f t="shared" si="21"/>
        <v>85214.380891152759</v>
      </c>
      <c r="J54" s="750">
        <f t="shared" si="22"/>
        <v>395394.72733494878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0.12872041559199687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85919.955964931505</v>
      </c>
      <c r="E55" s="536">
        <f t="shared" si="18"/>
        <v>23604.383506849317</v>
      </c>
      <c r="F55" s="536">
        <f t="shared" si="19"/>
        <v>109524.33947178083</v>
      </c>
      <c r="G55" s="539"/>
      <c r="H55" s="536">
        <f t="shared" si="20"/>
        <v>310180.34644379601</v>
      </c>
      <c r="I55" s="536">
        <f t="shared" si="21"/>
        <v>85214.380891152759</v>
      </c>
      <c r="J55" s="750">
        <f t="shared" si="22"/>
        <v>395394.72733494878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0.12872041559199687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83148.34448219178</v>
      </c>
      <c r="E56" s="536">
        <f t="shared" si="18"/>
        <v>22842.951780821921</v>
      </c>
      <c r="F56" s="536">
        <f t="shared" si="19"/>
        <v>105991.2962630137</v>
      </c>
      <c r="G56" s="539"/>
      <c r="H56" s="536">
        <f t="shared" si="20"/>
        <v>300174.52881657681</v>
      </c>
      <c r="I56" s="536">
        <f t="shared" si="21"/>
        <v>82465.529894663967</v>
      </c>
      <c r="J56" s="750">
        <f t="shared" si="22"/>
        <v>382640.05871124077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0.12456814412128731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85919.955964931505</v>
      </c>
      <c r="E57" s="536">
        <f t="shared" si="18"/>
        <v>23604.383506849317</v>
      </c>
      <c r="F57" s="536">
        <f t="shared" si="19"/>
        <v>109524.33947178083</v>
      </c>
      <c r="G57" s="539"/>
      <c r="H57" s="536">
        <f t="shared" si="20"/>
        <v>310180.34644379601</v>
      </c>
      <c r="I57" s="536">
        <f t="shared" si="21"/>
        <v>85214.380891152759</v>
      </c>
      <c r="J57" s="750">
        <f t="shared" si="22"/>
        <v>395394.72733494878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0.12872041559199687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83148.34448219178</v>
      </c>
      <c r="E58" s="536">
        <f t="shared" si="18"/>
        <v>22842.951780821921</v>
      </c>
      <c r="F58" s="536">
        <f t="shared" si="19"/>
        <v>105991.2962630137</v>
      </c>
      <c r="G58" s="539"/>
      <c r="H58" s="536">
        <f t="shared" si="20"/>
        <v>300174.52881657681</v>
      </c>
      <c r="I58" s="536">
        <f t="shared" si="21"/>
        <v>82465.529894663967</v>
      </c>
      <c r="J58" s="750">
        <f t="shared" si="22"/>
        <v>382640.05871124077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0.12456814412128731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85919.955964931505</v>
      </c>
      <c r="E59" s="536">
        <f t="shared" si="18"/>
        <v>23604.383506849317</v>
      </c>
      <c r="F59" s="536">
        <f t="shared" si="19"/>
        <v>109524.33947178083</v>
      </c>
      <c r="G59" s="539"/>
      <c r="H59" s="536">
        <f t="shared" si="20"/>
        <v>310180.34644379601</v>
      </c>
      <c r="I59" s="536">
        <f t="shared" si="21"/>
        <v>85214.380891152759</v>
      </c>
      <c r="J59" s="750">
        <f t="shared" si="22"/>
        <v>395394.72733494878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0.12872041559199687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1.5155790868089953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2086</v>
      </c>
      <c r="E67" s="558">
        <f>Inputs!D78</f>
        <v>0</v>
      </c>
      <c r="F67" s="558">
        <f>Inputs!E78</f>
        <v>1390.67</v>
      </c>
      <c r="G67" s="558">
        <f>Inputs!F78</f>
        <v>0</v>
      </c>
      <c r="H67" s="558">
        <f>Inputs!G78</f>
        <v>2086</v>
      </c>
      <c r="I67" s="558">
        <f>Inputs!H78</f>
        <v>0</v>
      </c>
      <c r="J67" s="558">
        <f>Inputs!I78</f>
        <v>1390.67</v>
      </c>
      <c r="K67" s="558">
        <f>Inputs!J78</f>
        <v>0</v>
      </c>
      <c r="L67" s="558">
        <f>Inputs!K78</f>
        <v>3563.11</v>
      </c>
      <c r="M67" s="342">
        <f>SUM(D67:L67)</f>
        <v>10516.45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1390.84</v>
      </c>
      <c r="E68" s="558">
        <f>Inputs!D83</f>
        <v>0</v>
      </c>
      <c r="F68" s="558">
        <f>Inputs!E83</f>
        <v>927.33</v>
      </c>
      <c r="G68" s="558">
        <f>Inputs!F83</f>
        <v>0</v>
      </c>
      <c r="H68" s="558">
        <f>Inputs!G83</f>
        <v>1390.84</v>
      </c>
      <c r="I68" s="558">
        <f>Inputs!H83</f>
        <v>0</v>
      </c>
      <c r="J68" s="558">
        <f>Inputs!I83</f>
        <v>927.33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0.51100000000000001</v>
      </c>
      <c r="E73" s="539">
        <f>Inputs!D79</f>
        <v>0.51100000000000001</v>
      </c>
      <c r="F73" s="539">
        <f>Inputs!E79</f>
        <v>0.51100000000000001</v>
      </c>
      <c r="G73" s="539">
        <f>Inputs!F79</f>
        <v>0.51100000000000001</v>
      </c>
      <c r="H73" s="539">
        <f>Inputs!G79</f>
        <v>0.51100000000000001</v>
      </c>
      <c r="I73" s="539">
        <f>Inputs!H79</f>
        <v>0.51100000000000001</v>
      </c>
      <c r="J73" s="539">
        <f>Inputs!I79</f>
        <v>0.51100000000000001</v>
      </c>
      <c r="K73" s="570">
        <f>Inputs!J79</f>
        <v>0.51100000000000001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1065.9459999999999</v>
      </c>
      <c r="E78" s="599">
        <f t="shared" si="25"/>
        <v>0</v>
      </c>
      <c r="F78" s="599">
        <f t="shared" si="25"/>
        <v>710.63237000000004</v>
      </c>
      <c r="G78" s="599">
        <f t="shared" si="25"/>
        <v>0</v>
      </c>
      <c r="H78" s="599">
        <f t="shared" si="25"/>
        <v>1065.9459999999999</v>
      </c>
      <c r="I78" s="599">
        <f t="shared" si="25"/>
        <v>0</v>
      </c>
      <c r="J78" s="599">
        <f t="shared" si="25"/>
        <v>710.63237000000004</v>
      </c>
      <c r="K78" s="599">
        <f t="shared" si="25"/>
        <v>0</v>
      </c>
      <c r="L78" s="599">
        <f t="shared" si="25"/>
        <v>962.03970000000015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3689.8985199999997</v>
      </c>
      <c r="E79" s="599">
        <f t="shared" si="26"/>
        <v>0</v>
      </c>
      <c r="F79" s="599">
        <f t="shared" si="26"/>
        <v>2460.20649</v>
      </c>
      <c r="G79" s="599">
        <f t="shared" si="26"/>
        <v>0</v>
      </c>
      <c r="H79" s="599">
        <f t="shared" si="26"/>
        <v>3689.8985199999997</v>
      </c>
      <c r="I79" s="599">
        <f t="shared" si="26"/>
        <v>0</v>
      </c>
      <c r="J79" s="599">
        <f t="shared" si="26"/>
        <v>2460.20649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4755.8445199999996</v>
      </c>
      <c r="E81" s="595">
        <f t="shared" si="27"/>
        <v>0</v>
      </c>
      <c r="F81" s="595">
        <f t="shared" si="27"/>
        <v>3170.8388599999998</v>
      </c>
      <c r="G81" s="595">
        <f t="shared" si="27"/>
        <v>0</v>
      </c>
      <c r="H81" s="595">
        <f t="shared" si="27"/>
        <v>4755.8445199999996</v>
      </c>
      <c r="I81" s="595">
        <f t="shared" si="27"/>
        <v>0</v>
      </c>
      <c r="J81" s="595">
        <f t="shared" si="27"/>
        <v>3170.8388599999998</v>
      </c>
      <c r="K81" s="595">
        <f t="shared" si="27"/>
        <v>0</v>
      </c>
      <c r="L81" s="595">
        <f t="shared" si="27"/>
        <v>962.03970000000015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16815.406459999998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1390.84</v>
      </c>
      <c r="E116" s="631">
        <f>Calcs!E68</f>
        <v>0</v>
      </c>
      <c r="F116" s="631">
        <f>Calcs!F68</f>
        <v>927.33</v>
      </c>
      <c r="G116" s="631">
        <f>Calcs!G68</f>
        <v>0</v>
      </c>
      <c r="H116" s="631">
        <f>Calcs!H68</f>
        <v>1390.84</v>
      </c>
      <c r="I116" s="631">
        <f>Calcs!I68</f>
        <v>0</v>
      </c>
      <c r="J116" s="631">
        <f>Calcs!J68</f>
        <v>927.33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2086</v>
      </c>
      <c r="AC116" s="631">
        <f>Calcs!E67</f>
        <v>0</v>
      </c>
      <c r="AD116" s="631">
        <f>Calcs!F67</f>
        <v>1390.67</v>
      </c>
      <c r="AE116" s="631">
        <f>Calcs!G67</f>
        <v>0</v>
      </c>
      <c r="AF116" s="631">
        <f>Calcs!H67</f>
        <v>2086</v>
      </c>
      <c r="AG116" s="631">
        <f>Calcs!I67</f>
        <v>0</v>
      </c>
      <c r="AH116" s="631">
        <f>Calcs!J67</f>
        <v>1390.67</v>
      </c>
      <c r="AI116" s="631">
        <f>Calcs!K67</f>
        <v>0</v>
      </c>
      <c r="AJ116" s="631">
        <f>Calcs!L67</f>
        <v>3563.11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0.51100000000000001</v>
      </c>
      <c r="AC117" s="664">
        <f>Calcs!E73</f>
        <v>0.51100000000000001</v>
      </c>
      <c r="AD117" s="664">
        <f>Calcs!F73</f>
        <v>0.51100000000000001</v>
      </c>
      <c r="AE117" s="664">
        <f>Calcs!G73</f>
        <v>0.51100000000000001</v>
      </c>
      <c r="AF117" s="664">
        <f>Calcs!H73</f>
        <v>0.51100000000000001</v>
      </c>
      <c r="AG117" s="664">
        <f>Calcs!I73</f>
        <v>0.51100000000000001</v>
      </c>
      <c r="AH117" s="664">
        <f>Calcs!J73</f>
        <v>0.51100000000000001</v>
      </c>
      <c r="AI117" s="664">
        <f>Calcs!K73</f>
        <v>0.51100000000000001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399.93604200000004</v>
      </c>
      <c r="E135" s="678">
        <f t="shared" si="38"/>
        <v>0</v>
      </c>
      <c r="F135" s="678">
        <f t="shared" si="38"/>
        <v>266.65374150000002</v>
      </c>
      <c r="G135" s="678">
        <f t="shared" si="38"/>
        <v>0</v>
      </c>
      <c r="H135" s="678">
        <f t="shared" si="38"/>
        <v>399.93604200000004</v>
      </c>
      <c r="I135" s="678">
        <f t="shared" si="38"/>
        <v>0</v>
      </c>
      <c r="J135" s="678">
        <f t="shared" si="38"/>
        <v>266.65374150000002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32.441834782608694</v>
      </c>
      <c r="AC135" s="669">
        <f t="shared" si="40"/>
        <v>0</v>
      </c>
      <c r="AD135" s="669">
        <f t="shared" si="40"/>
        <v>21.627941695652172</v>
      </c>
      <c r="AE135" s="669">
        <f t="shared" si="40"/>
        <v>0</v>
      </c>
      <c r="AF135" s="669">
        <f t="shared" si="40"/>
        <v>32.441834782608694</v>
      </c>
      <c r="AG135" s="669">
        <f t="shared" si="40"/>
        <v>0</v>
      </c>
      <c r="AH135" s="669">
        <f t="shared" si="40"/>
        <v>21.627941695652172</v>
      </c>
      <c r="AI135" s="669">
        <f t="shared" si="40"/>
        <v>0</v>
      </c>
      <c r="AJ135" s="669">
        <f t="shared" si="40"/>
        <v>29.279469130434784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2294.1011739130436</v>
      </c>
      <c r="AC140" s="632">
        <f t="shared" si="42"/>
        <v>0</v>
      </c>
      <c r="AD140" s="632">
        <f t="shared" si="42"/>
        <v>1529.4044484782607</v>
      </c>
      <c r="AE140" s="632">
        <f t="shared" si="42"/>
        <v>0</v>
      </c>
      <c r="AF140" s="632">
        <f t="shared" si="42"/>
        <v>2294.1011739130436</v>
      </c>
      <c r="AG140" s="632">
        <f t="shared" si="42"/>
        <v>0</v>
      </c>
      <c r="AH140" s="632">
        <f t="shared" si="42"/>
        <v>1529.4044484782607</v>
      </c>
      <c r="AI140" s="632">
        <f t="shared" si="42"/>
        <v>0</v>
      </c>
      <c r="AJ140" s="632">
        <f t="shared" si="42"/>
        <v>2070.476745652174</v>
      </c>
      <c r="AK140" s="649">
        <f>SUM(AB140:AJ140)</f>
        <v>9717.4879904347836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134218.60152544247</v>
      </c>
      <c r="E144" s="632">
        <f ca="1">(E$118*E$119*E$135*Calcs!AJ5)*Calcs!$O5</f>
        <v>0</v>
      </c>
      <c r="F144" s="632">
        <f ca="1">(F$118*F$119*F$135*Calcs!AK5)*Calcs!$O5</f>
        <v>30728.868930902678</v>
      </c>
      <c r="G144" s="632">
        <f ca="1">(G$118*G$119*G$135*Calcs!AL5)*Calcs!$O5</f>
        <v>0</v>
      </c>
      <c r="H144" s="632">
        <f ca="1">(H$118*H$119*H$135*Calcs!AM5)*Calcs!$O5</f>
        <v>24651.225923898339</v>
      </c>
      <c r="I144" s="632">
        <f ca="1">(I$118*I$119*I$135*Calcs!AN5)*Calcs!$O5</f>
        <v>0</v>
      </c>
      <c r="J144" s="632">
        <f ca="1">(J$118*J$119*J$135*Calcs!AO5)*Calcs!$O5</f>
        <v>42008.202841480008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231606.89922172349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7815.22480092759</v>
      </c>
      <c r="AC144" s="632">
        <f ca="1">(AC$135*Calcs!AJ5-AC$140*AC$122)*Calcs!$O5</f>
        <v>0</v>
      </c>
      <c r="AD144" s="632">
        <f ca="1">(AD$135*Calcs!AK5-AD$140*AD$122)*Calcs!$O5</f>
        <v>444.20056269118822</v>
      </c>
      <c r="AE144" s="632">
        <f ca="1">(AE$135*Calcs!AL5-AE$140*AE$122)*Calcs!$O5</f>
        <v>0</v>
      </c>
      <c r="AF144" s="632">
        <f ca="1">(AF$135*Calcs!AM5-AF$140*AF$122)*Calcs!$O5</f>
        <v>-1072.6130619808118</v>
      </c>
      <c r="AG144" s="632">
        <f ca="1">(AG$135*Calcs!AN5-AG$140*AG$122)*Calcs!$O5</f>
        <v>0</v>
      </c>
      <c r="AH144" s="632">
        <f ca="1">(AH$135*Calcs!AO5-AH$140*AH$122)*Calcs!$O5</f>
        <v>1359.0528156972041</v>
      </c>
      <c r="AI144" s="632">
        <f ca="1">(AI$135*Calcs!AP5-AI$140*AI$122)*Calcs!$O5</f>
        <v>0</v>
      </c>
      <c r="AJ144" s="632">
        <f ca="1">(AJ$135*Calcs!AQ5-AJ$140*AJ$122)*Calcs!$O5</f>
        <v>226.11387488249747</v>
      </c>
      <c r="AK144" s="682">
        <f t="shared" ref="AK144:AK155" ca="1" si="47">SUM(AB144:AJ144)</f>
        <v>8771.9789922176697</v>
      </c>
      <c r="AL144" s="510"/>
      <c r="AM144" s="685">
        <f t="shared" ref="AM144:AM155" ca="1" si="48">M144+Y144+AK144</f>
        <v>240378.87821394115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138626.47662140091</v>
      </c>
      <c r="E145" s="632">
        <f ca="1">(E$118*E$119*E$135*Calcs!AJ6)*Calcs!$O6</f>
        <v>0</v>
      </c>
      <c r="F145" s="632">
        <f ca="1">(F$118*F$119*F$135*Calcs!AK6)*Calcs!$O6</f>
        <v>38989.774811947791</v>
      </c>
      <c r="G145" s="632">
        <f ca="1">(G$118*G$119*G$135*Calcs!AL6)*Calcs!$O6</f>
        <v>0</v>
      </c>
      <c r="H145" s="632">
        <f ca="1">(H$118*H$119*H$135*Calcs!AM6)*Calcs!$O6</f>
        <v>31056.217498532787</v>
      </c>
      <c r="I145" s="632">
        <f ca="1">(I$118*I$119*I$135*Calcs!AN6)*Calcs!$O6</f>
        <v>0</v>
      </c>
      <c r="J145" s="632">
        <f ca="1">(J$118*J$119*J$135*Calcs!AO6)*Calcs!$O6</f>
        <v>51284.115210957374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259956.58414283884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8470.0963735066543</v>
      </c>
      <c r="AC145" s="632">
        <f ca="1">(AC$135*Calcs!AJ6-AC$140*AC$122)*Calcs!$O6</f>
        <v>0</v>
      </c>
      <c r="AD145" s="632">
        <f ca="1">(AD$135*Calcs!AK6-AD$140*AD$122)*Calcs!$O6</f>
        <v>1312.4428205260883</v>
      </c>
      <c r="AE145" s="632">
        <f ca="1">(AE$135*Calcs!AL6-AE$140*AE$122)*Calcs!$O6</f>
        <v>0</v>
      </c>
      <c r="AF145" s="632">
        <f ca="1">(AF$135*Calcs!AM6-AF$140*AF$122)*Calcs!$O6</f>
        <v>-255.74027911114945</v>
      </c>
      <c r="AG145" s="632">
        <f ca="1">(AG$135*Calcs!AN6-AG$140*AG$122)*Calcs!$O6</f>
        <v>0</v>
      </c>
      <c r="AH145" s="632">
        <f ca="1">(AH$135*Calcs!AO6-AH$140*AH$122)*Calcs!$O6</f>
        <v>2309.6209431375055</v>
      </c>
      <c r="AI145" s="632">
        <f ca="1">(AI$135*Calcs!AP6-AI$140*AI$122)*Calcs!$O6</f>
        <v>0</v>
      </c>
      <c r="AJ145" s="632">
        <f ca="1">(AJ$135*Calcs!AQ6-AJ$140*AJ$122)*Calcs!$O6</f>
        <v>2349.9233452580861</v>
      </c>
      <c r="AK145" s="682">
        <f t="shared" ca="1" si="47"/>
        <v>14186.343203317187</v>
      </c>
      <c r="AL145" s="510"/>
      <c r="AM145" s="685">
        <f t="shared" ca="1" si="48"/>
        <v>274142.92734615604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156613.74681575267</v>
      </c>
      <c r="E146" s="632">
        <f ca="1">(E$118*E$119*E$135*Calcs!AJ7)*Calcs!$O7</f>
        <v>0</v>
      </c>
      <c r="F146" s="632">
        <f ca="1">(F$118*F$119*F$135*Calcs!AK7)*Calcs!$O7</f>
        <v>60532.082353235804</v>
      </c>
      <c r="G146" s="632">
        <f ca="1">(G$118*G$119*G$135*Calcs!AL7)*Calcs!$O7</f>
        <v>0</v>
      </c>
      <c r="H146" s="632">
        <f ca="1">(H$118*H$119*H$135*Calcs!AM7)*Calcs!$O7</f>
        <v>45872.233730367596</v>
      </c>
      <c r="I146" s="632">
        <f ca="1">(I$118*I$119*I$135*Calcs!AN7)*Calcs!$O7</f>
        <v>0</v>
      </c>
      <c r="J146" s="632">
        <f ca="1">(J$118*J$119*J$135*Calcs!AO7)*Calcs!$O7</f>
        <v>71388.967594063302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334407.03049341938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9631.8642810991751</v>
      </c>
      <c r="AC146" s="632">
        <f ca="1">(AC$135*Calcs!AJ7-AC$140*AC$122)*Calcs!$O7</f>
        <v>0</v>
      </c>
      <c r="AD146" s="632">
        <f ca="1">(AD$135*Calcs!AK7-AD$140*AD$122)*Calcs!$O7</f>
        <v>2861.5008361295008</v>
      </c>
      <c r="AE146" s="632">
        <f ca="1">(AE$135*Calcs!AL7-AE$140*AE$122)*Calcs!$O7</f>
        <v>0</v>
      </c>
      <c r="AF146" s="632">
        <f ca="1">(AF$135*Calcs!AM7-AF$140*AF$122)*Calcs!$O7</f>
        <v>648.78325362788496</v>
      </c>
      <c r="AG146" s="632">
        <f ca="1">(AG$135*Calcs!AN7-AG$140*AG$122)*Calcs!$O7</f>
        <v>0</v>
      </c>
      <c r="AH146" s="632">
        <f ca="1">(AH$135*Calcs!AO7-AH$140*AH$122)*Calcs!$O7</f>
        <v>3742.0888213725411</v>
      </c>
      <c r="AI146" s="632">
        <f ca="1">(AI$135*Calcs!AP7-AI$140*AI$122)*Calcs!$O7</f>
        <v>0</v>
      </c>
      <c r="AJ146" s="632">
        <f ca="1">(AJ$135*Calcs!AQ7-AJ$140*AJ$122)*Calcs!$O7</f>
        <v>5695.4674319400001</v>
      </c>
      <c r="AK146" s="682">
        <f t="shared" ca="1" si="47"/>
        <v>22579.704624169102</v>
      </c>
      <c r="AL146" s="510"/>
      <c r="AM146" s="685">
        <f t="shared" ca="1" si="48"/>
        <v>356986.73511758848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134291.52571474278</v>
      </c>
      <c r="E147" s="632">
        <f ca="1">(E$118*E$119*E$135*Calcs!AJ8)*Calcs!$O8</f>
        <v>0</v>
      </c>
      <c r="F147" s="632">
        <f ca="1">(F$118*F$119*F$135*Calcs!AK8)*Calcs!$O8</f>
        <v>72511.778227205577</v>
      </c>
      <c r="G147" s="632">
        <f ca="1">(G$118*G$119*G$135*Calcs!AL8)*Calcs!$O8</f>
        <v>0</v>
      </c>
      <c r="H147" s="632">
        <f ca="1">(H$118*H$119*H$135*Calcs!AM8)*Calcs!$O8</f>
        <v>56106.26094749607</v>
      </c>
      <c r="I147" s="632">
        <f ca="1">(I$118*I$119*I$135*Calcs!AN8)*Calcs!$O8</f>
        <v>0</v>
      </c>
      <c r="J147" s="632">
        <f ca="1">(J$118*J$119*J$135*Calcs!AO8)*Calcs!$O8</f>
        <v>86150.477161932838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349060.04205137724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7920.2454037409898</v>
      </c>
      <c r="AC147" s="632">
        <f ca="1">(AC$135*Calcs!AJ8-AC$140*AC$122)*Calcs!$O8</f>
        <v>0</v>
      </c>
      <c r="AD147" s="632">
        <f ca="1">(AD$135*Calcs!AK8-AD$140*AD$122)*Calcs!$O8</f>
        <v>3899.2288185476773</v>
      </c>
      <c r="AE147" s="632">
        <f ca="1">(AE$135*Calcs!AL8-AE$140*AE$122)*Calcs!$O8</f>
        <v>0</v>
      </c>
      <c r="AF147" s="632">
        <f ca="1">(AF$135*Calcs!AM8-AF$140*AF$122)*Calcs!$O8</f>
        <v>1578.0477130073959</v>
      </c>
      <c r="AG147" s="632">
        <f ca="1">(AG$135*Calcs!AN8-AG$140*AG$122)*Calcs!$O8</f>
        <v>0</v>
      </c>
      <c r="AH147" s="632">
        <f ca="1">(AH$135*Calcs!AO8-AH$140*AH$122)*Calcs!$O8</f>
        <v>5005.4461313275715</v>
      </c>
      <c r="AI147" s="632">
        <f ca="1">(AI$135*Calcs!AP8-AI$140*AI$122)*Calcs!$O8</f>
        <v>0</v>
      </c>
      <c r="AJ147" s="632">
        <f ca="1">(AJ$135*Calcs!AQ8-AJ$140*AJ$122)*Calcs!$O8</f>
        <v>8528.3765344111325</v>
      </c>
      <c r="AK147" s="682">
        <f t="shared" ca="1" si="47"/>
        <v>26931.344601034769</v>
      </c>
      <c r="AL147" s="510"/>
      <c r="AM147" s="685">
        <f t="shared" ca="1" si="48"/>
        <v>375991.38665241201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141595.68617807532</v>
      </c>
      <c r="E148" s="632">
        <f ca="1">(E$118*E$119*E$135*Calcs!AJ9)*Calcs!$O9</f>
        <v>0</v>
      </c>
      <c r="F148" s="632">
        <f ca="1">(F$118*F$119*F$135*Calcs!AK9)*Calcs!$O9</f>
        <v>98523.314341771504</v>
      </c>
      <c r="G148" s="632">
        <f ca="1">(G$118*G$119*G$135*Calcs!AL9)*Calcs!$O9</f>
        <v>0</v>
      </c>
      <c r="H148" s="632">
        <f ca="1">(H$118*H$119*H$135*Calcs!AM9)*Calcs!$O9</f>
        <v>82010.760672776218</v>
      </c>
      <c r="I148" s="632">
        <f ca="1">(I$118*I$119*I$135*Calcs!AN9)*Calcs!$O9</f>
        <v>0</v>
      </c>
      <c r="J148" s="632">
        <f ca="1">(J$118*J$119*J$135*Calcs!AO9)*Calcs!$O9</f>
        <v>113447.39790150578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435577.15909412887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8413.6358875633705</v>
      </c>
      <c r="AC148" s="632">
        <f ca="1">(AC$135*Calcs!AJ9-AC$140*AC$122)*Calcs!$O9</f>
        <v>0</v>
      </c>
      <c r="AD148" s="632">
        <f ca="1">(AD$135*Calcs!AK9-AD$140*AD$122)*Calcs!$O9</f>
        <v>5942.9207546047328</v>
      </c>
      <c r="AE148" s="632">
        <f ca="1">(AE$135*Calcs!AL9-AE$140*AE$122)*Calcs!$O9</f>
        <v>0</v>
      </c>
      <c r="AF148" s="632">
        <f ca="1">(AF$135*Calcs!AM9-AF$140*AF$122)*Calcs!$O9</f>
        <v>3580.2522817493195</v>
      </c>
      <c r="AG148" s="632">
        <f ca="1">(AG$135*Calcs!AN9-AG$140*AG$122)*Calcs!$O9</f>
        <v>0</v>
      </c>
      <c r="AH148" s="632">
        <f ca="1">(AH$135*Calcs!AO9-AH$140*AH$122)*Calcs!$O9</f>
        <v>7153.3939595755846</v>
      </c>
      <c r="AI148" s="632">
        <f ca="1">(AI$135*Calcs!AP9-AI$140*AI$122)*Calcs!$O9</f>
        <v>0</v>
      </c>
      <c r="AJ148" s="632">
        <f ca="1">(AJ$135*Calcs!AQ9-AJ$140*AJ$122)*Calcs!$O9</f>
        <v>13981.123859709913</v>
      </c>
      <c r="AK148" s="682">
        <f t="shared" ca="1" si="47"/>
        <v>39071.326743202917</v>
      </c>
      <c r="AL148" s="510"/>
      <c r="AM148" s="685">
        <f t="shared" ca="1" si="48"/>
        <v>474648.4858373318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125515.28735087873</v>
      </c>
      <c r="E149" s="632">
        <f ca="1">(E$118*E$119*E$135*Calcs!AJ10)*Calcs!$O10</f>
        <v>0</v>
      </c>
      <c r="F149" s="632">
        <f ca="1">(F$118*F$119*F$135*Calcs!AK10)*Calcs!$O10</f>
        <v>102350.82675098063</v>
      </c>
      <c r="G149" s="632">
        <f ca="1">(G$118*G$119*G$135*Calcs!AL10)*Calcs!$O10</f>
        <v>0</v>
      </c>
      <c r="H149" s="632">
        <f ca="1">(H$118*H$119*H$135*Calcs!AM10)*Calcs!$O10</f>
        <v>91191.024586919739</v>
      </c>
      <c r="I149" s="632">
        <f ca="1">(I$118*I$119*I$135*Calcs!AN10)*Calcs!$O10</f>
        <v>0</v>
      </c>
      <c r="J149" s="632">
        <f ca="1">(J$118*J$119*J$135*Calcs!AO10)*Calcs!$O10</f>
        <v>113874.24188158289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432931.38057036197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7208.338385835189</v>
      </c>
      <c r="AC149" s="632">
        <f ca="1">(AC$135*Calcs!AJ10-AC$140*AC$122)*Calcs!$O10</f>
        <v>0</v>
      </c>
      <c r="AD149" s="632">
        <f ca="1">(AD$135*Calcs!AK10-AD$140*AD$122)*Calcs!$O10</f>
        <v>6319.4356309315308</v>
      </c>
      <c r="AE149" s="632">
        <f ca="1">(AE$135*Calcs!AL10-AE$140*AE$122)*Calcs!$O10</f>
        <v>0</v>
      </c>
      <c r="AF149" s="632">
        <f ca="1">(AF$135*Calcs!AM10-AF$140*AF$122)*Calcs!$O10</f>
        <v>4424.0380360727513</v>
      </c>
      <c r="AG149" s="632">
        <f ca="1">(AG$135*Calcs!AN10-AG$140*AG$122)*Calcs!$O10</f>
        <v>0</v>
      </c>
      <c r="AH149" s="632">
        <f ca="1">(AH$135*Calcs!AO10-AH$140*AH$122)*Calcs!$O10</f>
        <v>7254.0849974751509</v>
      </c>
      <c r="AI149" s="632">
        <f ca="1">(AI$135*Calcs!AP10-AI$140*AI$122)*Calcs!$O10</f>
        <v>0</v>
      </c>
      <c r="AJ149" s="632">
        <f ca="1">(AJ$135*Calcs!AQ10-AJ$140*AJ$122)*Calcs!$O10</f>
        <v>14534.520884287827</v>
      </c>
      <c r="AK149" s="682">
        <f t="shared" ca="1" si="47"/>
        <v>39740.417934602447</v>
      </c>
      <c r="AL149" s="510"/>
      <c r="AM149" s="685">
        <f t="shared" ca="1" si="48"/>
        <v>472671.79850496445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139393.07251602059</v>
      </c>
      <c r="E150" s="632">
        <f ca="1">(E$118*E$119*E$135*Calcs!AJ11)*Calcs!$O11</f>
        <v>0</v>
      </c>
      <c r="F150" s="632">
        <f ca="1">(F$118*F$119*F$135*Calcs!AK11)*Calcs!$O11</f>
        <v>100502.56141760775</v>
      </c>
      <c r="G150" s="632">
        <f ca="1">(G$118*G$119*G$135*Calcs!AL11)*Calcs!$O11</f>
        <v>0</v>
      </c>
      <c r="H150" s="632">
        <f ca="1">(H$118*H$119*H$135*Calcs!AM11)*Calcs!$O11</f>
        <v>91114.854637359167</v>
      </c>
      <c r="I150" s="632">
        <f ca="1">(I$118*I$119*I$135*Calcs!AN11)*Calcs!$O11</f>
        <v>0</v>
      </c>
      <c r="J150" s="632">
        <f ca="1">(J$118*J$119*J$135*Calcs!AO11)*Calcs!$O11</f>
        <v>118663.39805397973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449673.88662496721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8234.9652477356758</v>
      </c>
      <c r="AC150" s="632">
        <f ca="1">(AC$135*Calcs!AJ11-AC$140*AC$122)*Calcs!$O11</f>
        <v>0</v>
      </c>
      <c r="AD150" s="632">
        <f ca="1">(AD$135*Calcs!AK11-AD$140*AD$122)*Calcs!$O11</f>
        <v>6103.4549369367533</v>
      </c>
      <c r="AE150" s="632">
        <f ca="1">(AE$135*Calcs!AL11-AE$140*AE$122)*Calcs!$O11</f>
        <v>0</v>
      </c>
      <c r="AF150" s="632">
        <f ca="1">(AF$135*Calcs!AM11-AF$140*AF$122)*Calcs!$O11</f>
        <v>4318.7541451156258</v>
      </c>
      <c r="AG150" s="632">
        <f ca="1">(AG$135*Calcs!AN11-AG$140*AG$122)*Calcs!$O11</f>
        <v>0</v>
      </c>
      <c r="AH150" s="632">
        <f ca="1">(AH$135*Calcs!AO11-AH$140*AH$122)*Calcs!$O11</f>
        <v>7576.4570171108917</v>
      </c>
      <c r="AI150" s="632">
        <f ca="1">(AI$135*Calcs!AP11-AI$140*AI$122)*Calcs!$O11</f>
        <v>0</v>
      </c>
      <c r="AJ150" s="632">
        <f ca="1">(AJ$135*Calcs!AQ11-AJ$140*AJ$122)*Calcs!$O11</f>
        <v>14637.592981189564</v>
      </c>
      <c r="AK150" s="682">
        <f t="shared" ca="1" si="47"/>
        <v>40871.224328088509</v>
      </c>
      <c r="AL150" s="510"/>
      <c r="AM150" s="685">
        <f t="shared" ca="1" si="48"/>
        <v>490545.11095305573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145783.15597952277</v>
      </c>
      <c r="E151" s="632">
        <f ca="1">(E$118*E$119*E$135*Calcs!AJ12)*Calcs!$O12</f>
        <v>0</v>
      </c>
      <c r="F151" s="632">
        <f ca="1">(F$118*F$119*F$135*Calcs!AK12)*Calcs!$O12</f>
        <v>88378.68741376471</v>
      </c>
      <c r="G151" s="632">
        <f ca="1">(G$118*G$119*G$135*Calcs!AL12)*Calcs!$O12</f>
        <v>0</v>
      </c>
      <c r="H151" s="632">
        <f ca="1">(H$118*H$119*H$135*Calcs!AM12)*Calcs!$O12</f>
        <v>70973.03125115484</v>
      </c>
      <c r="I151" s="632">
        <f ca="1">(I$118*I$119*I$135*Calcs!AN12)*Calcs!$O12</f>
        <v>0</v>
      </c>
      <c r="J151" s="632">
        <f ca="1">(J$118*J$119*J$135*Calcs!AO12)*Calcs!$O12</f>
        <v>102391.51746860487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407526.39211304719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8753.31320890797</v>
      </c>
      <c r="AC151" s="632">
        <f ca="1">(AC$135*Calcs!AJ12-AC$140*AC$122)*Calcs!$O12</f>
        <v>0</v>
      </c>
      <c r="AD151" s="632">
        <f ca="1">(AD$135*Calcs!AK12-AD$140*AD$122)*Calcs!$O12</f>
        <v>5120.1031241869214</v>
      </c>
      <c r="AE151" s="632">
        <f ca="1">(AE$135*Calcs!AL12-AE$140*AE$122)*Calcs!$O12</f>
        <v>0</v>
      </c>
      <c r="AF151" s="632">
        <f ca="1">(AF$135*Calcs!AM12-AF$140*AF$122)*Calcs!$O12</f>
        <v>2684.8986334992833</v>
      </c>
      <c r="AG151" s="632">
        <f ca="1">(AG$135*Calcs!AN12-AG$140*AG$122)*Calcs!$O12</f>
        <v>0</v>
      </c>
      <c r="AH151" s="632">
        <f ca="1">(AH$135*Calcs!AO12-AH$140*AH$122)*Calcs!$O12</f>
        <v>6256.6657304804658</v>
      </c>
      <c r="AI151" s="632">
        <f ca="1">(AI$135*Calcs!AP12-AI$140*AI$122)*Calcs!$O12</f>
        <v>0</v>
      </c>
      <c r="AJ151" s="632">
        <f ca="1">(AJ$135*Calcs!AQ12-AJ$140*AJ$122)*Calcs!$O12</f>
        <v>11319.830927931131</v>
      </c>
      <c r="AK151" s="682">
        <f t="shared" ca="1" si="47"/>
        <v>34134.811625005772</v>
      </c>
      <c r="AL151" s="510"/>
      <c r="AM151" s="685">
        <f t="shared" ca="1" si="48"/>
        <v>441661.20373805298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158921.62110395168</v>
      </c>
      <c r="E152" s="632">
        <f ca="1">(E$118*E$119*E$135*Calcs!AJ13)*Calcs!$O13</f>
        <v>0</v>
      </c>
      <c r="F152" s="632">
        <f ca="1">(F$118*F$119*F$135*Calcs!AK13)*Calcs!$O13</f>
        <v>71196.859010717541</v>
      </c>
      <c r="G152" s="632">
        <f ca="1">(G$118*G$119*G$135*Calcs!AL13)*Calcs!$O13</f>
        <v>0</v>
      </c>
      <c r="H152" s="632">
        <f ca="1">(H$118*H$119*H$135*Calcs!AM13)*Calcs!$O13</f>
        <v>49586.863743637005</v>
      </c>
      <c r="I152" s="632">
        <f ca="1">(I$118*I$119*I$135*Calcs!AN13)*Calcs!$O13</f>
        <v>0</v>
      </c>
      <c r="J152" s="632">
        <f ca="1">(J$118*J$119*J$135*Calcs!AO13)*Calcs!$O13</f>
        <v>82177.741498540374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361883.08535684663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9918.1785765071672</v>
      </c>
      <c r="AC152" s="632">
        <f ca="1">(AC$135*Calcs!AJ13-AC$140*AC$122)*Calcs!$O13</f>
        <v>0</v>
      </c>
      <c r="AD152" s="632">
        <f ca="1">(AD$135*Calcs!AK13-AD$140*AD$122)*Calcs!$O13</f>
        <v>3792.5774136631303</v>
      </c>
      <c r="AE152" s="632">
        <f ca="1">(AE$135*Calcs!AL13-AE$140*AE$122)*Calcs!$O13</f>
        <v>0</v>
      </c>
      <c r="AF152" s="632">
        <f ca="1">(AF$135*Calcs!AM13-AF$140*AF$122)*Calcs!$O13</f>
        <v>1049.2101370987036</v>
      </c>
      <c r="AG152" s="632">
        <f ca="1">(AG$135*Calcs!AN13-AG$140*AG$122)*Calcs!$O13</f>
        <v>0</v>
      </c>
      <c r="AH152" s="632">
        <f ca="1">(AH$135*Calcs!AO13-AH$140*AH$122)*Calcs!$O13</f>
        <v>4683.2226559817727</v>
      </c>
      <c r="AI152" s="632">
        <f ca="1">(AI$135*Calcs!AP13-AI$140*AI$122)*Calcs!$O13</f>
        <v>0</v>
      </c>
      <c r="AJ152" s="632">
        <f ca="1">(AJ$135*Calcs!AQ13-AJ$140*AJ$122)*Calcs!$O13</f>
        <v>7891.1967271946105</v>
      </c>
      <c r="AK152" s="682">
        <f t="shared" ca="1" si="47"/>
        <v>27334.385510445383</v>
      </c>
      <c r="AL152" s="510"/>
      <c r="AM152" s="685">
        <f t="shared" ca="1" si="48"/>
        <v>389217.47086729202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163966.3483205876</v>
      </c>
      <c r="E153" s="632">
        <f ca="1">(E$118*E$119*E$135*Calcs!AJ14)*Calcs!$O14</f>
        <v>0</v>
      </c>
      <c r="F153" s="632">
        <f ca="1">(F$118*F$119*F$135*Calcs!AK14)*Calcs!$O14</f>
        <v>52975.104301842352</v>
      </c>
      <c r="G153" s="632">
        <f ca="1">(G$118*G$119*G$135*Calcs!AL14)*Calcs!$O14</f>
        <v>0</v>
      </c>
      <c r="H153" s="632">
        <f ca="1">(H$118*H$119*H$135*Calcs!AM14)*Calcs!$O14</f>
        <v>37011.601746155502</v>
      </c>
      <c r="I153" s="632">
        <f ca="1">(I$118*I$119*I$135*Calcs!AN14)*Calcs!$O14</f>
        <v>0</v>
      </c>
      <c r="J153" s="632">
        <f ca="1">(J$118*J$119*J$135*Calcs!AO14)*Calcs!$O14</f>
        <v>62693.558528215217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316646.61289680062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10228.289354591838</v>
      </c>
      <c r="AC153" s="632">
        <f ca="1">(AC$135*Calcs!AJ14-AC$140*AC$122)*Calcs!$O14</f>
        <v>0</v>
      </c>
      <c r="AD153" s="632">
        <f ca="1">(AD$135*Calcs!AK14-AD$140*AD$122)*Calcs!$O14</f>
        <v>2248.5640748770397</v>
      </c>
      <c r="AE153" s="632">
        <f ca="1">(AE$135*Calcs!AL14-AE$140*AE$122)*Calcs!$O14</f>
        <v>0</v>
      </c>
      <c r="AF153" s="632">
        <f ca="1">(AF$135*Calcs!AM14-AF$140*AF$122)*Calcs!$O14</f>
        <v>-69.969568607893578</v>
      </c>
      <c r="AG153" s="632">
        <f ca="1">(AG$135*Calcs!AN14-AG$140*AG$122)*Calcs!$O14</f>
        <v>0</v>
      </c>
      <c r="AH153" s="632">
        <f ca="1">(AH$135*Calcs!AO14-AH$140*AH$122)*Calcs!$O14</f>
        <v>3036.8153860999005</v>
      </c>
      <c r="AI153" s="632">
        <f ca="1">(AI$135*Calcs!AP14-AI$140*AI$122)*Calcs!$O14</f>
        <v>0</v>
      </c>
      <c r="AJ153" s="632">
        <f ca="1">(AJ$135*Calcs!AQ14-AJ$140*AJ$122)*Calcs!$O14</f>
        <v>4065.0460493055648</v>
      </c>
      <c r="AK153" s="682">
        <f t="shared" ca="1" si="47"/>
        <v>19508.74529626645</v>
      </c>
      <c r="AL153" s="510"/>
      <c r="AM153" s="685">
        <f t="shared" ca="1" si="48"/>
        <v>336155.35819306708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119111.99761915815</v>
      </c>
      <c r="E154" s="632">
        <f ca="1">(E$118*E$119*E$135*Calcs!AJ15)*Calcs!$O15</f>
        <v>0</v>
      </c>
      <c r="F154" s="632">
        <f ca="1">(F$118*F$119*F$135*Calcs!AK15)*Calcs!$O15</f>
        <v>31276.365959783849</v>
      </c>
      <c r="G154" s="632">
        <f ca="1">(G$118*G$119*G$135*Calcs!AL15)*Calcs!$O15</f>
        <v>0</v>
      </c>
      <c r="H154" s="632">
        <f ca="1">(H$118*H$119*H$135*Calcs!AM15)*Calcs!$O15</f>
        <v>26559.827194344372</v>
      </c>
      <c r="I154" s="632">
        <f ca="1">(I$118*I$119*I$135*Calcs!AN15)*Calcs!$O15</f>
        <v>0</v>
      </c>
      <c r="J154" s="632">
        <f ca="1">(J$118*J$119*J$135*Calcs!AO15)*Calcs!$O15</f>
        <v>38523.759187148273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215471.94996043463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6688.9191644446501</v>
      </c>
      <c r="AC154" s="632">
        <f ca="1">(AC$135*Calcs!AJ15-AC$140*AC$122)*Calcs!$O15</f>
        <v>0</v>
      </c>
      <c r="AD154" s="632">
        <f ca="1">(AD$135*Calcs!AK15-AD$140*AD$122)*Calcs!$O15</f>
        <v>554.67761405622491</v>
      </c>
      <c r="AE154" s="632">
        <f ca="1">(AE$135*Calcs!AL15-AE$140*AE$122)*Calcs!$O15</f>
        <v>0</v>
      </c>
      <c r="AF154" s="632">
        <f ca="1">(AF$135*Calcs!AM15-AF$140*AF$122)*Calcs!$O15</f>
        <v>-818.68681844811181</v>
      </c>
      <c r="AG154" s="632">
        <f ca="1">(AG$135*Calcs!AN15-AG$140*AG$122)*Calcs!$O15</f>
        <v>0</v>
      </c>
      <c r="AH154" s="632">
        <f ca="1">(AH$135*Calcs!AO15-AH$140*AH$122)*Calcs!$O15</f>
        <v>1142.5043487765483</v>
      </c>
      <c r="AI154" s="632">
        <f ca="1">(AI$135*Calcs!AP15-AI$140*AI$122)*Calcs!$O15</f>
        <v>0</v>
      </c>
      <c r="AJ154" s="632">
        <f ca="1">(AJ$135*Calcs!AQ15-AJ$140*AJ$122)*Calcs!$O15</f>
        <v>384.17507790417426</v>
      </c>
      <c r="AK154" s="682">
        <f t="shared" ca="1" si="47"/>
        <v>7951.5893867334853</v>
      </c>
      <c r="AL154" s="510"/>
      <c r="AM154" s="685">
        <f t="shared" ca="1" si="48"/>
        <v>223423.53934716812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124103.90877433856</v>
      </c>
      <c r="E155" s="632">
        <f ca="1">(E$118*E$119*E$135*Calcs!AJ16)*Calcs!$O16</f>
        <v>0</v>
      </c>
      <c r="F155" s="632">
        <f ca="1">(F$118*F$119*F$135*Calcs!AK16)*Calcs!$O16</f>
        <v>27904.514388274405</v>
      </c>
      <c r="G155" s="632">
        <f ca="1">(G$118*G$119*G$135*Calcs!AL16)*Calcs!$O16</f>
        <v>0</v>
      </c>
      <c r="H155" s="632">
        <f ca="1">(H$118*H$119*H$135*Calcs!AM16)*Calcs!$O16</f>
        <v>20641.519915849749</v>
      </c>
      <c r="I155" s="632">
        <f ca="1">(I$118*I$119*I$135*Calcs!AN16)*Calcs!$O16</f>
        <v>0</v>
      </c>
      <c r="J155" s="632">
        <f ca="1">(J$118*J$119*J$135*Calcs!AO16)*Calcs!$O16</f>
        <v>35064.868920266657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207714.81199872939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6994.74563264057</v>
      </c>
      <c r="AC155" s="632">
        <f ca="1">(AC$135*Calcs!AJ16-AC$140*AC$122)*Calcs!$O16</f>
        <v>0</v>
      </c>
      <c r="AD155" s="632">
        <f ca="1">(AD$135*Calcs!AK16-AD$140*AD$122)*Calcs!$O16</f>
        <v>215.12080167904162</v>
      </c>
      <c r="AE155" s="632">
        <f ca="1">(AE$135*Calcs!AL16-AE$140*AE$122)*Calcs!$O16</f>
        <v>0</v>
      </c>
      <c r="AF155" s="632">
        <f ca="1">(AF$135*Calcs!AM16-AF$140*AF$122)*Calcs!$O16</f>
        <v>-1397.8706186376978</v>
      </c>
      <c r="AG155" s="632">
        <f ca="1">(AG$135*Calcs!AN16-AG$140*AG$122)*Calcs!$O16</f>
        <v>0</v>
      </c>
      <c r="AH155" s="632">
        <f ca="1">(AH$135*Calcs!AO16-AH$140*AH$122)*Calcs!$O16</f>
        <v>795.88793986722737</v>
      </c>
      <c r="AI155" s="632">
        <f ca="1">(AI$135*Calcs!AP16-AI$140*AI$122)*Calcs!$O16</f>
        <v>0</v>
      </c>
      <c r="AJ155" s="632">
        <f ca="1">(AJ$135*Calcs!AQ16-AJ$140*AJ$122)*Calcs!$O16</f>
        <v>-637.70800996252933</v>
      </c>
      <c r="AK155" s="682">
        <f t="shared" ca="1" si="47"/>
        <v>5970.1757455866118</v>
      </c>
      <c r="AL155" s="510"/>
      <c r="AM155" s="685">
        <f t="shared" ca="1" si="48"/>
        <v>213684.98774431599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1682141.4285198725</v>
      </c>
      <c r="E156" s="672">
        <f t="shared" ca="1" si="49"/>
        <v>0</v>
      </c>
      <c r="F156" s="672">
        <f t="shared" ca="1" si="49"/>
        <v>775870.7379080347</v>
      </c>
      <c r="G156" s="672">
        <f t="shared" ca="1" si="49"/>
        <v>0</v>
      </c>
      <c r="H156" s="672">
        <f t="shared" ca="1" si="49"/>
        <v>626775.42184849142</v>
      </c>
      <c r="I156" s="672">
        <f t="shared" ca="1" si="49"/>
        <v>0</v>
      </c>
      <c r="J156" s="672">
        <f t="shared" ca="1" si="49"/>
        <v>917668.24624827725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4002455.8345246753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100277.81631750084</v>
      </c>
      <c r="AC156" s="677">
        <f t="shared" ca="1" si="51"/>
        <v>0</v>
      </c>
      <c r="AD156" s="677">
        <f t="shared" ca="1" si="51"/>
        <v>38814.227388829822</v>
      </c>
      <c r="AE156" s="677">
        <f t="shared" ca="1" si="51"/>
        <v>0</v>
      </c>
      <c r="AF156" s="677">
        <f t="shared" ca="1" si="51"/>
        <v>14669.103853385301</v>
      </c>
      <c r="AG156" s="677">
        <f t="shared" ca="1" si="51"/>
        <v>0</v>
      </c>
      <c r="AH156" s="677">
        <f t="shared" ca="1" si="51"/>
        <v>50315.240746902367</v>
      </c>
      <c r="AI156" s="677">
        <f t="shared" ca="1" si="51"/>
        <v>0</v>
      </c>
      <c r="AJ156" s="677">
        <f t="shared" ca="1" si="51"/>
        <v>82975.659684051963</v>
      </c>
      <c r="AK156" s="677">
        <f t="shared" ca="1" si="51"/>
        <v>287052.04799067031</v>
      </c>
      <c r="AL156" s="645"/>
      <c r="AM156" s="683">
        <f ca="1">SUM(AM144:AM155)</f>
        <v>4289507.8825153448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4.9937578027465666</v>
      </c>
      <c r="E175" s="569">
        <f>Inputs!C18/PeoDUnocc</f>
        <v>0.34883720930232559</v>
      </c>
      <c r="F175" s="569">
        <f>D175*$E$18+E175*(1-$E$18)</f>
        <v>1.7312540525893021</v>
      </c>
      <c r="G175" s="569">
        <f t="shared" ref="G175:I177" si="53">$D175*$F$19</f>
        <v>0.55485642946317104</v>
      </c>
      <c r="H175" s="569">
        <f t="shared" si="53"/>
        <v>0.55485642946317104</v>
      </c>
      <c r="I175" s="569">
        <f t="shared" si="53"/>
        <v>0.55485642946317104</v>
      </c>
      <c r="J175" s="633" t="s">
        <v>516</v>
      </c>
      <c r="K175" s="740">
        <f>Calcs!F175*Calcs!C2</f>
        <v>80192.432155179093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6.07</v>
      </c>
      <c r="E176" s="569">
        <f>Inputs!C28+Inputs!C30</f>
        <v>2.61</v>
      </c>
      <c r="F176" s="569">
        <f>D176*$E$18+E176*(1-$E$18)</f>
        <v>3.6397619047619045</v>
      </c>
      <c r="G176" s="569">
        <f t="shared" si="53"/>
        <v>0.67443770000000003</v>
      </c>
      <c r="H176" s="569">
        <f t="shared" si="53"/>
        <v>0.67443770000000003</v>
      </c>
      <c r="I176" s="569">
        <f t="shared" si="53"/>
        <v>0.67443770000000003</v>
      </c>
      <c r="J176" s="633" t="s">
        <v>517</v>
      </c>
      <c r="K176" s="741">
        <f>Calcs!F176*Calcs!C2</f>
        <v>168595.33652619045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8.4599828463950022</v>
      </c>
      <c r="E177" s="510"/>
      <c r="F177" s="602">
        <f>F47/C2/8760*1000</f>
        <v>3.1780821917808217</v>
      </c>
      <c r="G177" s="569">
        <f t="shared" si="53"/>
        <v>0.93998869406294872</v>
      </c>
      <c r="H177" s="569">
        <f t="shared" si="53"/>
        <v>0.93998869406294872</v>
      </c>
      <c r="I177" s="569">
        <f t="shared" si="53"/>
        <v>0.93998869406294872</v>
      </c>
      <c r="J177" s="633" t="s">
        <v>518</v>
      </c>
      <c r="K177" s="740">
        <f>Calcs!F177*Calcs!C2</f>
        <v>147210.13369863012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19.523740649141569</v>
      </c>
      <c r="E178" s="509"/>
      <c r="F178" s="687">
        <f>SUM(D175:D177)</f>
        <v>19.523740649141569</v>
      </c>
      <c r="G178" s="687">
        <f>SUM(G175:G177)</f>
        <v>2.1692828235261201</v>
      </c>
      <c r="H178" s="687">
        <f>SUM(H175:H177)</f>
        <v>2.1692828235261201</v>
      </c>
      <c r="I178" s="687">
        <f>SUM(I175:I177)</f>
        <v>2.1692828235261201</v>
      </c>
      <c r="J178" s="633" t="s">
        <v>519</v>
      </c>
      <c r="K178" s="740">
        <f>SUM(K175:K177)</f>
        <v>395997.90237999964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89710.430644732711</v>
      </c>
      <c r="D188" s="599">
        <f>$C$2*H$178*AC5</f>
        <v>32039.43951597597</v>
      </c>
      <c r="E188" s="599">
        <f>$C$2*I$178*AD5</f>
        <v>67282.822983549544</v>
      </c>
      <c r="F188" s="510"/>
      <c r="G188" s="688">
        <f t="shared" ref="G188:G199" ca="1" si="54">$AM144*DD5</f>
        <v>0</v>
      </c>
      <c r="H188" s="688">
        <f t="shared" ref="H188:H199" ca="1" si="55">$AM144*DE5</f>
        <v>68679.679489697461</v>
      </c>
      <c r="I188" s="688">
        <f t="shared" ref="I188:I199" ca="1" si="56">$AM144*DF5</f>
        <v>0</v>
      </c>
      <c r="J188" s="510"/>
      <c r="K188" s="599">
        <f t="shared" ref="K188:K199" ca="1" si="57">(C188+G188)/AB5</f>
        <v>100482.113177344</v>
      </c>
      <c r="L188" s="599">
        <f t="shared" ref="L188:L199" ca="1" si="58">IF(AC5=0,0,(D188+H188)/AC5)</f>
        <v>315875.37322567834</v>
      </c>
      <c r="M188" s="599">
        <f t="shared" ref="M188:M199" ca="1" si="59">(E188+I188)/AD5</f>
        <v>100482.113177344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81028.776066210208</v>
      </c>
      <c r="D189" s="599">
        <f t="shared" ref="D189:D199" si="61">$C$2*H$178*AC6</f>
        <v>28938.848595075069</v>
      </c>
      <c r="E189" s="599">
        <f t="shared" ref="E189:E199" si="62">$C$2*I$178*AD6</f>
        <v>60771.582049657649</v>
      </c>
      <c r="F189" s="510"/>
      <c r="G189" s="688">
        <f t="shared" ca="1" si="54"/>
        <v>670.91525053510054</v>
      </c>
      <c r="H189" s="688">
        <f t="shared" ca="1" si="55"/>
        <v>77991.093045062735</v>
      </c>
      <c r="I189" s="688">
        <f t="shared" ca="1" si="56"/>
        <v>503.18643790132546</v>
      </c>
      <c r="J189" s="510"/>
      <c r="K189" s="599">
        <f t="shared" ca="1" si="57"/>
        <v>101314.10133524962</v>
      </c>
      <c r="L189" s="599">
        <f t="shared" ca="1" si="58"/>
        <v>371284.51958381187</v>
      </c>
      <c r="M189" s="599">
        <f t="shared" ca="1" si="59"/>
        <v>101314.10133524962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89710.430644732711</v>
      </c>
      <c r="D190" s="599">
        <f t="shared" si="61"/>
        <v>32039.43951597597</v>
      </c>
      <c r="E190" s="599">
        <f t="shared" si="62"/>
        <v>67282.822983549544</v>
      </c>
      <c r="F190" s="510"/>
      <c r="G190" s="688">
        <f t="shared" ca="1" si="54"/>
        <v>3915.537379882272</v>
      </c>
      <c r="H190" s="688">
        <f t="shared" ca="1" si="55"/>
        <v>100038.44134365556</v>
      </c>
      <c r="I190" s="688">
        <f t="shared" ca="1" si="56"/>
        <v>2936.6530349117043</v>
      </c>
      <c r="J190" s="510"/>
      <c r="K190" s="599">
        <f t="shared" ca="1" si="57"/>
        <v>104867.79572649529</v>
      </c>
      <c r="L190" s="599">
        <f t="shared" ca="1" si="58"/>
        <v>414222.74463146087</v>
      </c>
      <c r="M190" s="599">
        <f t="shared" ca="1" si="59"/>
        <v>104867.7957264953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86816.545785225215</v>
      </c>
      <c r="D191" s="599">
        <f t="shared" si="61"/>
        <v>31005.909209009005</v>
      </c>
      <c r="E191" s="599">
        <f t="shared" si="62"/>
        <v>65112.409338918915</v>
      </c>
      <c r="F191" s="510"/>
      <c r="G191" s="688">
        <f t="shared" ca="1" si="54"/>
        <v>11919.030614798468</v>
      </c>
      <c r="H191" s="688">
        <f t="shared" ca="1" si="55"/>
        <v>101466.59516471846</v>
      </c>
      <c r="I191" s="688">
        <f t="shared" ca="1" si="56"/>
        <v>8939.2729610988536</v>
      </c>
      <c r="J191" s="510"/>
      <c r="K191" s="599">
        <f t="shared" ca="1" si="57"/>
        <v>114277.28750002741</v>
      </c>
      <c r="L191" s="599">
        <f t="shared" ca="1" si="58"/>
        <v>429309.04195189453</v>
      </c>
      <c r="M191" s="599">
        <f t="shared" ca="1" si="59"/>
        <v>114277.28750002742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89710.430644732711</v>
      </c>
      <c r="D192" s="599">
        <f t="shared" si="61"/>
        <v>32039.43951597597</v>
      </c>
      <c r="E192" s="599">
        <f t="shared" si="62"/>
        <v>67282.822983549544</v>
      </c>
      <c r="F192" s="510"/>
      <c r="G192" s="688">
        <f t="shared" ca="1" si="54"/>
        <v>20482.778105697787</v>
      </c>
      <c r="H192" s="688">
        <f t="shared" ca="1" si="55"/>
        <v>125372.46404353163</v>
      </c>
      <c r="I192" s="688">
        <f t="shared" ca="1" si="56"/>
        <v>15362.083579273345</v>
      </c>
      <c r="J192" s="510"/>
      <c r="K192" s="599">
        <f t="shared" ca="1" si="57"/>
        <v>123424.2929552313</v>
      </c>
      <c r="L192" s="599">
        <f t="shared" ca="1" si="58"/>
        <v>493675.32478340197</v>
      </c>
      <c r="M192" s="599">
        <f t="shared" ca="1" si="59"/>
        <v>123424.29295523131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86816.545785225215</v>
      </c>
      <c r="D193" s="599">
        <f t="shared" si="61"/>
        <v>31005.909209009005</v>
      </c>
      <c r="E193" s="599">
        <f t="shared" si="62"/>
        <v>65112.409338918915</v>
      </c>
      <c r="F193" s="510"/>
      <c r="G193" s="688">
        <f t="shared" ca="1" si="54"/>
        <v>25638.618749672863</v>
      </c>
      <c r="H193" s="688">
        <f t="shared" ca="1" si="55"/>
        <v>122229.77591229625</v>
      </c>
      <c r="I193" s="688">
        <f t="shared" ca="1" si="56"/>
        <v>19228.964062254643</v>
      </c>
      <c r="J193" s="510"/>
      <c r="K193" s="599">
        <f t="shared" ca="1" si="57"/>
        <v>130156.44043390983</v>
      </c>
      <c r="L193" s="599">
        <f t="shared" ca="1" si="58"/>
        <v>496597.12770793372</v>
      </c>
      <c r="M193" s="599">
        <f t="shared" ca="1" si="59"/>
        <v>130156.44043390983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89710.430644732711</v>
      </c>
      <c r="D194" s="599">
        <f t="shared" si="61"/>
        <v>32039.43951597597</v>
      </c>
      <c r="E194" s="599">
        <f t="shared" si="62"/>
        <v>67282.822983549544</v>
      </c>
      <c r="F194" s="510"/>
      <c r="G194" s="688">
        <f t="shared" ca="1" si="54"/>
        <v>23280.727265768743</v>
      </c>
      <c r="H194" s="688">
        <f t="shared" ca="1" si="55"/>
        <v>128515.38235370298</v>
      </c>
      <c r="I194" s="688">
        <f t="shared" ca="1" si="56"/>
        <v>17460.545449326553</v>
      </c>
      <c r="J194" s="510"/>
      <c r="K194" s="599">
        <f t="shared" ca="1" si="57"/>
        <v>126558.19658434304</v>
      </c>
      <c r="L194" s="599">
        <f t="shared" ca="1" si="58"/>
        <v>503532.1474407494</v>
      </c>
      <c r="M194" s="599">
        <f t="shared" ca="1" si="59"/>
        <v>126558.19658434305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89710.430644732711</v>
      </c>
      <c r="D195" s="599">
        <f t="shared" si="61"/>
        <v>32039.43951597597</v>
      </c>
      <c r="E195" s="599">
        <f t="shared" si="62"/>
        <v>67282.822983549544</v>
      </c>
      <c r="F195" s="510"/>
      <c r="G195" s="688">
        <f t="shared" ca="1" si="54"/>
        <v>15277.94097792834</v>
      </c>
      <c r="H195" s="688">
        <f t="shared" ca="1" si="55"/>
        <v>118549.94486476528</v>
      </c>
      <c r="I195" s="688">
        <f t="shared" ca="1" si="56"/>
        <v>11458.455733446257</v>
      </c>
      <c r="J195" s="510"/>
      <c r="K195" s="599">
        <f t="shared" ca="1" si="57"/>
        <v>117594.50226552539</v>
      </c>
      <c r="L195" s="599">
        <f t="shared" ca="1" si="58"/>
        <v>472278.53524426022</v>
      </c>
      <c r="M195" s="599">
        <f t="shared" ca="1" si="59"/>
        <v>117594.5022655254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86816.545785225215</v>
      </c>
      <c r="D196" s="599">
        <f t="shared" si="61"/>
        <v>31005.909209009005</v>
      </c>
      <c r="E196" s="599">
        <f t="shared" si="62"/>
        <v>65112.409338918915</v>
      </c>
      <c r="F196" s="510"/>
      <c r="G196" s="688">
        <f t="shared" ca="1" si="54"/>
        <v>7463.8257557454617</v>
      </c>
      <c r="H196" s="688">
        <f t="shared" ca="1" si="55"/>
        <v>107473.07879849641</v>
      </c>
      <c r="I196" s="688">
        <f t="shared" ca="1" si="56"/>
        <v>5597.8693168090958</v>
      </c>
      <c r="J196" s="510"/>
      <c r="K196" s="599">
        <f t="shared" ca="1" si="57"/>
        <v>109120.80039464199</v>
      </c>
      <c r="L196" s="599">
        <f t="shared" ca="1" si="58"/>
        <v>448774.4981724713</v>
      </c>
      <c r="M196" s="599">
        <f t="shared" ca="1" si="59"/>
        <v>109120.80039464198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89710.430644732711</v>
      </c>
      <c r="D197" s="599">
        <f t="shared" si="61"/>
        <v>32039.43951597597</v>
      </c>
      <c r="E197" s="599">
        <f t="shared" si="62"/>
        <v>67282.822983549544</v>
      </c>
      <c r="F197" s="510"/>
      <c r="G197" s="688">
        <f t="shared" ca="1" si="54"/>
        <v>2445.9575228850063</v>
      </c>
      <c r="H197" s="688">
        <f t="shared" ca="1" si="55"/>
        <v>94821.409293719509</v>
      </c>
      <c r="I197" s="688">
        <f t="shared" ca="1" si="56"/>
        <v>1834.4681421637547</v>
      </c>
      <c r="J197" s="510"/>
      <c r="K197" s="599">
        <f t="shared" ca="1" si="57"/>
        <v>103221.76094043204</v>
      </c>
      <c r="L197" s="599">
        <f t="shared" ca="1" si="58"/>
        <v>397861.08497664356</v>
      </c>
      <c r="M197" s="599">
        <f t="shared" ca="1" si="59"/>
        <v>103221.76094043204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86816.545785225215</v>
      </c>
      <c r="D198" s="599">
        <f t="shared" si="61"/>
        <v>31005.909209009005</v>
      </c>
      <c r="E198" s="599">
        <f t="shared" si="62"/>
        <v>65112.409338918915</v>
      </c>
      <c r="F198" s="510"/>
      <c r="G198" s="688">
        <f t="shared" ca="1" si="54"/>
        <v>332.2865949815573</v>
      </c>
      <c r="H198" s="688">
        <f t="shared" ca="1" si="55"/>
        <v>63669.153658842966</v>
      </c>
      <c r="I198" s="688">
        <f t="shared" ca="1" si="56"/>
        <v>249.214946236168</v>
      </c>
      <c r="J198" s="510"/>
      <c r="K198" s="599">
        <f t="shared" ca="1" si="57"/>
        <v>100866.70414375784</v>
      </c>
      <c r="L198" s="599">
        <f t="shared" ca="1" si="58"/>
        <v>306817.33336803882</v>
      </c>
      <c r="M198" s="599">
        <f t="shared" ca="1" si="59"/>
        <v>100866.70414375784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89710.430644732711</v>
      </c>
      <c r="D199" s="599">
        <f t="shared" si="61"/>
        <v>32039.43951597597</v>
      </c>
      <c r="E199" s="599">
        <f t="shared" si="62"/>
        <v>67282.822983549544</v>
      </c>
      <c r="F199" s="510"/>
      <c r="G199" s="688">
        <f t="shared" ca="1" si="54"/>
        <v>0</v>
      </c>
      <c r="H199" s="688">
        <f t="shared" ca="1" si="55"/>
        <v>61052.853641233152</v>
      </c>
      <c r="I199" s="688">
        <f t="shared" ca="1" si="56"/>
        <v>0</v>
      </c>
      <c r="J199" s="510"/>
      <c r="K199" s="599">
        <f t="shared" ca="1" si="57"/>
        <v>100482.113177344</v>
      </c>
      <c r="L199" s="599">
        <f t="shared" ca="1" si="58"/>
        <v>291956.11653246591</v>
      </c>
      <c r="M199" s="599">
        <f t="shared" ca="1" si="59"/>
        <v>100482.113177344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</v>
      </c>
      <c r="E205" s="693">
        <f>Inputs!C22</f>
        <v>17.399999999999999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</v>
      </c>
      <c r="E206" s="693">
        <f>Inputs!C24</f>
        <v>25.9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4539865344.3000002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239755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2521371469.75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16815.406459999998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16815.406459999998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1961454.6705694445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10</v>
      </c>
      <c r="G216" s="699">
        <f>$F$16</f>
        <v>14</v>
      </c>
      <c r="H216" s="699">
        <f>$E$16</f>
        <v>10</v>
      </c>
      <c r="I216" s="699">
        <f>$F$16</f>
        <v>14</v>
      </c>
      <c r="J216" s="699">
        <f>$E$16</f>
        <v>10</v>
      </c>
      <c r="K216" s="699">
        <f>$F$16</f>
        <v>14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</v>
      </c>
      <c r="E218" s="510"/>
      <c r="F218" s="569">
        <f>D218</f>
        <v>21</v>
      </c>
      <c r="G218" s="569">
        <f t="shared" ref="G218:G229" ca="1" si="64">(F218-$CS5-$K188/$D$211)*EXP(-$D$211/$D$212*G$216)+$CS5+$K188/$D$211</f>
        <v>18.66557133944081</v>
      </c>
      <c r="H218" s="569">
        <f t="shared" ref="H218:H229" ca="1" si="65">(G218-$CR5-$L188/$D$211)*EXP(-$D$211/$D$212*H$216)+$CR5+$L188/$D$211</f>
        <v>18.405155284089194</v>
      </c>
      <c r="I218" s="569">
        <f t="shared" ref="I218:I229" ca="1" si="66">(H218-$CS5-$M188/$D$211)*EXP(-$D$211/$D$212*I$216)+$CS5+$M188/$D$211</f>
        <v>16.364198789047276</v>
      </c>
      <c r="J218" s="569">
        <f t="shared" ref="J218:J229" ca="1" si="67">(I218-$CR5-$L188/$D$211)*EXP(-$D$211/$D$212*J$216)+$CR5+$L188/$D$211</f>
        <v>16.292857309532675</v>
      </c>
      <c r="K218" s="569">
        <f t="shared" ref="K218:K229" ca="1" si="68">(J218-$CS5-$M188/$D$211)*EXP(-$D$211/$D$212*K$216)+$CS5+$M188/$D$211</f>
        <v>14.490797830951816</v>
      </c>
      <c r="L218" s="687"/>
      <c r="M218" s="687">
        <f t="shared" ref="M218:M229" ca="1" si="69">$D$212/G$216/$D$211*(F231-$CS5-$K188/$D$211)*(1-EXP(-$D$211/$D$212*G$216))+$CS5+$K188/$D$211</f>
        <v>19.809442907517049</v>
      </c>
      <c r="N218" s="687">
        <f t="shared" ref="N218:N229" ca="1" si="70">$D$212/H$216/$D$211*(G231-$CR5-$L188/$D$211)*(1-EXP(-$D$211/$D$212*H$216))+$CR5+$L188/$D$211</f>
        <v>18.53350309989127</v>
      </c>
      <c r="O218" s="687">
        <f t="shared" ref="O218:O229" ca="1" si="71">$D$212/I$216/$D$211*(H231-$CS5-$M188/$D$211)*(1-EXP(-$D$211/$D$212*I$216))+$CS5+$M188/$D$211</f>
        <v>17.364268804380174</v>
      </c>
      <c r="P218" s="687">
        <f t="shared" ref="P218:P229" ca="1" si="72">$D$212/J$216/$D$211*(I231-$CR5-$L188/$D$211)*(1-EXP(-$D$211/$D$212*J$216))+$CR5+$L188/$D$211</f>
        <v>17.320662452333831</v>
      </c>
      <c r="Q218" s="687">
        <f t="shared" ref="Q218:Q229" ca="1" si="73">$D$212/K$216/$D$211*(J231-$CS5-$M188/$D$211)*(1-EXP(-$D$211/$D$212*K$216))+$CS5+$M188/$D$211</f>
        <v>16.417090865285886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</v>
      </c>
      <c r="E219" s="510"/>
      <c r="F219" s="569">
        <f t="shared" ref="F219:F229" si="74">D219</f>
        <v>21</v>
      </c>
      <c r="G219" s="569">
        <f t="shared" ca="1" si="64"/>
        <v>18.899469914802225</v>
      </c>
      <c r="H219" s="569">
        <f t="shared" ca="1" si="65"/>
        <v>19.075889287899489</v>
      </c>
      <c r="I219" s="569">
        <f t="shared" ca="1" si="66"/>
        <v>17.192972585850505</v>
      </c>
      <c r="J219" s="569">
        <f t="shared" ca="1" si="67"/>
        <v>17.509593187377028</v>
      </c>
      <c r="K219" s="569">
        <f t="shared" ca="1" si="68"/>
        <v>15.803821693919161</v>
      </c>
      <c r="L219" s="687"/>
      <c r="M219" s="687">
        <f t="shared" ca="1" si="69"/>
        <v>19.928731028213569</v>
      </c>
      <c r="N219" s="687">
        <f t="shared" ca="1" si="70"/>
        <v>18.988939805573477</v>
      </c>
      <c r="O219" s="687">
        <f t="shared" ca="1" si="71"/>
        <v>18.115602999415504</v>
      </c>
      <c r="P219" s="687">
        <f t="shared" ca="1" si="72"/>
        <v>17.551946089150366</v>
      </c>
      <c r="Q219" s="687">
        <f t="shared" ca="1" si="73"/>
        <v>16.639650839597152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</v>
      </c>
      <c r="E220" s="510"/>
      <c r="F220" s="569">
        <f t="shared" si="74"/>
        <v>21</v>
      </c>
      <c r="G220" s="569">
        <f t="shared" ca="1" si="64"/>
        <v>19.594065458229107</v>
      </c>
      <c r="H220" s="569">
        <f t="shared" ca="1" si="65"/>
        <v>20.49401466764072</v>
      </c>
      <c r="I220" s="569">
        <f t="shared" ca="1" si="66"/>
        <v>19.145306136465734</v>
      </c>
      <c r="J220" s="569">
        <f t="shared" ca="1" si="67"/>
        <v>20.082124204159683</v>
      </c>
      <c r="K220" s="569">
        <f t="shared" ca="1" si="68"/>
        <v>18.779999726948507</v>
      </c>
      <c r="L220" s="687"/>
      <c r="M220" s="687">
        <f t="shared" ca="1" si="69"/>
        <v>20.282974301784339</v>
      </c>
      <c r="N220" s="687">
        <f t="shared" ca="1" si="70"/>
        <v>20.050468607453197</v>
      </c>
      <c r="O220" s="687">
        <f t="shared" ca="1" si="71"/>
        <v>19.806174197459889</v>
      </c>
      <c r="P220" s="687">
        <f t="shared" ca="1" si="72"/>
        <v>19.620407077578939</v>
      </c>
      <c r="Q220" s="687">
        <f t="shared" ca="1" si="73"/>
        <v>19.418041571080604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</v>
      </c>
      <c r="E221" s="510"/>
      <c r="F221" s="569">
        <f t="shared" si="74"/>
        <v>21</v>
      </c>
      <c r="G221" s="569">
        <f t="shared" ca="1" si="64"/>
        <v>20.362318809645483</v>
      </c>
      <c r="H221" s="569">
        <f t="shared" ca="1" si="65"/>
        <v>21.761379284661388</v>
      </c>
      <c r="I221" s="569">
        <f t="shared" ca="1" si="66"/>
        <v>21.037587497368456</v>
      </c>
      <c r="J221" s="569">
        <f t="shared" ca="1" si="67"/>
        <v>22.38116971412261</v>
      </c>
      <c r="K221" s="569">
        <f t="shared" ca="1" si="68"/>
        <v>21.587280769036166</v>
      </c>
      <c r="L221" s="687"/>
      <c r="M221" s="687">
        <f t="shared" ca="1" si="69"/>
        <v>20.674783009330564</v>
      </c>
      <c r="N221" s="687">
        <f t="shared" ca="1" si="70"/>
        <v>21.071842858418947</v>
      </c>
      <c r="O221" s="687">
        <f t="shared" ca="1" si="71"/>
        <v>21.392245945784332</v>
      </c>
      <c r="P221" s="687">
        <f t="shared" ca="1" si="72"/>
        <v>21.718976123032121</v>
      </c>
      <c r="Q221" s="687">
        <f t="shared" ca="1" si="73"/>
        <v>21.976286870544918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</v>
      </c>
      <c r="E222" s="510"/>
      <c r="F222" s="569">
        <f t="shared" si="74"/>
        <v>21</v>
      </c>
      <c r="G222" s="569">
        <f t="shared" ca="1" si="64"/>
        <v>20.854051148669754</v>
      </c>
      <c r="H222" s="569">
        <f t="shared" ca="1" si="65"/>
        <v>23.146262092546536</v>
      </c>
      <c r="I222" s="569">
        <f t="shared" ca="1" si="66"/>
        <v>22.757574945469692</v>
      </c>
      <c r="J222" s="569">
        <f t="shared" ca="1" si="67"/>
        <v>24.893397496509309</v>
      </c>
      <c r="K222" s="569">
        <f t="shared" ca="1" si="68"/>
        <v>24.307112548181042</v>
      </c>
      <c r="L222" s="687"/>
      <c r="M222" s="687">
        <f t="shared" ca="1" si="69"/>
        <v>20.925566181127444</v>
      </c>
      <c r="N222" s="687">
        <f t="shared" ca="1" si="70"/>
        <v>22.016530411422007</v>
      </c>
      <c r="O222" s="687">
        <f t="shared" ca="1" si="71"/>
        <v>22.948031901353435</v>
      </c>
      <c r="P222" s="687">
        <f t="shared" ca="1" si="72"/>
        <v>23.84074289348715</v>
      </c>
      <c r="Q222" s="687">
        <f t="shared" ca="1" si="73"/>
        <v>24.594392555711067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</v>
      </c>
      <c r="E223" s="510"/>
      <c r="F223" s="569">
        <f t="shared" si="74"/>
        <v>21</v>
      </c>
      <c r="G223" s="569">
        <f t="shared" ca="1" si="64"/>
        <v>21.633680848275134</v>
      </c>
      <c r="H223" s="569">
        <f t="shared" ca="1" si="65"/>
        <v>24.275442771415566</v>
      </c>
      <c r="I223" s="569">
        <f t="shared" ca="1" si="66"/>
        <v>24.538677065698046</v>
      </c>
      <c r="J223" s="569">
        <f t="shared" ca="1" si="67"/>
        <v>26.941772316845949</v>
      </c>
      <c r="K223" s="569">
        <f t="shared" ca="1" si="68"/>
        <v>26.903449642851246</v>
      </c>
      <c r="L223" s="687"/>
      <c r="M223" s="687">
        <f t="shared" ca="1" si="69"/>
        <v>21.32317681882121</v>
      </c>
      <c r="N223" s="687">
        <f t="shared" ca="1" si="70"/>
        <v>22.973432523827881</v>
      </c>
      <c r="O223" s="687">
        <f t="shared" ca="1" si="71"/>
        <v>24.409692089605343</v>
      </c>
      <c r="P223" s="687">
        <f t="shared" ca="1" si="72"/>
        <v>25.757390554236395</v>
      </c>
      <c r="Q223" s="687">
        <f t="shared" ca="1" si="73"/>
        <v>26.922227778133689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</v>
      </c>
      <c r="E224" s="510"/>
      <c r="F224" s="569">
        <f t="shared" si="74"/>
        <v>21</v>
      </c>
      <c r="G224" s="569">
        <f t="shared" ca="1" si="64"/>
        <v>21.969575576294872</v>
      </c>
      <c r="H224" s="569">
        <f t="shared" ca="1" si="65"/>
        <v>24.846800262773762</v>
      </c>
      <c r="I224" s="569">
        <f t="shared" ca="1" si="66"/>
        <v>25.381309803515002</v>
      </c>
      <c r="J224" s="569">
        <f t="shared" ca="1" si="67"/>
        <v>27.978235586728548</v>
      </c>
      <c r="K224" s="569">
        <f t="shared" ca="1" si="68"/>
        <v>28.158585550958975</v>
      </c>
      <c r="L224" s="687"/>
      <c r="M224" s="687">
        <f t="shared" ca="1" si="69"/>
        <v>21.494482910769094</v>
      </c>
      <c r="N224" s="687">
        <f t="shared" ca="1" si="70"/>
        <v>23.4287405982774</v>
      </c>
      <c r="O224" s="687">
        <f t="shared" ca="1" si="71"/>
        <v>25.119399779512406</v>
      </c>
      <c r="P224" s="687">
        <f t="shared" ca="1" si="72"/>
        <v>26.698323134228197</v>
      </c>
      <c r="Q224" s="687">
        <f t="shared" ca="1" si="73"/>
        <v>28.070213950715967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</v>
      </c>
      <c r="E225" s="510"/>
      <c r="F225" s="569">
        <f t="shared" si="74"/>
        <v>21</v>
      </c>
      <c r="G225" s="569">
        <f t="shared" ca="1" si="64"/>
        <v>21.643584474578901</v>
      </c>
      <c r="H225" s="569">
        <f t="shared" ca="1" si="65"/>
        <v>24.201901537072114</v>
      </c>
      <c r="I225" s="569">
        <f t="shared" ca="1" si="66"/>
        <v>24.483356836022178</v>
      </c>
      <c r="J225" s="569">
        <f t="shared" ca="1" si="67"/>
        <v>26.808365843015313</v>
      </c>
      <c r="K225" s="569">
        <f t="shared" ca="1" si="68"/>
        <v>26.795034822183567</v>
      </c>
      <c r="L225" s="687"/>
      <c r="M225" s="687">
        <f t="shared" ca="1" si="69"/>
        <v>21.328227661768974</v>
      </c>
      <c r="N225" s="687">
        <f t="shared" ca="1" si="70"/>
        <v>22.941017653945782</v>
      </c>
      <c r="O225" s="687">
        <f t="shared" ca="1" si="71"/>
        <v>24.345443555743884</v>
      </c>
      <c r="P225" s="687">
        <f t="shared" ca="1" si="72"/>
        <v>25.662469414452925</v>
      </c>
      <c r="Q225" s="687">
        <f t="shared" ca="1" si="73"/>
        <v>26.801567031096397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</v>
      </c>
      <c r="E226" s="510"/>
      <c r="F226" s="569">
        <f t="shared" si="74"/>
        <v>21</v>
      </c>
      <c r="G226" s="569">
        <f t="shared" ca="1" si="64"/>
        <v>21.14697929164085</v>
      </c>
      <c r="H226" s="569">
        <f t="shared" ca="1" si="65"/>
        <v>23.360952861146519</v>
      </c>
      <c r="I226" s="569">
        <f t="shared" ca="1" si="66"/>
        <v>23.240912725922875</v>
      </c>
      <c r="J226" s="569">
        <f t="shared" ca="1" si="67"/>
        <v>25.282854359160719</v>
      </c>
      <c r="K226" s="569">
        <f t="shared" ca="1" si="68"/>
        <v>24.945450698838759</v>
      </c>
      <c r="L226" s="687"/>
      <c r="M226" s="687">
        <f t="shared" ca="1" si="69"/>
        <v>21.074959342758078</v>
      </c>
      <c r="N226" s="687">
        <f t="shared" ca="1" si="70"/>
        <v>22.269780999619378</v>
      </c>
      <c r="O226" s="687">
        <f t="shared" ca="1" si="71"/>
        <v>23.299732470569712</v>
      </c>
      <c r="P226" s="687">
        <f t="shared" ca="1" si="72"/>
        <v>24.276469602016849</v>
      </c>
      <c r="Q226" s="687">
        <f t="shared" ca="1" si="73"/>
        <v>25.110778712724048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</v>
      </c>
      <c r="E227" s="510"/>
      <c r="F227" s="569">
        <f t="shared" si="74"/>
        <v>21</v>
      </c>
      <c r="G227" s="569">
        <f t="shared" ca="1" si="64"/>
        <v>20.333794246379302</v>
      </c>
      <c r="H227" s="569">
        <f t="shared" ca="1" si="65"/>
        <v>21.740905589994405</v>
      </c>
      <c r="I227" s="569">
        <f t="shared" ca="1" si="66"/>
        <v>20.990904776651536</v>
      </c>
      <c r="J227" s="569">
        <f t="shared" ca="1" si="67"/>
        <v>22.344029687358152</v>
      </c>
      <c r="K227" s="569">
        <f t="shared" ca="1" si="68"/>
        <v>21.525816647733041</v>
      </c>
      <c r="L227" s="687"/>
      <c r="M227" s="687">
        <f t="shared" ca="1" si="69"/>
        <v>20.660235500691602</v>
      </c>
      <c r="N227" s="687">
        <f t="shared" ca="1" si="70"/>
        <v>21.047401238661401</v>
      </c>
      <c r="O227" s="687">
        <f t="shared" ca="1" si="71"/>
        <v>21.358405664946602</v>
      </c>
      <c r="P227" s="687">
        <f t="shared" ca="1" si="72"/>
        <v>21.677132914952619</v>
      </c>
      <c r="Q227" s="687">
        <f t="shared" ca="1" si="73"/>
        <v>21.926741571449583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</v>
      </c>
      <c r="E228" s="510"/>
      <c r="F228" s="569">
        <f t="shared" si="74"/>
        <v>21</v>
      </c>
      <c r="G228" s="569">
        <f t="shared" ca="1" si="64"/>
        <v>19.728415085568137</v>
      </c>
      <c r="H228" s="569">
        <f t="shared" ca="1" si="65"/>
        <v>20.108840839886902</v>
      </c>
      <c r="I228" s="569">
        <f t="shared" ca="1" si="66"/>
        <v>18.938044387645213</v>
      </c>
      <c r="J228" s="569">
        <f t="shared" ca="1" si="67"/>
        <v>19.383404871648761</v>
      </c>
      <c r="K228" s="569">
        <f t="shared" ca="1" si="68"/>
        <v>18.294653893356845</v>
      </c>
      <c r="L228" s="687"/>
      <c r="M228" s="687">
        <f t="shared" ca="1" si="69"/>
        <v>20.35149252399577</v>
      </c>
      <c r="N228" s="687">
        <f t="shared" ca="1" si="70"/>
        <v>19.921345431526831</v>
      </c>
      <c r="O228" s="687">
        <f t="shared" ca="1" si="71"/>
        <v>19.511735413783917</v>
      </c>
      <c r="P228" s="687">
        <f t="shared" ca="1" si="72"/>
        <v>19.163905942179028</v>
      </c>
      <c r="Q228" s="687">
        <f t="shared" ca="1" si="73"/>
        <v>18.82814258368375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</v>
      </c>
      <c r="E229" s="510"/>
      <c r="F229" s="569">
        <f t="shared" si="74"/>
        <v>21</v>
      </c>
      <c r="G229" s="569">
        <f t="shared" ca="1" si="64"/>
        <v>18.773050207043692</v>
      </c>
      <c r="H229" s="569">
        <f t="shared" ca="1" si="65"/>
        <v>18.469095733828873</v>
      </c>
      <c r="I229" s="569">
        <f t="shared" ca="1" si="66"/>
        <v>16.528386559109105</v>
      </c>
      <c r="J229" s="569">
        <f t="shared" ca="1" si="67"/>
        <v>16.408847610906708</v>
      </c>
      <c r="K229" s="569">
        <f t="shared" ca="1" si="68"/>
        <v>14.701148710146487</v>
      </c>
      <c r="L229" s="687"/>
      <c r="M229" s="687">
        <f t="shared" ca="1" si="69"/>
        <v>19.864257059809884</v>
      </c>
      <c r="N229" s="687">
        <f t="shared" ca="1" si="70"/>
        <v>18.61890175361409</v>
      </c>
      <c r="O229" s="687">
        <f t="shared" ca="1" si="71"/>
        <v>17.479335322021779</v>
      </c>
      <c r="P229" s="687">
        <f t="shared" ca="1" si="72"/>
        <v>17.303060401695085</v>
      </c>
      <c r="Q229" s="687">
        <f t="shared" ca="1" si="73"/>
        <v>16.471905017578724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</v>
      </c>
      <c r="G231" s="569">
        <f t="shared" ca="1" si="75"/>
        <v>18.66557133944081</v>
      </c>
      <c r="H231" s="569">
        <f t="shared" ca="1" si="75"/>
        <v>18.405155284089194</v>
      </c>
      <c r="I231" s="569">
        <f t="shared" ca="1" si="75"/>
        <v>17.399999999999999</v>
      </c>
      <c r="J231" s="569">
        <f t="shared" ca="1" si="75"/>
        <v>17.399999999999999</v>
      </c>
      <c r="K231" s="569">
        <f t="shared" ca="1" si="75"/>
        <v>17.399999999999999</v>
      </c>
      <c r="L231" s="687"/>
      <c r="M231" s="569">
        <f t="shared" ref="M231:Q242" ca="1" si="76">IF(AND($G$205=1,M218&lt;=$E$205),$E$205,M218)</f>
        <v>19.809442907517049</v>
      </c>
      <c r="N231" s="569">
        <f t="shared" ca="1" si="76"/>
        <v>18.53350309989127</v>
      </c>
      <c r="O231" s="569">
        <f t="shared" ca="1" si="76"/>
        <v>17.399999999999999</v>
      </c>
      <c r="P231" s="569">
        <f t="shared" ca="1" si="76"/>
        <v>17.399999999999999</v>
      </c>
      <c r="Q231" s="569">
        <f t="shared" ca="1" si="76"/>
        <v>17.399999999999999</v>
      </c>
      <c r="R231" s="687"/>
      <c r="S231" s="687">
        <f ca="1">AVERAGE(M231:Q231)</f>
        <v>18.108589201481664</v>
      </c>
      <c r="T231" s="510"/>
      <c r="U231" s="570">
        <f ca="1">IF($G$205=1,M231,D218)</f>
        <v>19.809442907517049</v>
      </c>
      <c r="V231" s="570">
        <f t="shared" ref="V231:V242" ca="1" si="77">IF($G$205=1,S231,D218)</f>
        <v>18.108589201481664</v>
      </c>
      <c r="W231" s="510"/>
      <c r="X231" s="569">
        <f t="shared" ref="X231:X242" ca="1" si="78">D218*$E$18+U231*$F$18+V231*$I$18</f>
        <v>19.536079364957249</v>
      </c>
      <c r="Y231" s="510"/>
      <c r="Z231" s="704">
        <f ca="1">IF($D$205&gt;X231,X231,$D$205)</f>
        <v>19.536079364957249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</v>
      </c>
      <c r="G232" s="569">
        <f t="shared" ca="1" si="75"/>
        <v>18.899469914802225</v>
      </c>
      <c r="H232" s="569">
        <f t="shared" ca="1" si="75"/>
        <v>19.075889287899489</v>
      </c>
      <c r="I232" s="569">
        <f t="shared" ca="1" si="75"/>
        <v>17.399999999999999</v>
      </c>
      <c r="J232" s="569">
        <f t="shared" ca="1" si="75"/>
        <v>17.509593187377028</v>
      </c>
      <c r="K232" s="569">
        <f t="shared" ca="1" si="75"/>
        <v>17.399999999999999</v>
      </c>
      <c r="L232" s="687"/>
      <c r="M232" s="569">
        <f t="shared" ca="1" si="76"/>
        <v>19.928731028213569</v>
      </c>
      <c r="N232" s="569">
        <f t="shared" ca="1" si="76"/>
        <v>18.988939805573477</v>
      </c>
      <c r="O232" s="569">
        <f t="shared" ca="1" si="76"/>
        <v>18.115602999415504</v>
      </c>
      <c r="P232" s="569">
        <f t="shared" ca="1" si="76"/>
        <v>17.551946089150366</v>
      </c>
      <c r="Q232" s="569">
        <f t="shared" ca="1" si="76"/>
        <v>17.399999999999999</v>
      </c>
      <c r="R232" s="687"/>
      <c r="S232" s="687">
        <f t="shared" ref="S232:S242" ca="1" si="79">AVERAGE(M232:Q232)</f>
        <v>18.397043984470582</v>
      </c>
      <c r="T232" s="510"/>
      <c r="U232" s="570">
        <f t="shared" ref="U232:U242" ca="1" si="80">IF($G$205=1,M232,D219)</f>
        <v>19.928731028213569</v>
      </c>
      <c r="V232" s="570">
        <f t="shared" ca="1" si="77"/>
        <v>18.397043984470582</v>
      </c>
      <c r="W232" s="510"/>
      <c r="X232" s="569">
        <f t="shared" ca="1" si="78"/>
        <v>19.68229562272105</v>
      </c>
      <c r="Y232" s="510"/>
      <c r="Z232" s="704">
        <f t="shared" ref="Z232:Z242" ca="1" si="81">IF($D$205&gt;X232,X232,$D$205)</f>
        <v>19.68229562272105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</v>
      </c>
      <c r="G233" s="569">
        <f t="shared" ca="1" si="75"/>
        <v>19.594065458229107</v>
      </c>
      <c r="H233" s="569">
        <f t="shared" ca="1" si="75"/>
        <v>20.49401466764072</v>
      </c>
      <c r="I233" s="569">
        <f t="shared" ca="1" si="75"/>
        <v>19.145306136465734</v>
      </c>
      <c r="J233" s="569">
        <f t="shared" ca="1" si="75"/>
        <v>20.082124204159683</v>
      </c>
      <c r="K233" s="569">
        <f t="shared" ca="1" si="75"/>
        <v>18.779999726948507</v>
      </c>
      <c r="L233" s="687"/>
      <c r="M233" s="569">
        <f t="shared" ca="1" si="76"/>
        <v>20.282974301784339</v>
      </c>
      <c r="N233" s="569">
        <f t="shared" ca="1" si="76"/>
        <v>20.050468607453197</v>
      </c>
      <c r="O233" s="569">
        <f t="shared" ca="1" si="76"/>
        <v>19.806174197459889</v>
      </c>
      <c r="P233" s="569">
        <f t="shared" ca="1" si="76"/>
        <v>19.620407077578939</v>
      </c>
      <c r="Q233" s="569">
        <f t="shared" ca="1" si="76"/>
        <v>19.418041571080604</v>
      </c>
      <c r="R233" s="687"/>
      <c r="S233" s="687">
        <f t="shared" ca="1" si="79"/>
        <v>19.835613151071392</v>
      </c>
      <c r="T233" s="510"/>
      <c r="U233" s="570">
        <f t="shared" ca="1" si="80"/>
        <v>20.282974301784339</v>
      </c>
      <c r="V233" s="570">
        <f t="shared" ca="1" si="77"/>
        <v>19.835613151071392</v>
      </c>
      <c r="W233" s="510"/>
      <c r="X233" s="569">
        <f t="shared" ca="1" si="78"/>
        <v>20.331277239680649</v>
      </c>
      <c r="Y233" s="510"/>
      <c r="Z233" s="704">
        <f t="shared" ca="1" si="81"/>
        <v>20.331277239680649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</v>
      </c>
      <c r="G234" s="569">
        <f t="shared" ca="1" si="75"/>
        <v>20.362318809645483</v>
      </c>
      <c r="H234" s="569">
        <f t="shared" ca="1" si="75"/>
        <v>21.761379284661388</v>
      </c>
      <c r="I234" s="569">
        <f t="shared" ca="1" si="75"/>
        <v>21.037587497368456</v>
      </c>
      <c r="J234" s="569">
        <f t="shared" ca="1" si="75"/>
        <v>22.38116971412261</v>
      </c>
      <c r="K234" s="569">
        <f t="shared" ca="1" si="75"/>
        <v>21.587280769036166</v>
      </c>
      <c r="L234" s="687"/>
      <c r="M234" s="569">
        <f t="shared" ca="1" si="76"/>
        <v>20.674783009330564</v>
      </c>
      <c r="N234" s="569">
        <f t="shared" ca="1" si="76"/>
        <v>21.071842858418947</v>
      </c>
      <c r="O234" s="569">
        <f t="shared" ca="1" si="76"/>
        <v>21.392245945784332</v>
      </c>
      <c r="P234" s="569">
        <f t="shared" ca="1" si="76"/>
        <v>21.718976123032121</v>
      </c>
      <c r="Q234" s="569">
        <f t="shared" ca="1" si="76"/>
        <v>21.976286870544918</v>
      </c>
      <c r="R234" s="687"/>
      <c r="S234" s="687">
        <f t="shared" ca="1" si="79"/>
        <v>21.366826961422181</v>
      </c>
      <c r="T234" s="510"/>
      <c r="U234" s="570">
        <f t="shared" ca="1" si="80"/>
        <v>20.674783009330564</v>
      </c>
      <c r="V234" s="570">
        <f t="shared" ca="1" si="77"/>
        <v>21.366826961422181</v>
      </c>
      <c r="W234" s="510"/>
      <c r="X234" s="569">
        <f t="shared" ca="1" si="78"/>
        <v>21.026970953158852</v>
      </c>
      <c r="Y234" s="510"/>
      <c r="Z234" s="704">
        <f t="shared" ca="1" si="81"/>
        <v>21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</v>
      </c>
      <c r="G235" s="569">
        <f t="shared" ca="1" si="75"/>
        <v>20.854051148669754</v>
      </c>
      <c r="H235" s="569">
        <f t="shared" ca="1" si="75"/>
        <v>23.146262092546536</v>
      </c>
      <c r="I235" s="569">
        <f t="shared" ca="1" si="75"/>
        <v>22.757574945469692</v>
      </c>
      <c r="J235" s="569">
        <f t="shared" ca="1" si="75"/>
        <v>24.893397496509309</v>
      </c>
      <c r="K235" s="569">
        <f t="shared" ca="1" si="75"/>
        <v>24.307112548181042</v>
      </c>
      <c r="L235" s="687"/>
      <c r="M235" s="569">
        <f t="shared" ca="1" si="76"/>
        <v>20.925566181127444</v>
      </c>
      <c r="N235" s="569">
        <f t="shared" ca="1" si="76"/>
        <v>22.016530411422007</v>
      </c>
      <c r="O235" s="569">
        <f t="shared" ca="1" si="76"/>
        <v>22.948031901353435</v>
      </c>
      <c r="P235" s="569">
        <f t="shared" ca="1" si="76"/>
        <v>23.84074289348715</v>
      </c>
      <c r="Q235" s="569">
        <f t="shared" ca="1" si="76"/>
        <v>24.594392555711067</v>
      </c>
      <c r="R235" s="687"/>
      <c r="S235" s="687">
        <f t="shared" ca="1" si="79"/>
        <v>22.865052788620218</v>
      </c>
      <c r="T235" s="510"/>
      <c r="U235" s="570">
        <f t="shared" ca="1" si="80"/>
        <v>20.925566181127444</v>
      </c>
      <c r="V235" s="570">
        <f t="shared" ca="1" si="77"/>
        <v>22.865052788620218</v>
      </c>
      <c r="W235" s="510"/>
      <c r="X235" s="569">
        <f t="shared" ca="1" si="78"/>
        <v>21.663482018080895</v>
      </c>
      <c r="Y235" s="510"/>
      <c r="Z235" s="704">
        <f t="shared" ca="1" si="81"/>
        <v>21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</v>
      </c>
      <c r="G236" s="569">
        <f t="shared" ca="1" si="75"/>
        <v>21.633680848275134</v>
      </c>
      <c r="H236" s="569">
        <f t="shared" ca="1" si="75"/>
        <v>24.275442771415566</v>
      </c>
      <c r="I236" s="569">
        <f t="shared" ca="1" si="75"/>
        <v>24.538677065698046</v>
      </c>
      <c r="J236" s="569">
        <f t="shared" ca="1" si="75"/>
        <v>26.941772316845949</v>
      </c>
      <c r="K236" s="569">
        <f t="shared" ca="1" si="75"/>
        <v>26.903449642851246</v>
      </c>
      <c r="L236" s="687"/>
      <c r="M236" s="569">
        <f t="shared" ca="1" si="76"/>
        <v>21.32317681882121</v>
      </c>
      <c r="N236" s="569">
        <f t="shared" ca="1" si="76"/>
        <v>22.973432523827881</v>
      </c>
      <c r="O236" s="569">
        <f t="shared" ca="1" si="76"/>
        <v>24.409692089605343</v>
      </c>
      <c r="P236" s="569">
        <f t="shared" ca="1" si="76"/>
        <v>25.757390554236395</v>
      </c>
      <c r="Q236" s="569">
        <f t="shared" ca="1" si="76"/>
        <v>26.922227778133689</v>
      </c>
      <c r="R236" s="687"/>
      <c r="S236" s="687">
        <f t="shared" ca="1" si="79"/>
        <v>24.277183952924904</v>
      </c>
      <c r="T236" s="510"/>
      <c r="U236" s="570">
        <f t="shared" ca="1" si="80"/>
        <v>21.32317681882121</v>
      </c>
      <c r="V236" s="570">
        <f t="shared" ca="1" si="77"/>
        <v>24.277183952924904</v>
      </c>
      <c r="W236" s="510"/>
      <c r="X236" s="569">
        <f t="shared" ca="1" si="78"/>
        <v>22.317162541281736</v>
      </c>
      <c r="Y236" s="510"/>
      <c r="Z236" s="704">
        <f t="shared" ca="1" si="81"/>
        <v>21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</v>
      </c>
      <c r="G237" s="569">
        <f t="shared" ca="1" si="75"/>
        <v>21.969575576294872</v>
      </c>
      <c r="H237" s="569">
        <f t="shared" ca="1" si="75"/>
        <v>24.846800262773762</v>
      </c>
      <c r="I237" s="569">
        <f t="shared" ca="1" si="75"/>
        <v>25.381309803515002</v>
      </c>
      <c r="J237" s="569">
        <f t="shared" ca="1" si="75"/>
        <v>27.978235586728548</v>
      </c>
      <c r="K237" s="569">
        <f t="shared" ca="1" si="75"/>
        <v>28.158585550958975</v>
      </c>
      <c r="L237" s="687"/>
      <c r="M237" s="569">
        <f t="shared" ca="1" si="76"/>
        <v>21.494482910769094</v>
      </c>
      <c r="N237" s="569">
        <f t="shared" ca="1" si="76"/>
        <v>23.4287405982774</v>
      </c>
      <c r="O237" s="569">
        <f t="shared" ca="1" si="76"/>
        <v>25.119399779512406</v>
      </c>
      <c r="P237" s="569">
        <f t="shared" ca="1" si="76"/>
        <v>26.698323134228197</v>
      </c>
      <c r="Q237" s="569">
        <f t="shared" ca="1" si="76"/>
        <v>28.070213950715967</v>
      </c>
      <c r="R237" s="687"/>
      <c r="S237" s="687">
        <f t="shared" ca="1" si="79"/>
        <v>24.962232074700612</v>
      </c>
      <c r="T237" s="510"/>
      <c r="U237" s="570">
        <f t="shared" ca="1" si="80"/>
        <v>21.494482910769094</v>
      </c>
      <c r="V237" s="570">
        <f t="shared" ca="1" si="77"/>
        <v>24.962232074700612</v>
      </c>
      <c r="W237" s="510"/>
      <c r="X237" s="569">
        <f t="shared" ca="1" si="78"/>
        <v>22.627079950205399</v>
      </c>
      <c r="Y237" s="510"/>
      <c r="Z237" s="704">
        <f t="shared" ca="1" si="81"/>
        <v>21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</v>
      </c>
      <c r="G238" s="569">
        <f t="shared" ca="1" si="75"/>
        <v>21.643584474578901</v>
      </c>
      <c r="H238" s="569">
        <f t="shared" ca="1" si="75"/>
        <v>24.201901537072114</v>
      </c>
      <c r="I238" s="569">
        <f t="shared" ca="1" si="75"/>
        <v>24.483356836022178</v>
      </c>
      <c r="J238" s="569">
        <f t="shared" ca="1" si="75"/>
        <v>26.808365843015313</v>
      </c>
      <c r="K238" s="569">
        <f t="shared" ca="1" si="75"/>
        <v>26.795034822183567</v>
      </c>
      <c r="L238" s="687"/>
      <c r="M238" s="569">
        <f t="shared" ca="1" si="76"/>
        <v>21.328227661768974</v>
      </c>
      <c r="N238" s="569">
        <f t="shared" ca="1" si="76"/>
        <v>22.941017653945782</v>
      </c>
      <c r="O238" s="569">
        <f t="shared" ca="1" si="76"/>
        <v>24.345443555743884</v>
      </c>
      <c r="P238" s="569">
        <f t="shared" ca="1" si="76"/>
        <v>25.662469414452925</v>
      </c>
      <c r="Q238" s="569">
        <f t="shared" ca="1" si="76"/>
        <v>26.801567031096397</v>
      </c>
      <c r="R238" s="687"/>
      <c r="S238" s="687">
        <f t="shared" ca="1" si="79"/>
        <v>24.215745063401592</v>
      </c>
      <c r="T238" s="510"/>
      <c r="U238" s="570">
        <f t="shared" ca="1" si="80"/>
        <v>21.328227661768974</v>
      </c>
      <c r="V238" s="570">
        <f t="shared" ca="1" si="77"/>
        <v>24.215745063401592</v>
      </c>
      <c r="W238" s="510"/>
      <c r="X238" s="569">
        <f t="shared" ca="1" si="78"/>
        <v>22.296172279702148</v>
      </c>
      <c r="Y238" s="510"/>
      <c r="Z238" s="704">
        <f t="shared" ca="1" si="81"/>
        <v>21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</v>
      </c>
      <c r="G239" s="569">
        <f t="shared" ca="1" si="75"/>
        <v>21.14697929164085</v>
      </c>
      <c r="H239" s="569">
        <f t="shared" ca="1" si="75"/>
        <v>23.360952861146519</v>
      </c>
      <c r="I239" s="569">
        <f t="shared" ca="1" si="75"/>
        <v>23.240912725922875</v>
      </c>
      <c r="J239" s="569">
        <f t="shared" ca="1" si="75"/>
        <v>25.282854359160719</v>
      </c>
      <c r="K239" s="569">
        <f t="shared" ca="1" si="75"/>
        <v>24.945450698838759</v>
      </c>
      <c r="L239" s="687"/>
      <c r="M239" s="569">
        <f t="shared" ca="1" si="76"/>
        <v>21.074959342758078</v>
      </c>
      <c r="N239" s="569">
        <f t="shared" ca="1" si="76"/>
        <v>22.269780999619378</v>
      </c>
      <c r="O239" s="569">
        <f t="shared" ca="1" si="76"/>
        <v>23.299732470569712</v>
      </c>
      <c r="P239" s="569">
        <f t="shared" ca="1" si="76"/>
        <v>24.276469602016849</v>
      </c>
      <c r="Q239" s="569">
        <f t="shared" ca="1" si="76"/>
        <v>25.110778712724048</v>
      </c>
      <c r="R239" s="687"/>
      <c r="S239" s="687">
        <f t="shared" ca="1" si="79"/>
        <v>23.206344225537613</v>
      </c>
      <c r="T239" s="510"/>
      <c r="U239" s="570">
        <f t="shared" ca="1" si="80"/>
        <v>21.074959342758078</v>
      </c>
      <c r="V239" s="570">
        <f t="shared" ca="1" si="77"/>
        <v>23.206344225537613</v>
      </c>
      <c r="W239" s="510"/>
      <c r="X239" s="569">
        <f t="shared" ca="1" si="78"/>
        <v>21.839232530820144</v>
      </c>
      <c r="Y239" s="510"/>
      <c r="Z239" s="704">
        <f t="shared" ca="1" si="81"/>
        <v>21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</v>
      </c>
      <c r="G240" s="569">
        <f t="shared" ca="1" si="75"/>
        <v>20.333794246379302</v>
      </c>
      <c r="H240" s="569">
        <f t="shared" ca="1" si="75"/>
        <v>21.740905589994405</v>
      </c>
      <c r="I240" s="569">
        <f t="shared" ca="1" si="75"/>
        <v>20.990904776651536</v>
      </c>
      <c r="J240" s="569">
        <f t="shared" ca="1" si="75"/>
        <v>22.344029687358152</v>
      </c>
      <c r="K240" s="569">
        <f t="shared" ca="1" si="75"/>
        <v>21.525816647733041</v>
      </c>
      <c r="L240" s="687"/>
      <c r="M240" s="569">
        <f t="shared" ca="1" si="76"/>
        <v>20.660235500691602</v>
      </c>
      <c r="N240" s="569">
        <f t="shared" ca="1" si="76"/>
        <v>21.047401238661401</v>
      </c>
      <c r="O240" s="569">
        <f t="shared" ca="1" si="76"/>
        <v>21.358405664946602</v>
      </c>
      <c r="P240" s="569">
        <f t="shared" ca="1" si="76"/>
        <v>21.677132914952619</v>
      </c>
      <c r="Q240" s="569">
        <f t="shared" ca="1" si="76"/>
        <v>21.926741571449583</v>
      </c>
      <c r="R240" s="687"/>
      <c r="S240" s="687">
        <f t="shared" ca="1" si="79"/>
        <v>21.333983378140363</v>
      </c>
      <c r="T240" s="510"/>
      <c r="U240" s="570">
        <f t="shared" ca="1" si="80"/>
        <v>20.660235500691602</v>
      </c>
      <c r="V240" s="570">
        <f t="shared" ca="1" si="77"/>
        <v>21.333983378140363</v>
      </c>
      <c r="W240" s="510"/>
      <c r="X240" s="569">
        <f t="shared" ca="1" si="78"/>
        <v>21.010000937401383</v>
      </c>
      <c r="Y240" s="510"/>
      <c r="Z240" s="704">
        <f t="shared" ca="1" si="81"/>
        <v>21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</v>
      </c>
      <c r="G241" s="569">
        <f t="shared" ca="1" si="75"/>
        <v>19.728415085568137</v>
      </c>
      <c r="H241" s="569">
        <f t="shared" ca="1" si="75"/>
        <v>20.108840839886902</v>
      </c>
      <c r="I241" s="569">
        <f t="shared" ca="1" si="75"/>
        <v>18.938044387645213</v>
      </c>
      <c r="J241" s="569">
        <f t="shared" ca="1" si="75"/>
        <v>19.383404871648761</v>
      </c>
      <c r="K241" s="569">
        <f t="shared" ca="1" si="75"/>
        <v>18.294653893356845</v>
      </c>
      <c r="L241" s="687"/>
      <c r="M241" s="569">
        <f t="shared" ca="1" si="76"/>
        <v>20.35149252399577</v>
      </c>
      <c r="N241" s="569">
        <f t="shared" ca="1" si="76"/>
        <v>19.921345431526831</v>
      </c>
      <c r="O241" s="569">
        <f t="shared" ca="1" si="76"/>
        <v>19.511735413783917</v>
      </c>
      <c r="P241" s="569">
        <f t="shared" ca="1" si="76"/>
        <v>19.163905942179028</v>
      </c>
      <c r="Q241" s="569">
        <f t="shared" ca="1" si="76"/>
        <v>18.82814258368375</v>
      </c>
      <c r="R241" s="687"/>
      <c r="S241" s="687">
        <f t="shared" ca="1" si="79"/>
        <v>19.555324379033863</v>
      </c>
      <c r="T241" s="510"/>
      <c r="U241" s="570">
        <f t="shared" ca="1" si="80"/>
        <v>20.35149252399577</v>
      </c>
      <c r="V241" s="570">
        <f t="shared" ca="1" si="77"/>
        <v>19.555324379033863</v>
      </c>
      <c r="W241" s="510"/>
      <c r="X241" s="569">
        <f t="shared" ca="1" si="78"/>
        <v>20.25067674311823</v>
      </c>
      <c r="Y241" s="510"/>
      <c r="Z241" s="704">
        <f t="shared" ca="1" si="81"/>
        <v>20.25067674311823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</v>
      </c>
      <c r="G242" s="569">
        <f t="shared" ca="1" si="75"/>
        <v>18.773050207043692</v>
      </c>
      <c r="H242" s="569">
        <f t="shared" ca="1" si="75"/>
        <v>18.469095733828873</v>
      </c>
      <c r="I242" s="569">
        <f t="shared" ca="1" si="75"/>
        <v>17.399999999999999</v>
      </c>
      <c r="J242" s="569">
        <f t="shared" ca="1" si="75"/>
        <v>17.399999999999999</v>
      </c>
      <c r="K242" s="569">
        <f t="shared" ca="1" si="75"/>
        <v>17.399999999999999</v>
      </c>
      <c r="L242" s="687"/>
      <c r="M242" s="569">
        <f t="shared" ca="1" si="76"/>
        <v>19.864257059809884</v>
      </c>
      <c r="N242" s="569">
        <f t="shared" ca="1" si="76"/>
        <v>18.61890175361409</v>
      </c>
      <c r="O242" s="569">
        <f t="shared" ca="1" si="76"/>
        <v>17.479335322021779</v>
      </c>
      <c r="P242" s="569">
        <f t="shared" ca="1" si="76"/>
        <v>17.399999999999999</v>
      </c>
      <c r="Q242" s="569">
        <f t="shared" ca="1" si="76"/>
        <v>17.399999999999999</v>
      </c>
      <c r="R242" s="687"/>
      <c r="S242" s="687">
        <f t="shared" ca="1" si="79"/>
        <v>18.152498827089154</v>
      </c>
      <c r="T242" s="510"/>
      <c r="U242" s="570">
        <f t="shared" ca="1" si="80"/>
        <v>19.864257059809884</v>
      </c>
      <c r="V242" s="570">
        <f t="shared" ca="1" si="77"/>
        <v>18.152498827089154</v>
      </c>
      <c r="W242" s="510"/>
      <c r="X242" s="569">
        <f t="shared" ca="1" si="78"/>
        <v>19.570555491838576</v>
      </c>
      <c r="Y242" s="510"/>
      <c r="Z242" s="704">
        <f t="shared" ca="1" si="81"/>
        <v>19.570555491838576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</v>
      </c>
      <c r="E246" s="510"/>
      <c r="F246" s="569">
        <f t="shared" ref="F246:F257" si="83">D246</f>
        <v>24</v>
      </c>
      <c r="G246" s="569">
        <f t="shared" ref="G246:G257" ca="1" si="84">(F246-$CS5-$K188/$D$211)*EXP(-$D$211/$D$212*G$216)+$CS5+$K188/$D$211</f>
        <v>21.32627685636313</v>
      </c>
      <c r="H246" s="569">
        <f t="shared" ref="H246:H257" ca="1" si="85">(G246-$CR5-$L188/$D$211)*EXP(-$D$211/$D$212*H$216)+$CR5+$L188/$D$211</f>
        <v>20.847264395595417</v>
      </c>
      <c r="I246" s="569">
        <f t="shared" ref="I246:I257" ca="1" si="86">(H246-$CS5-$M188/$D$211)*EXP(-$D$211/$D$212*I$216)+$CS5+$M188/$D$211</f>
        <v>18.530109851017563</v>
      </c>
      <c r="J246" s="569">
        <f t="shared" ref="J246:J257" ca="1" si="87">(I246-$CR5-$L188/$D$211)*EXP(-$D$211/$D$212*J$216)+$CR5+$L188/$D$211</f>
        <v>18.280822947033247</v>
      </c>
      <c r="K246" s="569">
        <f t="shared" ref="K246:K257" ca="1" si="88">(J246-$CS5-$M188/$D$211)*EXP(-$D$211/$D$212*K$216)+$CS5+$M188/$D$211</f>
        <v>16.253928210668409</v>
      </c>
      <c r="L246" s="510"/>
      <c r="M246" s="687">
        <f t="shared" ref="M246:M257" ca="1" si="89">$D$212/G$216/$D$211*(F259-$CS5-$K188/$D$211)*(1-EXP(-$D$211/$D$212*G$216))+$CS5+$K188/$D$211</f>
        <v>22.636402942709683</v>
      </c>
      <c r="N246" s="687">
        <f t="shared" ref="N246:N257" ca="1" si="90">$D$212/H$216/$D$211*(G259-$CR5-$L188/$D$211)*(1-EXP(-$D$211/$D$212*H$216))+$CR5+$L188/$D$211</f>
        <v>21.083348929625021</v>
      </c>
      <c r="O246" s="687">
        <f t="shared" ref="O246:O257" ca="1" si="91">$D$212/I$216/$D$211*(H259-$CS5-$M188/$D$211)*(1-EXP(-$D$211/$D$212*I$216))+$CS5+$M188/$D$211</f>
        <v>19.665517090982799</v>
      </c>
      <c r="P246" s="687">
        <f t="shared" ref="P246:P257" ca="1" si="92">$D$212/J$216/$D$211*(I259-$CR5-$L188/$D$211)*(1-EXP(-$D$211/$D$212*J$216))+$CR5+$L188/$D$211</f>
        <v>18.403685685243637</v>
      </c>
      <c r="Q246" s="687">
        <f t="shared" ref="Q246:Q257" ca="1" si="93">$D$212/K$216/$D$211*(J259-$CS5-$M188/$D$211)*(1-EXP(-$D$211/$D$212*K$216))+$CS5+$M188/$D$211</f>
        <v>17.247107955067086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</v>
      </c>
      <c r="E247" s="510"/>
      <c r="F247" s="569">
        <f t="shared" si="83"/>
        <v>24</v>
      </c>
      <c r="G247" s="569">
        <f t="shared" ca="1" si="84"/>
        <v>21.560175431724545</v>
      </c>
      <c r="H247" s="569">
        <f t="shared" ca="1" si="85"/>
        <v>21.517998399405716</v>
      </c>
      <c r="I247" s="569">
        <f t="shared" ca="1" si="86"/>
        <v>19.358883647820797</v>
      </c>
      <c r="J247" s="569">
        <f t="shared" ca="1" si="87"/>
        <v>19.497558824877601</v>
      </c>
      <c r="K247" s="569">
        <f t="shared" ca="1" si="88"/>
        <v>17.566952073635751</v>
      </c>
      <c r="L247" s="510"/>
      <c r="M247" s="687">
        <f t="shared" ca="1" si="89"/>
        <v>22.7556910634062</v>
      </c>
      <c r="N247" s="687">
        <f t="shared" ca="1" si="90"/>
        <v>21.538785635307228</v>
      </c>
      <c r="O247" s="687">
        <f t="shared" ca="1" si="91"/>
        <v>20.416851286018137</v>
      </c>
      <c r="P247" s="687">
        <f t="shared" ca="1" si="92"/>
        <v>19.429211825084618</v>
      </c>
      <c r="Q247" s="687">
        <f t="shared" ca="1" si="93"/>
        <v>18.512950642447276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</v>
      </c>
      <c r="E248" s="510"/>
      <c r="F248" s="569">
        <f t="shared" si="83"/>
        <v>24</v>
      </c>
      <c r="G248" s="569">
        <f t="shared" ca="1" si="84"/>
        <v>22.254770975151427</v>
      </c>
      <c r="H248" s="569">
        <f t="shared" ca="1" si="85"/>
        <v>22.936123779146946</v>
      </c>
      <c r="I248" s="569">
        <f t="shared" ca="1" si="86"/>
        <v>21.311217198436029</v>
      </c>
      <c r="J248" s="569">
        <f t="shared" ca="1" si="87"/>
        <v>22.070089841660259</v>
      </c>
      <c r="K248" s="569">
        <f t="shared" ca="1" si="88"/>
        <v>20.5431301066651</v>
      </c>
      <c r="L248" s="510"/>
      <c r="M248" s="687">
        <f t="shared" ca="1" si="89"/>
        <v>23.109934336976977</v>
      </c>
      <c r="N248" s="687">
        <f t="shared" ca="1" si="90"/>
        <v>22.600314437186945</v>
      </c>
      <c r="O248" s="687">
        <f t="shared" ca="1" si="91"/>
        <v>22.107422484062521</v>
      </c>
      <c r="P248" s="687">
        <f t="shared" ca="1" si="92"/>
        <v>21.696074322155255</v>
      </c>
      <c r="Q248" s="687">
        <f t="shared" ca="1" si="93"/>
        <v>21.291341373930727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</v>
      </c>
      <c r="E249" s="510"/>
      <c r="F249" s="569">
        <f t="shared" si="83"/>
        <v>24</v>
      </c>
      <c r="G249" s="569">
        <f t="shared" ca="1" si="84"/>
        <v>23.023024326567803</v>
      </c>
      <c r="H249" s="569">
        <f t="shared" ca="1" si="85"/>
        <v>24.203488396167614</v>
      </c>
      <c r="I249" s="569">
        <f t="shared" ca="1" si="86"/>
        <v>23.203498559338751</v>
      </c>
      <c r="J249" s="569">
        <f t="shared" ca="1" si="87"/>
        <v>24.369135351623186</v>
      </c>
      <c r="K249" s="569">
        <f t="shared" ca="1" si="88"/>
        <v>23.350411148752759</v>
      </c>
      <c r="L249" s="510"/>
      <c r="M249" s="687">
        <f t="shared" ca="1" si="89"/>
        <v>23.501743044523202</v>
      </c>
      <c r="N249" s="687">
        <f t="shared" ca="1" si="90"/>
        <v>23.621688688152702</v>
      </c>
      <c r="O249" s="687">
        <f t="shared" ca="1" si="91"/>
        <v>23.693494232386964</v>
      </c>
      <c r="P249" s="687">
        <f t="shared" ca="1" si="92"/>
        <v>23.794643367608437</v>
      </c>
      <c r="Q249" s="687">
        <f t="shared" ca="1" si="93"/>
        <v>23.849586673395041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</v>
      </c>
      <c r="E250" s="510"/>
      <c r="F250" s="569">
        <f t="shared" si="83"/>
        <v>24</v>
      </c>
      <c r="G250" s="569">
        <f t="shared" ca="1" si="84"/>
        <v>23.514756665592074</v>
      </c>
      <c r="H250" s="569">
        <f t="shared" ca="1" si="85"/>
        <v>25.588371204052763</v>
      </c>
      <c r="I250" s="569">
        <f t="shared" ca="1" si="86"/>
        <v>24.923486007439983</v>
      </c>
      <c r="J250" s="569">
        <f t="shared" ca="1" si="87"/>
        <v>26.881363134009884</v>
      </c>
      <c r="K250" s="569">
        <f t="shared" ca="1" si="88"/>
        <v>26.070242927897638</v>
      </c>
      <c r="L250" s="510"/>
      <c r="M250" s="687">
        <f t="shared" ca="1" si="89"/>
        <v>23.752526216320081</v>
      </c>
      <c r="N250" s="687">
        <f t="shared" ca="1" si="90"/>
        <v>24.566376241155758</v>
      </c>
      <c r="O250" s="687">
        <f t="shared" ca="1" si="91"/>
        <v>25.249280187956067</v>
      </c>
      <c r="P250" s="687">
        <f t="shared" ca="1" si="92"/>
        <v>25.916410138063462</v>
      </c>
      <c r="Q250" s="687">
        <f t="shared" ca="1" si="93"/>
        <v>25.542934238608744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</v>
      </c>
      <c r="E251" s="510"/>
      <c r="F251" s="569">
        <f t="shared" si="83"/>
        <v>24</v>
      </c>
      <c r="G251" s="569">
        <f t="shared" ca="1" si="84"/>
        <v>24.294386365197454</v>
      </c>
      <c r="H251" s="569">
        <f t="shared" ca="1" si="85"/>
        <v>26.717551882921786</v>
      </c>
      <c r="I251" s="569">
        <f t="shared" ca="1" si="86"/>
        <v>26.704588127668334</v>
      </c>
      <c r="J251" s="569">
        <f t="shared" ca="1" si="87"/>
        <v>28.929737954346521</v>
      </c>
      <c r="K251" s="569">
        <f t="shared" ca="1" si="88"/>
        <v>28.666580022567835</v>
      </c>
      <c r="L251" s="510"/>
      <c r="M251" s="687">
        <f t="shared" ca="1" si="89"/>
        <v>24.150136854013844</v>
      </c>
      <c r="N251" s="687">
        <f t="shared" ca="1" si="90"/>
        <v>25.523278353561633</v>
      </c>
      <c r="O251" s="687">
        <f t="shared" ca="1" si="91"/>
        <v>25.940544876302511</v>
      </c>
      <c r="P251" s="687">
        <f t="shared" ca="1" si="92"/>
        <v>27.061993256367032</v>
      </c>
      <c r="Q251" s="687">
        <f t="shared" ca="1" si="93"/>
        <v>25.940544876302511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</v>
      </c>
      <c r="E252" s="510"/>
      <c r="F252" s="569">
        <f t="shared" si="83"/>
        <v>24</v>
      </c>
      <c r="G252" s="569">
        <f t="shared" ca="1" si="84"/>
        <v>24.630281093217192</v>
      </c>
      <c r="H252" s="569">
        <f t="shared" ca="1" si="85"/>
        <v>27.288909374279989</v>
      </c>
      <c r="I252" s="569">
        <f t="shared" ca="1" si="86"/>
        <v>27.547220865485293</v>
      </c>
      <c r="J252" s="569">
        <f t="shared" ca="1" si="87"/>
        <v>29.966201224229124</v>
      </c>
      <c r="K252" s="569">
        <f t="shared" ca="1" si="88"/>
        <v>29.921715930675568</v>
      </c>
      <c r="L252" s="510"/>
      <c r="M252" s="687">
        <f t="shared" ca="1" si="89"/>
        <v>24.321442945961724</v>
      </c>
      <c r="N252" s="687">
        <f t="shared" ca="1" si="90"/>
        <v>25.978586428011155</v>
      </c>
      <c r="O252" s="687">
        <f t="shared" ca="1" si="91"/>
        <v>26.111850968250394</v>
      </c>
      <c r="P252" s="687">
        <f t="shared" ca="1" si="92"/>
        <v>27.19540183234767</v>
      </c>
      <c r="Q252" s="687">
        <f t="shared" ca="1" si="93"/>
        <v>26.111850968250394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</v>
      </c>
      <c r="E253" s="510"/>
      <c r="F253" s="569">
        <f t="shared" si="83"/>
        <v>24</v>
      </c>
      <c r="G253" s="569">
        <f t="shared" ca="1" si="84"/>
        <v>24.304289991501221</v>
      </c>
      <c r="H253" s="569">
        <f t="shared" ca="1" si="85"/>
        <v>26.644010648578337</v>
      </c>
      <c r="I253" s="569">
        <f t="shared" ca="1" si="86"/>
        <v>26.649267897992466</v>
      </c>
      <c r="J253" s="569">
        <f t="shared" ca="1" si="87"/>
        <v>28.796331480515882</v>
      </c>
      <c r="K253" s="569">
        <f t="shared" ca="1" si="88"/>
        <v>28.558165201900156</v>
      </c>
      <c r="L253" s="510"/>
      <c r="M253" s="687">
        <f t="shared" ca="1" si="89"/>
        <v>24.155187696961608</v>
      </c>
      <c r="N253" s="687">
        <f t="shared" ca="1" si="90"/>
        <v>25.490863483679536</v>
      </c>
      <c r="O253" s="687">
        <f t="shared" ca="1" si="91"/>
        <v>25.945595719250274</v>
      </c>
      <c r="P253" s="687">
        <f t="shared" ca="1" si="92"/>
        <v>27.020087399951745</v>
      </c>
      <c r="Q253" s="687">
        <f t="shared" ca="1" si="93"/>
        <v>25.945595719250274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</v>
      </c>
      <c r="E254" s="510"/>
      <c r="F254" s="569">
        <f t="shared" si="83"/>
        <v>24</v>
      </c>
      <c r="G254" s="569">
        <f t="shared" ca="1" si="84"/>
        <v>23.807684808563167</v>
      </c>
      <c r="H254" s="569">
        <f t="shared" ca="1" si="85"/>
        <v>25.803061972652742</v>
      </c>
      <c r="I254" s="569">
        <f t="shared" ca="1" si="86"/>
        <v>25.406823787893167</v>
      </c>
      <c r="J254" s="569">
        <f t="shared" ca="1" si="87"/>
        <v>27.270819996661295</v>
      </c>
      <c r="K254" s="569">
        <f t="shared" ca="1" si="88"/>
        <v>26.708581078555351</v>
      </c>
      <c r="L254" s="510"/>
      <c r="M254" s="687">
        <f t="shared" ca="1" si="89"/>
        <v>23.901919377950712</v>
      </c>
      <c r="N254" s="687">
        <f t="shared" ca="1" si="90"/>
        <v>24.819626829353126</v>
      </c>
      <c r="O254" s="687">
        <f t="shared" ca="1" si="91"/>
        <v>25.600980757172341</v>
      </c>
      <c r="P254" s="687">
        <f t="shared" ca="1" si="92"/>
        <v>26.352136846593165</v>
      </c>
      <c r="Q254" s="687">
        <f t="shared" ca="1" si="93"/>
        <v>25.692327400239378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</v>
      </c>
      <c r="E255" s="510"/>
      <c r="F255" s="569">
        <f t="shared" si="83"/>
        <v>24</v>
      </c>
      <c r="G255" s="569">
        <f t="shared" ca="1" si="84"/>
        <v>22.994499763301622</v>
      </c>
      <c r="H255" s="569">
        <f t="shared" ca="1" si="85"/>
        <v>24.183014701500632</v>
      </c>
      <c r="I255" s="569">
        <f t="shared" ca="1" si="86"/>
        <v>23.156815838621831</v>
      </c>
      <c r="J255" s="569">
        <f t="shared" ca="1" si="87"/>
        <v>24.331995324858731</v>
      </c>
      <c r="K255" s="569">
        <f t="shared" ca="1" si="88"/>
        <v>23.288947027449638</v>
      </c>
      <c r="L255" s="510"/>
      <c r="M255" s="687">
        <f t="shared" ca="1" si="89"/>
        <v>23.487195535884233</v>
      </c>
      <c r="N255" s="687">
        <f t="shared" ca="1" si="90"/>
        <v>23.597247068395149</v>
      </c>
      <c r="O255" s="687">
        <f t="shared" ca="1" si="91"/>
        <v>23.659653951549235</v>
      </c>
      <c r="P255" s="687">
        <f t="shared" ca="1" si="92"/>
        <v>23.752800159528938</v>
      </c>
      <c r="Q255" s="687">
        <f t="shared" ca="1" si="93"/>
        <v>23.80004137429971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</v>
      </c>
      <c r="E256" s="510"/>
      <c r="F256" s="569">
        <f t="shared" si="83"/>
        <v>24</v>
      </c>
      <c r="G256" s="569">
        <f t="shared" ca="1" si="84"/>
        <v>22.389120602490458</v>
      </c>
      <c r="H256" s="569">
        <f t="shared" ca="1" si="85"/>
        <v>22.550949951393129</v>
      </c>
      <c r="I256" s="569">
        <f t="shared" ca="1" si="86"/>
        <v>21.103955449615505</v>
      </c>
      <c r="J256" s="569">
        <f t="shared" ca="1" si="87"/>
        <v>21.371370509149333</v>
      </c>
      <c r="K256" s="569">
        <f t="shared" ca="1" si="88"/>
        <v>20.057784273073434</v>
      </c>
      <c r="L256" s="510"/>
      <c r="M256" s="687">
        <f t="shared" ca="1" si="89"/>
        <v>23.178452559188408</v>
      </c>
      <c r="N256" s="687">
        <f t="shared" ca="1" si="90"/>
        <v>22.471191261260579</v>
      </c>
      <c r="O256" s="687">
        <f t="shared" ca="1" si="91"/>
        <v>21.812983700386546</v>
      </c>
      <c r="P256" s="687">
        <f t="shared" ca="1" si="92"/>
        <v>21.23957318675534</v>
      </c>
      <c r="Q256" s="687">
        <f t="shared" ca="1" si="93"/>
        <v>20.70144238653387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</v>
      </c>
      <c r="E257" s="510"/>
      <c r="F257" s="569">
        <f t="shared" si="83"/>
        <v>24</v>
      </c>
      <c r="G257" s="569">
        <f t="shared" ca="1" si="84"/>
        <v>21.433755723966012</v>
      </c>
      <c r="H257" s="569">
        <f t="shared" ca="1" si="85"/>
        <v>20.911204845335099</v>
      </c>
      <c r="I257" s="569">
        <f t="shared" ca="1" si="86"/>
        <v>18.6942976210794</v>
      </c>
      <c r="J257" s="569">
        <f t="shared" ca="1" si="87"/>
        <v>18.396813248407284</v>
      </c>
      <c r="K257" s="569">
        <f t="shared" ca="1" si="88"/>
        <v>16.46427908986308</v>
      </c>
      <c r="L257" s="510"/>
      <c r="M257" s="687">
        <f t="shared" ca="1" si="89"/>
        <v>22.691217095002521</v>
      </c>
      <c r="N257" s="687">
        <f t="shared" ca="1" si="90"/>
        <v>21.168747583347844</v>
      </c>
      <c r="O257" s="687">
        <f t="shared" ca="1" si="91"/>
        <v>19.780583608624411</v>
      </c>
      <c r="P257" s="687">
        <f t="shared" ca="1" si="92"/>
        <v>18.543430435339804</v>
      </c>
      <c r="Q257" s="687">
        <f t="shared" ca="1" si="93"/>
        <v>17.411222089511369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</v>
      </c>
      <c r="G259" s="569">
        <f t="shared" ca="1" si="94"/>
        <v>21.32627685636313</v>
      </c>
      <c r="H259" s="569">
        <f t="shared" ca="1" si="94"/>
        <v>20.847264395595417</v>
      </c>
      <c r="I259" s="569">
        <f t="shared" ca="1" si="94"/>
        <v>18.530109851017563</v>
      </c>
      <c r="J259" s="569">
        <f t="shared" ca="1" si="94"/>
        <v>18.280822947033247</v>
      </c>
      <c r="K259" s="569">
        <f t="shared" ca="1" si="94"/>
        <v>16.253928210668409</v>
      </c>
      <c r="L259" s="510"/>
      <c r="M259" s="705">
        <f t="shared" ref="M259:Q270" ca="1" si="95">IF(AND($G$206=1,M246&gt;=$E$206),$E$206,M246)</f>
        <v>22.636402942709683</v>
      </c>
      <c r="N259" s="569">
        <f t="shared" ca="1" si="95"/>
        <v>21.083348929625021</v>
      </c>
      <c r="O259" s="569">
        <f t="shared" ca="1" si="95"/>
        <v>19.665517090982799</v>
      </c>
      <c r="P259" s="569">
        <f t="shared" ca="1" si="95"/>
        <v>18.403685685243637</v>
      </c>
      <c r="Q259" s="569">
        <f t="shared" ca="1" si="95"/>
        <v>17.247107955067086</v>
      </c>
      <c r="R259" s="510"/>
      <c r="S259" s="687">
        <f t="shared" ref="S259:S270" ca="1" si="96">AVERAGE(M259:Q259)</f>
        <v>19.807212520725649</v>
      </c>
      <c r="T259" s="510"/>
      <c r="U259" s="570">
        <f t="shared" ref="U259:U270" ca="1" si="97">IF($G$206=1,M259,D246)</f>
        <v>22.636402942709683</v>
      </c>
      <c r="V259" s="570">
        <f t="shared" ref="V259:V270" ca="1" si="98">IF($G$206=1,S259,D246)</f>
        <v>19.807212520725649</v>
      </c>
      <c r="W259" s="510"/>
      <c r="X259" s="569">
        <f t="shared" ref="X259:X270" ca="1" si="99">D246*$E$18+U259*$F$18+V259*$I$18</f>
        <v>21.998129411171025</v>
      </c>
      <c r="Y259" s="510"/>
      <c r="Z259" s="706">
        <f ca="1">IF($D$206&lt;X259,X259,$D$206)</f>
        <v>24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</v>
      </c>
      <c r="G260" s="569">
        <f t="shared" ca="1" si="94"/>
        <v>21.560175431724545</v>
      </c>
      <c r="H260" s="569">
        <f t="shared" ca="1" si="94"/>
        <v>21.517998399405716</v>
      </c>
      <c r="I260" s="569">
        <f t="shared" ca="1" si="94"/>
        <v>19.358883647820797</v>
      </c>
      <c r="J260" s="569">
        <f t="shared" ca="1" si="94"/>
        <v>19.497558824877601</v>
      </c>
      <c r="K260" s="569">
        <f t="shared" ca="1" si="94"/>
        <v>17.566952073635751</v>
      </c>
      <c r="L260" s="510"/>
      <c r="M260" s="705">
        <f t="shared" ca="1" si="95"/>
        <v>22.7556910634062</v>
      </c>
      <c r="N260" s="569">
        <f t="shared" ca="1" si="95"/>
        <v>21.538785635307228</v>
      </c>
      <c r="O260" s="569">
        <f t="shared" ca="1" si="95"/>
        <v>20.416851286018137</v>
      </c>
      <c r="P260" s="569">
        <f t="shared" ca="1" si="95"/>
        <v>19.429211825084618</v>
      </c>
      <c r="Q260" s="569">
        <f t="shared" ca="1" si="95"/>
        <v>18.512950642447276</v>
      </c>
      <c r="R260" s="510"/>
      <c r="S260" s="687">
        <f t="shared" ca="1" si="96"/>
        <v>20.530698090452692</v>
      </c>
      <c r="T260" s="510"/>
      <c r="U260" s="570">
        <f t="shared" ca="1" si="97"/>
        <v>22.7556910634062</v>
      </c>
      <c r="V260" s="570">
        <f t="shared" ca="1" si="98"/>
        <v>20.530698090452692</v>
      </c>
      <c r="W260" s="510"/>
      <c r="X260" s="569">
        <f t="shared" ca="1" si="99"/>
        <v>22.304892744992941</v>
      </c>
      <c r="Y260" s="510"/>
      <c r="Z260" s="706">
        <f t="shared" ref="Z260:Z270" ca="1" si="100">IF($D$206&lt;X260,X260,$D$206)</f>
        <v>24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</v>
      </c>
      <c r="G261" s="569">
        <f t="shared" ca="1" si="94"/>
        <v>22.254770975151427</v>
      </c>
      <c r="H261" s="569">
        <f t="shared" ca="1" si="94"/>
        <v>22.936123779146946</v>
      </c>
      <c r="I261" s="569">
        <f t="shared" ca="1" si="94"/>
        <v>21.311217198436029</v>
      </c>
      <c r="J261" s="569">
        <f t="shared" ca="1" si="94"/>
        <v>22.070089841660259</v>
      </c>
      <c r="K261" s="569">
        <f t="shared" ca="1" si="94"/>
        <v>20.5431301066651</v>
      </c>
      <c r="L261" s="510"/>
      <c r="M261" s="705">
        <f t="shared" ca="1" si="95"/>
        <v>23.109934336976977</v>
      </c>
      <c r="N261" s="569">
        <f t="shared" ca="1" si="95"/>
        <v>22.600314437186945</v>
      </c>
      <c r="O261" s="569">
        <f t="shared" ca="1" si="95"/>
        <v>22.107422484062521</v>
      </c>
      <c r="P261" s="569">
        <f t="shared" ca="1" si="95"/>
        <v>21.696074322155255</v>
      </c>
      <c r="Q261" s="569">
        <f t="shared" ca="1" si="95"/>
        <v>21.291341373930727</v>
      </c>
      <c r="R261" s="510"/>
      <c r="S261" s="687">
        <f t="shared" ca="1" si="96"/>
        <v>22.161017390862487</v>
      </c>
      <c r="T261" s="510"/>
      <c r="U261" s="570">
        <f t="shared" ca="1" si="97"/>
        <v>23.109934336976977</v>
      </c>
      <c r="V261" s="570">
        <f t="shared" ca="1" si="98"/>
        <v>22.161017390862487</v>
      </c>
      <c r="W261" s="510"/>
      <c r="X261" s="569">
        <f t="shared" ca="1" si="99"/>
        <v>23.024639292286814</v>
      </c>
      <c r="Y261" s="510"/>
      <c r="Z261" s="706">
        <f t="shared" ca="1" si="100"/>
        <v>24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</v>
      </c>
      <c r="G262" s="569">
        <f t="shared" ca="1" si="94"/>
        <v>23.023024326567803</v>
      </c>
      <c r="H262" s="569">
        <f t="shared" ca="1" si="94"/>
        <v>24.203488396167614</v>
      </c>
      <c r="I262" s="569">
        <f t="shared" ca="1" si="94"/>
        <v>23.203498559338751</v>
      </c>
      <c r="J262" s="569">
        <f t="shared" ca="1" si="94"/>
        <v>24.369135351623186</v>
      </c>
      <c r="K262" s="569">
        <f t="shared" ca="1" si="94"/>
        <v>23.350411148752759</v>
      </c>
      <c r="L262" s="510"/>
      <c r="M262" s="705">
        <f t="shared" ca="1" si="95"/>
        <v>23.501743044523202</v>
      </c>
      <c r="N262" s="569">
        <f t="shared" ca="1" si="95"/>
        <v>23.621688688152702</v>
      </c>
      <c r="O262" s="569">
        <f t="shared" ca="1" si="95"/>
        <v>23.693494232386964</v>
      </c>
      <c r="P262" s="569">
        <f t="shared" ca="1" si="95"/>
        <v>23.794643367608437</v>
      </c>
      <c r="Q262" s="569">
        <f t="shared" ca="1" si="95"/>
        <v>23.849586673395041</v>
      </c>
      <c r="R262" s="510"/>
      <c r="S262" s="687">
        <f t="shared" ca="1" si="96"/>
        <v>23.692231201213268</v>
      </c>
      <c r="T262" s="510"/>
      <c r="U262" s="570">
        <f t="shared" ca="1" si="97"/>
        <v>23.501743044523202</v>
      </c>
      <c r="V262" s="570">
        <f t="shared" ca="1" si="98"/>
        <v>23.692231201213268</v>
      </c>
      <c r="W262" s="510"/>
      <c r="X262" s="569">
        <f t="shared" ca="1" si="99"/>
        <v>23.72033300576501</v>
      </c>
      <c r="Y262" s="510"/>
      <c r="Z262" s="706">
        <f t="shared" ca="1" si="100"/>
        <v>24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</v>
      </c>
      <c r="G263" s="569">
        <f t="shared" ca="1" si="94"/>
        <v>23.514756665592074</v>
      </c>
      <c r="H263" s="569">
        <f t="shared" ca="1" si="94"/>
        <v>25.588371204052763</v>
      </c>
      <c r="I263" s="569">
        <f t="shared" ca="1" si="94"/>
        <v>24.923486007439983</v>
      </c>
      <c r="J263" s="569">
        <f t="shared" ca="1" si="94"/>
        <v>25.9</v>
      </c>
      <c r="K263" s="569">
        <f t="shared" ca="1" si="94"/>
        <v>25.9</v>
      </c>
      <c r="L263" s="510"/>
      <c r="M263" s="705">
        <f t="shared" ca="1" si="95"/>
        <v>23.752526216320081</v>
      </c>
      <c r="N263" s="569">
        <f t="shared" ca="1" si="95"/>
        <v>24.566376241155758</v>
      </c>
      <c r="O263" s="569">
        <f t="shared" ca="1" si="95"/>
        <v>25.249280187956067</v>
      </c>
      <c r="P263" s="569">
        <f t="shared" ca="1" si="95"/>
        <v>25.9</v>
      </c>
      <c r="Q263" s="569">
        <f t="shared" ca="1" si="95"/>
        <v>25.542934238608744</v>
      </c>
      <c r="R263" s="510"/>
      <c r="S263" s="687">
        <f t="shared" ca="1" si="96"/>
        <v>25.002223376808132</v>
      </c>
      <c r="T263" s="510"/>
      <c r="U263" s="570">
        <f t="shared" ca="1" si="97"/>
        <v>23.752526216320081</v>
      </c>
      <c r="V263" s="570">
        <f t="shared" ca="1" si="98"/>
        <v>25.002223376808132</v>
      </c>
      <c r="W263" s="510"/>
      <c r="X263" s="569">
        <f t="shared" ca="1" si="99"/>
        <v>24.287376889738269</v>
      </c>
      <c r="Y263" s="510"/>
      <c r="Z263" s="706">
        <f t="shared" ca="1" si="100"/>
        <v>24.287376889738269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</v>
      </c>
      <c r="G264" s="569">
        <f t="shared" ca="1" si="94"/>
        <v>24.294386365197454</v>
      </c>
      <c r="H264" s="569">
        <f t="shared" ca="1" si="94"/>
        <v>25.9</v>
      </c>
      <c r="I264" s="569">
        <f t="shared" ca="1" si="94"/>
        <v>25.9</v>
      </c>
      <c r="J264" s="569">
        <f t="shared" ca="1" si="94"/>
        <v>25.9</v>
      </c>
      <c r="K264" s="569">
        <f t="shared" ca="1" si="94"/>
        <v>25.9</v>
      </c>
      <c r="L264" s="510"/>
      <c r="M264" s="705">
        <f t="shared" ca="1" si="95"/>
        <v>24.150136854013844</v>
      </c>
      <c r="N264" s="569">
        <f t="shared" ca="1" si="95"/>
        <v>25.523278353561633</v>
      </c>
      <c r="O264" s="569">
        <f t="shared" ca="1" si="95"/>
        <v>25.9</v>
      </c>
      <c r="P264" s="569">
        <f t="shared" ca="1" si="95"/>
        <v>25.9</v>
      </c>
      <c r="Q264" s="569">
        <f t="shared" ca="1" si="95"/>
        <v>25.9</v>
      </c>
      <c r="R264" s="510"/>
      <c r="S264" s="687">
        <f t="shared" ca="1" si="96"/>
        <v>25.474683041515096</v>
      </c>
      <c r="T264" s="510"/>
      <c r="U264" s="570">
        <f t="shared" ca="1" si="97"/>
        <v>24.150136854013844</v>
      </c>
      <c r="V264" s="570">
        <f t="shared" ca="1" si="98"/>
        <v>25.474683041515096</v>
      </c>
      <c r="W264" s="510"/>
      <c r="X264" s="569">
        <f t="shared" ca="1" si="99"/>
        <v>24.594273883325663</v>
      </c>
      <c r="Y264" s="510"/>
      <c r="Z264" s="706">
        <f t="shared" ca="1" si="100"/>
        <v>24.594273883325663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</v>
      </c>
      <c r="G265" s="569">
        <f t="shared" ca="1" si="94"/>
        <v>24.630281093217192</v>
      </c>
      <c r="H265" s="569">
        <f t="shared" ca="1" si="94"/>
        <v>25.9</v>
      </c>
      <c r="I265" s="569">
        <f t="shared" ca="1" si="94"/>
        <v>25.9</v>
      </c>
      <c r="J265" s="569">
        <f t="shared" ca="1" si="94"/>
        <v>25.9</v>
      </c>
      <c r="K265" s="569">
        <f t="shared" ca="1" si="94"/>
        <v>25.9</v>
      </c>
      <c r="L265" s="510"/>
      <c r="M265" s="705">
        <f t="shared" ca="1" si="95"/>
        <v>24.321442945961724</v>
      </c>
      <c r="N265" s="569">
        <f t="shared" ca="1" si="95"/>
        <v>25.9</v>
      </c>
      <c r="O265" s="569">
        <f t="shared" ca="1" si="95"/>
        <v>25.9</v>
      </c>
      <c r="P265" s="569">
        <f t="shared" ca="1" si="95"/>
        <v>25.9</v>
      </c>
      <c r="Q265" s="569">
        <f t="shared" ca="1" si="95"/>
        <v>25.9</v>
      </c>
      <c r="R265" s="510"/>
      <c r="S265" s="687">
        <f t="shared" ca="1" si="96"/>
        <v>25.584288589192347</v>
      </c>
      <c r="T265" s="510"/>
      <c r="U265" s="570">
        <f t="shared" ca="1" si="97"/>
        <v>24.321442945961724</v>
      </c>
      <c r="V265" s="570">
        <f t="shared" ca="1" si="98"/>
        <v>25.584288589192347</v>
      </c>
      <c r="W265" s="510"/>
      <c r="X265" s="569">
        <f t="shared" ca="1" si="99"/>
        <v>24.691825580379653</v>
      </c>
      <c r="Y265" s="510"/>
      <c r="Z265" s="706">
        <f t="shared" ca="1" si="100"/>
        <v>24.691825580379653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</v>
      </c>
      <c r="G266" s="569">
        <f t="shared" ca="1" si="94"/>
        <v>24.304289991501221</v>
      </c>
      <c r="H266" s="569">
        <f t="shared" ca="1" si="94"/>
        <v>25.9</v>
      </c>
      <c r="I266" s="569">
        <f t="shared" ca="1" si="94"/>
        <v>25.9</v>
      </c>
      <c r="J266" s="569">
        <f t="shared" ca="1" si="94"/>
        <v>25.9</v>
      </c>
      <c r="K266" s="569">
        <f t="shared" ca="1" si="94"/>
        <v>25.9</v>
      </c>
      <c r="L266" s="510"/>
      <c r="M266" s="705">
        <f t="shared" ca="1" si="95"/>
        <v>24.155187696961608</v>
      </c>
      <c r="N266" s="569">
        <f t="shared" ca="1" si="95"/>
        <v>25.490863483679536</v>
      </c>
      <c r="O266" s="569">
        <f t="shared" ca="1" si="95"/>
        <v>25.9</v>
      </c>
      <c r="P266" s="569">
        <f t="shared" ca="1" si="95"/>
        <v>25.9</v>
      </c>
      <c r="Q266" s="569">
        <f t="shared" ca="1" si="95"/>
        <v>25.9</v>
      </c>
      <c r="R266" s="510"/>
      <c r="S266" s="687">
        <f t="shared" ca="1" si="96"/>
        <v>25.46921023612823</v>
      </c>
      <c r="T266" s="510"/>
      <c r="U266" s="570">
        <f t="shared" ca="1" si="97"/>
        <v>24.155187696961608</v>
      </c>
      <c r="V266" s="570">
        <f t="shared" ca="1" si="98"/>
        <v>25.46921023612823</v>
      </c>
      <c r="W266" s="510"/>
      <c r="X266" s="569">
        <f t="shared" ca="1" si="99"/>
        <v>24.59393777184405</v>
      </c>
      <c r="Y266" s="510"/>
      <c r="Z266" s="706">
        <f t="shared" ca="1" si="100"/>
        <v>24.59393777184405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</v>
      </c>
      <c r="G267" s="569">
        <f t="shared" ca="1" si="94"/>
        <v>23.807684808563167</v>
      </c>
      <c r="H267" s="569">
        <f t="shared" ca="1" si="94"/>
        <v>25.803061972652742</v>
      </c>
      <c r="I267" s="569">
        <f t="shared" ca="1" si="94"/>
        <v>25.406823787893167</v>
      </c>
      <c r="J267" s="569">
        <f t="shared" ca="1" si="94"/>
        <v>25.9</v>
      </c>
      <c r="K267" s="569">
        <f t="shared" ca="1" si="94"/>
        <v>25.9</v>
      </c>
      <c r="L267" s="510"/>
      <c r="M267" s="705">
        <f t="shared" ca="1" si="95"/>
        <v>23.901919377950712</v>
      </c>
      <c r="N267" s="569">
        <f t="shared" ca="1" si="95"/>
        <v>24.819626829353126</v>
      </c>
      <c r="O267" s="569">
        <f t="shared" ca="1" si="95"/>
        <v>25.600980757172341</v>
      </c>
      <c r="P267" s="569">
        <f t="shared" ca="1" si="95"/>
        <v>25.9</v>
      </c>
      <c r="Q267" s="569">
        <f t="shared" ca="1" si="95"/>
        <v>25.692327400239378</v>
      </c>
      <c r="R267" s="510"/>
      <c r="S267" s="687">
        <f t="shared" ca="1" si="96"/>
        <v>25.182970872943109</v>
      </c>
      <c r="T267" s="510"/>
      <c r="U267" s="570">
        <f t="shared" ca="1" si="97"/>
        <v>23.901919377950712</v>
      </c>
      <c r="V267" s="570">
        <f t="shared" ca="1" si="98"/>
        <v>25.182970872943109</v>
      </c>
      <c r="W267" s="510"/>
      <c r="X267" s="569">
        <f t="shared" ca="1" si="99"/>
        <v>24.403879043379241</v>
      </c>
      <c r="Y267" s="510"/>
      <c r="Z267" s="706">
        <f t="shared" ca="1" si="100"/>
        <v>24.403879043379241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</v>
      </c>
      <c r="G268" s="569">
        <f t="shared" ca="1" si="94"/>
        <v>22.994499763301622</v>
      </c>
      <c r="H268" s="569">
        <f t="shared" ca="1" si="94"/>
        <v>24.183014701500632</v>
      </c>
      <c r="I268" s="569">
        <f t="shared" ca="1" si="94"/>
        <v>23.156815838621831</v>
      </c>
      <c r="J268" s="569">
        <f t="shared" ca="1" si="94"/>
        <v>24.331995324858731</v>
      </c>
      <c r="K268" s="569">
        <f t="shared" ca="1" si="94"/>
        <v>23.288947027449638</v>
      </c>
      <c r="L268" s="510"/>
      <c r="M268" s="705">
        <f t="shared" ca="1" si="95"/>
        <v>23.487195535884233</v>
      </c>
      <c r="N268" s="569">
        <f t="shared" ca="1" si="95"/>
        <v>23.597247068395149</v>
      </c>
      <c r="O268" s="569">
        <f t="shared" ca="1" si="95"/>
        <v>23.659653951549235</v>
      </c>
      <c r="P268" s="569">
        <f t="shared" ca="1" si="95"/>
        <v>23.752800159528938</v>
      </c>
      <c r="Q268" s="569">
        <f t="shared" ca="1" si="95"/>
        <v>23.80004137429971</v>
      </c>
      <c r="R268" s="510"/>
      <c r="S268" s="687">
        <f t="shared" ca="1" si="96"/>
        <v>23.659387617931454</v>
      </c>
      <c r="T268" s="510"/>
      <c r="U268" s="570">
        <f t="shared" ca="1" si="97"/>
        <v>23.487195535884233</v>
      </c>
      <c r="V268" s="570">
        <f t="shared" ca="1" si="98"/>
        <v>23.659387617931454</v>
      </c>
      <c r="W268" s="510"/>
      <c r="X268" s="569">
        <f t="shared" ca="1" si="99"/>
        <v>23.703362990007541</v>
      </c>
      <c r="Y268" s="510"/>
      <c r="Z268" s="706">
        <f t="shared" ca="1" si="100"/>
        <v>24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</v>
      </c>
      <c r="G269" s="569">
        <f t="shared" ca="1" si="94"/>
        <v>22.389120602490458</v>
      </c>
      <c r="H269" s="569">
        <f t="shared" ca="1" si="94"/>
        <v>22.550949951393129</v>
      </c>
      <c r="I269" s="569">
        <f t="shared" ca="1" si="94"/>
        <v>21.103955449615505</v>
      </c>
      <c r="J269" s="569">
        <f t="shared" ca="1" si="94"/>
        <v>21.371370509149333</v>
      </c>
      <c r="K269" s="569">
        <f t="shared" ca="1" si="94"/>
        <v>20.057784273073434</v>
      </c>
      <c r="L269" s="510"/>
      <c r="M269" s="705">
        <f t="shared" ca="1" si="95"/>
        <v>23.178452559188408</v>
      </c>
      <c r="N269" s="569">
        <f t="shared" ca="1" si="95"/>
        <v>22.471191261260579</v>
      </c>
      <c r="O269" s="569">
        <f t="shared" ca="1" si="95"/>
        <v>21.812983700386546</v>
      </c>
      <c r="P269" s="569">
        <f t="shared" ca="1" si="95"/>
        <v>21.23957318675534</v>
      </c>
      <c r="Q269" s="569">
        <f t="shared" ca="1" si="95"/>
        <v>20.70144238653387</v>
      </c>
      <c r="R269" s="510"/>
      <c r="S269" s="687">
        <f t="shared" ca="1" si="96"/>
        <v>21.880728618824946</v>
      </c>
      <c r="T269" s="510"/>
      <c r="U269" s="570">
        <f t="shared" ca="1" si="97"/>
        <v>23.178452559188408</v>
      </c>
      <c r="V269" s="570">
        <f t="shared" ca="1" si="98"/>
        <v>21.880728618824946</v>
      </c>
      <c r="W269" s="510"/>
      <c r="X269" s="569">
        <f t="shared" ca="1" si="99"/>
        <v>22.944038795724389</v>
      </c>
      <c r="Y269" s="510"/>
      <c r="Z269" s="706">
        <f t="shared" ca="1" si="100"/>
        <v>24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</v>
      </c>
      <c r="G270" s="569">
        <f t="shared" ca="1" si="94"/>
        <v>21.433755723966012</v>
      </c>
      <c r="H270" s="569">
        <f t="shared" ca="1" si="94"/>
        <v>20.911204845335099</v>
      </c>
      <c r="I270" s="569">
        <f t="shared" ca="1" si="94"/>
        <v>18.6942976210794</v>
      </c>
      <c r="J270" s="569">
        <f t="shared" ca="1" si="94"/>
        <v>18.396813248407284</v>
      </c>
      <c r="K270" s="569">
        <f t="shared" ca="1" si="94"/>
        <v>16.46427908986308</v>
      </c>
      <c r="L270" s="510"/>
      <c r="M270" s="705">
        <f t="shared" ca="1" si="95"/>
        <v>22.691217095002521</v>
      </c>
      <c r="N270" s="569">
        <f t="shared" ca="1" si="95"/>
        <v>21.168747583347844</v>
      </c>
      <c r="O270" s="569">
        <f t="shared" ca="1" si="95"/>
        <v>19.780583608624411</v>
      </c>
      <c r="P270" s="569">
        <f t="shared" ca="1" si="95"/>
        <v>18.543430435339804</v>
      </c>
      <c r="Q270" s="569">
        <f t="shared" ca="1" si="95"/>
        <v>17.411222089511369</v>
      </c>
      <c r="R270" s="510"/>
      <c r="S270" s="687">
        <f t="shared" ca="1" si="96"/>
        <v>19.919040162365189</v>
      </c>
      <c r="T270" s="510"/>
      <c r="U270" s="570">
        <f t="shared" ca="1" si="97"/>
        <v>22.691217095002521</v>
      </c>
      <c r="V270" s="570">
        <f t="shared" ca="1" si="98"/>
        <v>19.919040162365189</v>
      </c>
      <c r="W270" s="510"/>
      <c r="X270" s="569">
        <f t="shared" ca="1" si="99"/>
        <v>22.057670520159419</v>
      </c>
      <c r="Y270" s="510"/>
      <c r="Z270" s="706">
        <f t="shared" ca="1" si="100"/>
        <v>24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24.181032258631532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39.94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1927.6084061589679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3</v>
      </c>
      <c r="F282" s="541" t="s">
        <v>114</v>
      </c>
      <c r="G282" s="727">
        <f t="shared" ref="G282:G293" si="101">$D$288*$D$295</f>
        <v>0.16815234420079625</v>
      </c>
      <c r="H282" s="726">
        <f t="shared" ref="H282:H293" si="102">IF($D$282=3,0,$D$291*G282*(1-$D$293))</f>
        <v>0</v>
      </c>
      <c r="J282" s="707">
        <f t="shared" ref="J282:J293" ca="1" si="103">MAX(0.0146*$D$303*(0.7*$D$304*ABS(AG5-Z231))^0.667,0.001)</f>
        <v>9.8739708577513061E-2</v>
      </c>
      <c r="K282" s="707">
        <f t="shared" ref="K282:K293" ca="1" si="104">0.0769*$D$303*($D$305*$D$301*AH5^2)^0.667</f>
        <v>3.9708959643384216E-2</v>
      </c>
      <c r="L282" s="729">
        <f t="shared" ref="L282:L293" ca="1" si="105">MAX(J282,K282)+0.14*J282*K282/$D$303</f>
        <v>0.10500536656784311</v>
      </c>
      <c r="M282" s="729">
        <f t="shared" ref="M282:M293" ca="1" si="106">MAX(0,-$D$290)+L282</f>
        <v>0.10500536656784311</v>
      </c>
      <c r="N282" s="541"/>
      <c r="O282" s="729">
        <f ca="1">H282+M282</f>
        <v>0.10500536656784311</v>
      </c>
      <c r="P282" s="718">
        <f ca="1">O282/3.6*1.2</f>
        <v>3.5001788855947701E-2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1.2484394506866416</v>
      </c>
      <c r="F283" s="541" t="s">
        <v>115</v>
      </c>
      <c r="G283" s="724">
        <f t="shared" si="101"/>
        <v>0.16815234420079625</v>
      </c>
      <c r="H283" s="598">
        <f t="shared" si="102"/>
        <v>0</v>
      </c>
      <c r="J283" s="707">
        <f t="shared" ca="1" si="103"/>
        <v>9.3299879979668127E-2</v>
      </c>
      <c r="K283" s="707">
        <f t="shared" ca="1" si="104"/>
        <v>4.1784937011684176E-2</v>
      </c>
      <c r="L283" s="729">
        <f t="shared" ca="1" si="105"/>
        <v>9.9529867435833905E-2</v>
      </c>
      <c r="M283" s="729">
        <f t="shared" ca="1" si="106"/>
        <v>9.9529867435833905E-2</v>
      </c>
      <c r="N283" s="541"/>
      <c r="O283" s="729">
        <f t="shared" ref="O283:O293" ca="1" si="107">H283+M283</f>
        <v>9.9529867435833905E-2</v>
      </c>
      <c r="P283" s="718">
        <f t="shared" ref="P283:P293" ca="1" si="108">O283/3.6*1.2</f>
        <v>3.3176622478611299E-2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0.16815234420079625</v>
      </c>
      <c r="H284" s="598">
        <f t="shared" si="102"/>
        <v>0</v>
      </c>
      <c r="J284" s="707">
        <f t="shared" ca="1" si="103"/>
        <v>7.6539584168736449E-2</v>
      </c>
      <c r="K284" s="707">
        <f t="shared" ca="1" si="104"/>
        <v>4.6412616010908306E-2</v>
      </c>
      <c r="L284" s="729">
        <f t="shared" ca="1" si="105"/>
        <v>8.2216448057821356E-2</v>
      </c>
      <c r="M284" s="729">
        <f t="shared" ca="1" si="106"/>
        <v>8.2216448057821356E-2</v>
      </c>
      <c r="N284" s="541"/>
      <c r="O284" s="729">
        <f t="shared" ca="1" si="107"/>
        <v>8.2216448057821356E-2</v>
      </c>
      <c r="P284" s="718">
        <f t="shared" ca="1" si="108"/>
        <v>2.7405482685940449E-2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0.16815234420079625</v>
      </c>
      <c r="H285" s="598">
        <f t="shared" si="102"/>
        <v>0</v>
      </c>
      <c r="J285" s="707">
        <f t="shared" ca="1" si="103"/>
        <v>5.8605067332036229E-2</v>
      </c>
      <c r="K285" s="707">
        <f t="shared" ca="1" si="104"/>
        <v>3.927461041031402E-2</v>
      </c>
      <c r="L285" s="729">
        <f t="shared" ca="1" si="105"/>
        <v>6.2283250818534815E-2</v>
      </c>
      <c r="M285" s="729">
        <f t="shared" ca="1" si="106"/>
        <v>6.2283250818534815E-2</v>
      </c>
      <c r="N285" s="541"/>
      <c r="O285" s="729">
        <f t="shared" ca="1" si="107"/>
        <v>6.2283250818534815E-2</v>
      </c>
      <c r="P285" s="718">
        <f t="shared" ca="1" si="108"/>
        <v>2.076108360617827E-2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0.16815234420079625</v>
      </c>
      <c r="H286" s="598">
        <f t="shared" si="102"/>
        <v>0</v>
      </c>
      <c r="J286" s="707">
        <f t="shared" ca="1" si="103"/>
        <v>3.7672640581424062E-2</v>
      </c>
      <c r="K286" s="707">
        <f t="shared" ca="1" si="104"/>
        <v>2.7877578521191149E-2</v>
      </c>
      <c r="L286" s="729">
        <f t="shared" ca="1" si="105"/>
        <v>3.9350932275561551E-2</v>
      </c>
      <c r="M286" s="729">
        <f t="shared" ca="1" si="106"/>
        <v>3.9350932275561551E-2</v>
      </c>
      <c r="N286" s="541"/>
      <c r="O286" s="729">
        <f t="shared" ca="1" si="107"/>
        <v>3.9350932275561551E-2</v>
      </c>
      <c r="P286" s="718">
        <f t="shared" ca="1" si="108"/>
        <v>1.3116977425187184E-2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0.16815234420079625</v>
      </c>
      <c r="H287" s="598">
        <f t="shared" si="102"/>
        <v>0</v>
      </c>
      <c r="J287" s="707">
        <f t="shared" ca="1" si="103"/>
        <v>2.705970428473402E-3</v>
      </c>
      <c r="K287" s="707">
        <f t="shared" ca="1" si="104"/>
        <v>3.9776028694518205E-2</v>
      </c>
      <c r="L287" s="729">
        <f t="shared" ca="1" si="105"/>
        <v>3.9948029627160112E-2</v>
      </c>
      <c r="M287" s="729">
        <f t="shared" ca="1" si="106"/>
        <v>3.9948029627160112E-2</v>
      </c>
      <c r="N287" s="541"/>
      <c r="O287" s="729">
        <f t="shared" ca="1" si="107"/>
        <v>3.9948029627160112E-2</v>
      </c>
      <c r="P287" s="718">
        <f t="shared" ca="1" si="108"/>
        <v>1.3316009875720037E-2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0.16815234420079625</v>
      </c>
      <c r="E288" s="541"/>
      <c r="F288" s="541" t="s">
        <v>120</v>
      </c>
      <c r="G288" s="724">
        <f t="shared" si="101"/>
        <v>0.16815234420079625</v>
      </c>
      <c r="H288" s="598">
        <f t="shared" si="102"/>
        <v>0</v>
      </c>
      <c r="J288" s="707">
        <f t="shared" ca="1" si="103"/>
        <v>2.5246570403452673E-2</v>
      </c>
      <c r="K288" s="707">
        <f t="shared" ca="1" si="104"/>
        <v>3.2900785780557239E-2</v>
      </c>
      <c r="L288" s="729">
        <f t="shared" ca="1" si="105"/>
        <v>3.4228164943753636E-2</v>
      </c>
      <c r="M288" s="729">
        <f t="shared" ca="1" si="106"/>
        <v>3.4228164943753636E-2</v>
      </c>
      <c r="N288" s="541"/>
      <c r="O288" s="729">
        <f t="shared" ca="1" si="107"/>
        <v>3.4228164943753636E-2</v>
      </c>
      <c r="P288" s="718">
        <f t="shared" ca="1" si="108"/>
        <v>1.1409388314584545E-2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0.16815234420079625</v>
      </c>
      <c r="E289" s="541"/>
      <c r="F289" s="541" t="s">
        <v>121</v>
      </c>
      <c r="G289" s="724">
        <f t="shared" si="101"/>
        <v>0.16815234420079625</v>
      </c>
      <c r="H289" s="598">
        <f t="shared" si="102"/>
        <v>0</v>
      </c>
      <c r="J289" s="707">
        <f t="shared" ca="1" si="103"/>
        <v>9.997259314007273E-3</v>
      </c>
      <c r="K289" s="707">
        <f t="shared" ca="1" si="104"/>
        <v>2.8871350579556421E-2</v>
      </c>
      <c r="L289" s="729">
        <f t="shared" ca="1" si="105"/>
        <v>2.9332598469953126E-2</v>
      </c>
      <c r="M289" s="729">
        <f t="shared" ca="1" si="106"/>
        <v>2.9332598469953126E-2</v>
      </c>
      <c r="N289" s="541"/>
      <c r="O289" s="729">
        <f t="shared" ca="1" si="107"/>
        <v>2.9332598469953126E-2</v>
      </c>
      <c r="P289" s="718">
        <f t="shared" ca="1" si="108"/>
        <v>9.7775328233177094E-3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0.16815234420079625</v>
      </c>
      <c r="H290" s="598">
        <f t="shared" si="102"/>
        <v>0</v>
      </c>
      <c r="J290" s="707">
        <f t="shared" ca="1" si="103"/>
        <v>2.3762885888436055E-2</v>
      </c>
      <c r="K290" s="707">
        <f t="shared" ca="1" si="104"/>
        <v>2.4689323050499753E-2</v>
      </c>
      <c r="L290" s="729">
        <f t="shared" ca="1" si="105"/>
        <v>2.5626873616012024E-2</v>
      </c>
      <c r="M290" s="729">
        <f t="shared" ca="1" si="106"/>
        <v>2.5626873616012024E-2</v>
      </c>
      <c r="N290" s="541"/>
      <c r="O290" s="729">
        <f t="shared" ca="1" si="107"/>
        <v>2.5626873616012024E-2</v>
      </c>
      <c r="P290" s="718">
        <f t="shared" ca="1" si="108"/>
        <v>8.5422912053373396E-3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0.29761904761904762</v>
      </c>
      <c r="E291" s="539"/>
      <c r="F291" s="541" t="s">
        <v>123</v>
      </c>
      <c r="G291" s="724">
        <f t="shared" si="101"/>
        <v>0.16815234420079625</v>
      </c>
      <c r="H291" s="598">
        <f t="shared" si="102"/>
        <v>0</v>
      </c>
      <c r="J291" s="707">
        <f t="shared" ca="1" si="103"/>
        <v>5.4853002041426534E-2</v>
      </c>
      <c r="K291" s="707">
        <f t="shared" ca="1" si="104"/>
        <v>3.8689879002559581E-2</v>
      </c>
      <c r="L291" s="729">
        <f t="shared" ca="1" si="105"/>
        <v>5.8244441805110132E-2</v>
      </c>
      <c r="M291" s="729">
        <f t="shared" ca="1" si="106"/>
        <v>5.8244441805110132E-2</v>
      </c>
      <c r="N291" s="541"/>
      <c r="O291" s="729">
        <f t="shared" ca="1" si="107"/>
        <v>5.8244441805110132E-2</v>
      </c>
      <c r="P291" s="718">
        <f t="shared" ca="1" si="108"/>
        <v>1.9414813935036711E-2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0.16815234420079625</v>
      </c>
      <c r="H292" s="598">
        <f t="shared" si="102"/>
        <v>0</v>
      </c>
      <c r="J292" s="707">
        <f t="shared" ca="1" si="103"/>
        <v>7.3430722673884036E-2</v>
      </c>
      <c r="K292" s="707">
        <f t="shared" ca="1" si="104"/>
        <v>4.4273852816395259E-2</v>
      </c>
      <c r="L292" s="729">
        <f t="shared" ca="1" si="105"/>
        <v>7.8626032530168588E-2</v>
      </c>
      <c r="M292" s="729">
        <f t="shared" ca="1" si="106"/>
        <v>7.8626032530168588E-2</v>
      </c>
      <c r="N292" s="541"/>
      <c r="O292" s="729">
        <f t="shared" ca="1" si="107"/>
        <v>7.8626032530168588E-2</v>
      </c>
      <c r="P292" s="718">
        <f t="shared" ca="1" si="108"/>
        <v>2.6208677510056195E-2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0.16815234420079625</v>
      </c>
      <c r="H293" s="598">
        <f t="shared" si="102"/>
        <v>0</v>
      </c>
      <c r="J293" s="707">
        <f t="shared" ca="1" si="103"/>
        <v>9.6180795567687064E-2</v>
      </c>
      <c r="K293" s="707">
        <f t="shared" ca="1" si="104"/>
        <v>3.3481113204729608E-2</v>
      </c>
      <c r="L293" s="729">
        <f t="shared" ca="1" si="105"/>
        <v>0.10132685253621376</v>
      </c>
      <c r="M293" s="729">
        <f t="shared" ca="1" si="106"/>
        <v>0.10132685253621376</v>
      </c>
      <c r="N293" s="541"/>
      <c r="O293" s="729">
        <f t="shared" ca="1" si="107"/>
        <v>0.10132685253621376</v>
      </c>
      <c r="P293" s="718">
        <f t="shared" ca="1" si="108"/>
        <v>3.3775617512071254E-2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0.16815234420079619</v>
      </c>
      <c r="H294" s="716">
        <f>AVERAGE(H282:H293)</f>
        <v>0</v>
      </c>
      <c r="J294" s="710">
        <f ca="1">AVERAGE(J282:J293)</f>
        <v>5.4252840579728755E-2</v>
      </c>
      <c r="K294" s="710">
        <f ca="1">AVERAGE(K282:K293)</f>
        <v>3.6478419560524826E-2</v>
      </c>
      <c r="L294" s="710">
        <f ca="1">AVERAGE(L282:L293)</f>
        <v>6.297657155699718E-2</v>
      </c>
      <c r="M294" s="710">
        <f ca="1">AVERAGE(M282:M293)</f>
        <v>6.297657155699718E-2</v>
      </c>
      <c r="N294" s="710"/>
      <c r="O294" s="710">
        <f t="shared" ref="O294:P294" ca="1" si="109">AVERAGE(O282:O293)</f>
        <v>6.297657155699718E-2</v>
      </c>
      <c r="P294" s="710">
        <f t="shared" ca="1" si="109"/>
        <v>2.099219051899906E-2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0.16815234420079625</v>
      </c>
      <c r="H296" s="598">
        <f t="shared" ref="H296:H307" si="111">IF($D$282=3,0,$D$291*G296*(1-$D$293))</f>
        <v>0</v>
      </c>
      <c r="J296" s="707">
        <f t="shared" ref="J296:J307" ca="1" si="112">MAX(0.0146*$D$303*(0.7*$D$304*ABS(AG5-Z259))^0.667,0.001)</f>
        <v>0.11055164676725258</v>
      </c>
      <c r="K296" s="707">
        <f t="shared" ref="K296:K307" ca="1" si="113">0.0769*$D$303*($D$305*$D$301*AH5^2)^0.667</f>
        <v>3.9708959643384216E-2</v>
      </c>
      <c r="L296" s="729">
        <f t="shared" ref="L296:L307" ca="1" si="114">MAX(J296,K296)+0.14*J296*K296/$D$303</f>
        <v>0.11756684682091298</v>
      </c>
      <c r="M296" s="729">
        <f t="shared" ref="M296:M307" ca="1" si="115">MAX(0,-$D$290)+L296</f>
        <v>0.11756684682091298</v>
      </c>
      <c r="N296" s="541"/>
      <c r="O296" s="729">
        <f ca="1">H296+M296</f>
        <v>0.11756684682091298</v>
      </c>
      <c r="P296" s="718">
        <f ca="1">O296/3.6*1.2</f>
        <v>3.9188948940304329E-2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0.16815234420079625</v>
      </c>
      <c r="H297" s="598">
        <f t="shared" si="111"/>
        <v>0</v>
      </c>
      <c r="J297" s="707">
        <f t="shared" ca="1" si="112"/>
        <v>0.10503590261253948</v>
      </c>
      <c r="K297" s="707">
        <f t="shared" ca="1" si="113"/>
        <v>4.1784937011684176E-2</v>
      </c>
      <c r="L297" s="729">
        <f t="shared" ca="1" si="114"/>
        <v>0.11204954888803063</v>
      </c>
      <c r="M297" s="729">
        <f t="shared" ca="1" si="115"/>
        <v>0.11204954888803063</v>
      </c>
      <c r="N297" s="541"/>
      <c r="O297" s="729">
        <f t="shared" ref="O297:O307" ca="1" si="116">H297+M297</f>
        <v>0.11204954888803063</v>
      </c>
      <c r="P297" s="718">
        <f t="shared" ref="P297:P307" ca="1" si="117">O297/3.6*1.2</f>
        <v>3.734984962934354E-2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0.16815234420079625</v>
      </c>
      <c r="H298" s="598">
        <f t="shared" si="111"/>
        <v>0</v>
      </c>
      <c r="J298" s="707">
        <f t="shared" ca="1" si="112"/>
        <v>8.7503365851318654E-2</v>
      </c>
      <c r="K298" s="707">
        <f t="shared" ca="1" si="113"/>
        <v>4.6412616010908306E-2</v>
      </c>
      <c r="L298" s="729">
        <f t="shared" ca="1" si="114"/>
        <v>9.3993402388225247E-2</v>
      </c>
      <c r="M298" s="729">
        <f t="shared" ca="1" si="115"/>
        <v>9.3993402388225247E-2</v>
      </c>
      <c r="N298" s="541"/>
      <c r="O298" s="729">
        <f t="shared" ca="1" si="116"/>
        <v>9.3993402388225247E-2</v>
      </c>
      <c r="P298" s="718">
        <f t="shared" ca="1" si="117"/>
        <v>3.1331134129408418E-2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0.16815234420079625</v>
      </c>
      <c r="H299" s="598">
        <f t="shared" si="111"/>
        <v>0</v>
      </c>
      <c r="J299" s="707">
        <f t="shared" ca="1" si="112"/>
        <v>6.8777905740687317E-2</v>
      </c>
      <c r="K299" s="707">
        <f t="shared" ca="1" si="113"/>
        <v>3.927461041031402E-2</v>
      </c>
      <c r="L299" s="729">
        <f t="shared" ca="1" si="114"/>
        <v>7.3094559037885448E-2</v>
      </c>
      <c r="M299" s="729">
        <f t="shared" ca="1" si="115"/>
        <v>7.3094559037885448E-2</v>
      </c>
      <c r="N299" s="541"/>
      <c r="O299" s="729">
        <f t="shared" ca="1" si="116"/>
        <v>7.3094559037885448E-2</v>
      </c>
      <c r="P299" s="718">
        <f t="shared" ca="1" si="117"/>
        <v>2.436485301262848E-2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0.16815234420079625</v>
      </c>
      <c r="H300" s="598">
        <f t="shared" si="111"/>
        <v>0</v>
      </c>
      <c r="J300" s="707">
        <f t="shared" ca="1" si="112"/>
        <v>5.1036192497144993E-2</v>
      </c>
      <c r="K300" s="707">
        <f t="shared" ca="1" si="113"/>
        <v>2.7877578521191149E-2</v>
      </c>
      <c r="L300" s="729">
        <f t="shared" ca="1" si="114"/>
        <v>5.330982175823256E-2</v>
      </c>
      <c r="M300" s="729">
        <f t="shared" ca="1" si="115"/>
        <v>5.330982175823256E-2</v>
      </c>
      <c r="N300" s="541"/>
      <c r="O300" s="729">
        <f t="shared" ca="1" si="116"/>
        <v>5.330982175823256E-2</v>
      </c>
      <c r="P300" s="718">
        <f t="shared" ca="1" si="117"/>
        <v>1.7769940586077518E-2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0.16815234420079625</v>
      </c>
      <c r="H301" s="598">
        <f t="shared" si="111"/>
        <v>0</v>
      </c>
      <c r="J301" s="707">
        <f t="shared" ca="1" si="112"/>
        <v>2.7120832702617104E-2</v>
      </c>
      <c r="K301" s="707">
        <f t="shared" ca="1" si="113"/>
        <v>3.9776028694518205E-2</v>
      </c>
      <c r="L301" s="729">
        <f t="shared" ca="1" si="114"/>
        <v>4.1499923556705218E-2</v>
      </c>
      <c r="M301" s="729">
        <f t="shared" ca="1" si="115"/>
        <v>4.1499923556705218E-2</v>
      </c>
      <c r="N301" s="541"/>
      <c r="O301" s="729">
        <f t="shared" ca="1" si="116"/>
        <v>4.1499923556705218E-2</v>
      </c>
      <c r="P301" s="718">
        <f t="shared" ca="1" si="117"/>
        <v>1.3833307852235072E-2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1.8</v>
      </c>
      <c r="E302" s="717" t="s">
        <v>842</v>
      </c>
      <c r="F302" s="541" t="s">
        <v>120</v>
      </c>
      <c r="G302" s="724">
        <f t="shared" si="110"/>
        <v>0.16815234420079625</v>
      </c>
      <c r="H302" s="598">
        <f t="shared" si="111"/>
        <v>0</v>
      </c>
      <c r="J302" s="707">
        <f t="shared" ca="1" si="112"/>
        <v>8.0337813599435266E-3</v>
      </c>
      <c r="K302" s="707">
        <f t="shared" ca="1" si="113"/>
        <v>3.2900785780557239E-2</v>
      </c>
      <c r="L302" s="729">
        <f t="shared" ca="1" si="114"/>
        <v>3.3323174794528274E-2</v>
      </c>
      <c r="M302" s="729">
        <f t="shared" ca="1" si="115"/>
        <v>3.3323174794528274E-2</v>
      </c>
      <c r="N302" s="541"/>
      <c r="O302" s="729">
        <f t="shared" ca="1" si="116"/>
        <v>3.3323174794528274E-2</v>
      </c>
      <c r="P302" s="718">
        <f t="shared" ca="1" si="117"/>
        <v>1.1107724931509425E-2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8.7607583318738233E-2</v>
      </c>
      <c r="E303" s="593" t="s">
        <v>846</v>
      </c>
      <c r="F303" s="541" t="s">
        <v>121</v>
      </c>
      <c r="G303" s="724">
        <f t="shared" si="110"/>
        <v>0.16815234420079625</v>
      </c>
      <c r="H303" s="598">
        <f t="shared" si="111"/>
        <v>0</v>
      </c>
      <c r="J303" s="707">
        <f t="shared" ca="1" si="112"/>
        <v>2.3516254140162035E-2</v>
      </c>
      <c r="K303" s="707">
        <f t="shared" ca="1" si="113"/>
        <v>2.8871350579556421E-2</v>
      </c>
      <c r="L303" s="729">
        <f t="shared" ca="1" si="114"/>
        <v>2.9956330199619383E-2</v>
      </c>
      <c r="M303" s="729">
        <f t="shared" ca="1" si="115"/>
        <v>2.9956330199619383E-2</v>
      </c>
      <c r="N303" s="541"/>
      <c r="O303" s="729">
        <f t="shared" ca="1" si="116"/>
        <v>2.9956330199619383E-2</v>
      </c>
      <c r="P303" s="718">
        <f t="shared" ca="1" si="117"/>
        <v>9.9854433998731278E-3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39.94</v>
      </c>
      <c r="E304" s="541"/>
      <c r="F304" s="541" t="s">
        <v>122</v>
      </c>
      <c r="G304" s="724">
        <f t="shared" si="110"/>
        <v>0.16815234420079625</v>
      </c>
      <c r="H304" s="598">
        <f t="shared" si="111"/>
        <v>0</v>
      </c>
      <c r="J304" s="707">
        <f t="shared" ca="1" si="112"/>
        <v>4.0097037618426215E-2</v>
      </c>
      <c r="K304" s="707">
        <f t="shared" ca="1" si="113"/>
        <v>2.4689323050499753E-2</v>
      </c>
      <c r="L304" s="729">
        <f t="shared" ca="1" si="114"/>
        <v>4.167904245028952E-2</v>
      </c>
      <c r="M304" s="729">
        <f t="shared" ca="1" si="115"/>
        <v>4.167904245028952E-2</v>
      </c>
      <c r="N304" s="541"/>
      <c r="O304" s="729">
        <f t="shared" ca="1" si="116"/>
        <v>4.167904245028952E-2</v>
      </c>
      <c r="P304" s="718">
        <f t="shared" ca="1" si="117"/>
        <v>1.3893014150096505E-2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0.16815234420079625</v>
      </c>
      <c r="H305" s="598">
        <f t="shared" si="111"/>
        <v>0</v>
      </c>
      <c r="J305" s="707">
        <f t="shared" ca="1" si="112"/>
        <v>6.5326361812971828E-2</v>
      </c>
      <c r="K305" s="707">
        <f t="shared" ca="1" si="113"/>
        <v>3.8689879002559581E-2</v>
      </c>
      <c r="L305" s="729">
        <f t="shared" ca="1" si="114"/>
        <v>6.9365346240879228E-2</v>
      </c>
      <c r="M305" s="729">
        <f t="shared" ca="1" si="115"/>
        <v>6.9365346240879228E-2</v>
      </c>
      <c r="N305" s="541"/>
      <c r="O305" s="729">
        <f t="shared" ca="1" si="116"/>
        <v>6.9365346240879228E-2</v>
      </c>
      <c r="P305" s="718">
        <f t="shared" ca="1" si="117"/>
        <v>2.3121782080293075E-2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0.16815234420079625</v>
      </c>
      <c r="H306" s="598">
        <f t="shared" si="111"/>
        <v>0</v>
      </c>
      <c r="J306" s="707">
        <f t="shared" ca="1" si="112"/>
        <v>8.4837978212945087E-2</v>
      </c>
      <c r="K306" s="707">
        <f t="shared" ca="1" si="113"/>
        <v>4.4273852816395259E-2</v>
      </c>
      <c r="L306" s="729">
        <f t="shared" ca="1" si="114"/>
        <v>9.0840364793755984E-2</v>
      </c>
      <c r="M306" s="729">
        <f t="shared" ca="1" si="115"/>
        <v>9.0840364793755984E-2</v>
      </c>
      <c r="N306" s="541"/>
      <c r="O306" s="729">
        <f t="shared" ca="1" si="116"/>
        <v>9.0840364793755984E-2</v>
      </c>
      <c r="P306" s="718">
        <f t="shared" ca="1" si="117"/>
        <v>3.0280121597918659E-2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0.16815234420079625</v>
      </c>
      <c r="H307" s="598">
        <f t="shared" si="111"/>
        <v>0</v>
      </c>
      <c r="J307" s="707">
        <f t="shared" ca="1" si="112"/>
        <v>0.10804582726713927</v>
      </c>
      <c r="K307" s="707">
        <f t="shared" ca="1" si="113"/>
        <v>3.3481113204729608E-2</v>
      </c>
      <c r="L307" s="729">
        <f t="shared" ca="1" si="114"/>
        <v>0.11382671085254278</v>
      </c>
      <c r="M307" s="729">
        <f t="shared" ca="1" si="115"/>
        <v>0.11382671085254278</v>
      </c>
      <c r="N307" s="541"/>
      <c r="O307" s="729">
        <f t="shared" ca="1" si="116"/>
        <v>0.11382671085254278</v>
      </c>
      <c r="P307" s="718">
        <f t="shared" ca="1" si="117"/>
        <v>3.7942236950847592E-2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0.16815234420079619</v>
      </c>
      <c r="H308" s="735">
        <f>AVERAGE(H296:H307)</f>
        <v>0</v>
      </c>
      <c r="J308" s="734">
        <f t="shared" ref="J308:P308" ca="1" si="118">AVERAGE(J296:J307)</f>
        <v>6.4990257215262345E-2</v>
      </c>
      <c r="K308" s="734">
        <f t="shared" ca="1" si="118"/>
        <v>3.6478419560524826E-2</v>
      </c>
      <c r="L308" s="734">
        <f t="shared" ca="1" si="118"/>
        <v>7.2542089315133937E-2</v>
      </c>
      <c r="M308" s="734">
        <f t="shared" ca="1" si="118"/>
        <v>7.2542089315133937E-2</v>
      </c>
      <c r="N308" s="734"/>
      <c r="O308" s="734">
        <f t="shared" ca="1" si="118"/>
        <v>7.2542089315133937E-2</v>
      </c>
      <c r="P308" s="734">
        <f t="shared" ca="1" si="118"/>
        <v>2.4180696438377978E-2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214787.41028443168</v>
      </c>
      <c r="D313" s="664">
        <f>$K$176*Calcs!O5</f>
        <v>451565.7493517485</v>
      </c>
      <c r="E313" s="685">
        <f>$K$177*Calcs!O5</f>
        <v>394287.62209841091</v>
      </c>
      <c r="F313" s="730">
        <f t="shared" ref="F313:F324" si="119">SUM(C313:E313)</f>
        <v>1060640.7817345911</v>
      </c>
      <c r="H313" s="753">
        <f t="shared" ref="H313:H324" ca="1" si="120">F313+AM144</f>
        <v>1301019.6599485322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194001.53186980926</v>
      </c>
      <c r="D314" s="664">
        <f>$K$176*Calcs!O6</f>
        <v>407865.83812415996</v>
      </c>
      <c r="E314" s="685">
        <f>$K$177*Calcs!O6</f>
        <v>356130.75544372597</v>
      </c>
      <c r="F314" s="730">
        <f t="shared" si="119"/>
        <v>957998.12543769518</v>
      </c>
      <c r="H314" s="753">
        <f t="shared" ca="1" si="120"/>
        <v>1232141.0527838513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214787.41028443168</v>
      </c>
      <c r="D315" s="664">
        <f>$K$176*Calcs!O7</f>
        <v>451565.7493517485</v>
      </c>
      <c r="E315" s="685">
        <f>$K$177*Calcs!O7</f>
        <v>394287.62209841091</v>
      </c>
      <c r="F315" s="730">
        <f t="shared" si="119"/>
        <v>1060640.7817345911</v>
      </c>
      <c r="H315" s="753">
        <f t="shared" ca="1" si="120"/>
        <v>1417627.5168521795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207858.78414622421</v>
      </c>
      <c r="D316" s="664">
        <f>$K$176*Calcs!O8</f>
        <v>436999.11227588565</v>
      </c>
      <c r="E316" s="685">
        <f>$K$177*Calcs!O8</f>
        <v>381568.6665468493</v>
      </c>
      <c r="F316" s="730">
        <f t="shared" si="119"/>
        <v>1026426.5629689591</v>
      </c>
      <c r="H316" s="753">
        <f t="shared" ca="1" si="120"/>
        <v>1402417.949621371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214787.41028443168</v>
      </c>
      <c r="D317" s="664">
        <f>$K$176*Calcs!O9</f>
        <v>451565.7493517485</v>
      </c>
      <c r="E317" s="685">
        <f>$K$177*Calcs!O9</f>
        <v>394287.62209841091</v>
      </c>
      <c r="F317" s="730">
        <f t="shared" si="119"/>
        <v>1060640.7817345911</v>
      </c>
      <c r="H317" s="753">
        <f t="shared" ca="1" si="120"/>
        <v>1535289.2675719229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207858.78414622421</v>
      </c>
      <c r="D318" s="664">
        <f>$K$176*Calcs!O10</f>
        <v>436999.11227588565</v>
      </c>
      <c r="E318" s="685">
        <f>$K$177*Calcs!O10</f>
        <v>381568.6665468493</v>
      </c>
      <c r="F318" s="730">
        <f t="shared" si="119"/>
        <v>1026426.5629689591</v>
      </c>
      <c r="H318" s="753">
        <f t="shared" ca="1" si="120"/>
        <v>1499098.3614739235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214787.41028443168</v>
      </c>
      <c r="D319" s="664">
        <f>$K$176*Calcs!O11</f>
        <v>451565.7493517485</v>
      </c>
      <c r="E319" s="685">
        <f>$K$177*Calcs!O11</f>
        <v>394287.62209841091</v>
      </c>
      <c r="F319" s="730">
        <f t="shared" si="119"/>
        <v>1060640.7817345911</v>
      </c>
      <c r="H319" s="753">
        <f t="shared" ca="1" si="120"/>
        <v>1551185.8926876469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214787.41028443168</v>
      </c>
      <c r="D320" s="664">
        <f>$K$176*Calcs!O12</f>
        <v>451565.7493517485</v>
      </c>
      <c r="E320" s="685">
        <f>$K$177*Calcs!O12</f>
        <v>394287.62209841091</v>
      </c>
      <c r="F320" s="730">
        <f t="shared" si="119"/>
        <v>1060640.7817345911</v>
      </c>
      <c r="H320" s="753">
        <f t="shared" ca="1" si="120"/>
        <v>1502301.9854726442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207858.78414622421</v>
      </c>
      <c r="D321" s="664">
        <f>$K$176*Calcs!O13</f>
        <v>436999.11227588565</v>
      </c>
      <c r="E321" s="685">
        <f>$K$177*Calcs!O13</f>
        <v>381568.6665468493</v>
      </c>
      <c r="F321" s="730">
        <f t="shared" si="119"/>
        <v>1026426.5629689591</v>
      </c>
      <c r="H321" s="753">
        <f t="shared" ca="1" si="120"/>
        <v>1415644.0338362511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214787.41028443168</v>
      </c>
      <c r="D322" s="664">
        <f>$K$176*Calcs!O14</f>
        <v>451565.7493517485</v>
      </c>
      <c r="E322" s="685">
        <f>$K$177*Calcs!O14</f>
        <v>394287.62209841091</v>
      </c>
      <c r="F322" s="730">
        <f t="shared" si="119"/>
        <v>1060640.7817345911</v>
      </c>
      <c r="H322" s="753">
        <f t="shared" ca="1" si="120"/>
        <v>1396796.1399276583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207858.78414622421</v>
      </c>
      <c r="D323" s="664">
        <f>$K$176*Calcs!O15</f>
        <v>436999.11227588565</v>
      </c>
      <c r="E323" s="685">
        <f>$K$177*Calcs!O15</f>
        <v>381568.6665468493</v>
      </c>
      <c r="F323" s="730">
        <f t="shared" si="119"/>
        <v>1026426.5629689591</v>
      </c>
      <c r="H323" s="753">
        <f t="shared" ca="1" si="120"/>
        <v>1249850.1023161272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214787.41028443168</v>
      </c>
      <c r="D324" s="664">
        <f>$K$176*Calcs!O16</f>
        <v>451565.7493517485</v>
      </c>
      <c r="E324" s="685">
        <f>$K$177*Calcs!O16</f>
        <v>394287.62209841091</v>
      </c>
      <c r="F324" s="730">
        <f t="shared" si="119"/>
        <v>1060640.7817345911</v>
      </c>
      <c r="H324" s="753">
        <f t="shared" ca="1" si="120"/>
        <v>1274325.7694789071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2528948.5404457278</v>
      </c>
      <c r="D325" s="683">
        <f>SUM(D313:D324)</f>
        <v>5316822.5326899402</v>
      </c>
      <c r="E325" s="683">
        <f>SUM(E313:E324)</f>
        <v>4642418.7763199992</v>
      </c>
      <c r="F325" s="683">
        <f>SUM(F313:F324)</f>
        <v>12488189.849455671</v>
      </c>
      <c r="H325" s="683">
        <f ca="1">SUM(H313:H324)</f>
        <v>16777697.731971011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116.6462835873338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8.7764189058222541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1089074.6323996976</v>
      </c>
      <c r="D345" s="757">
        <f ca="1">Calcs!P282*Calcs!$C$2</f>
        <v>1621.2979105767056</v>
      </c>
      <c r="E345" s="685">
        <f ca="1">D345*(Calcs!Z231-Calcs!AG5)*Calcs!O5</f>
        <v>105005.75351371693</v>
      </c>
      <c r="F345" s="740">
        <f t="shared" ref="F345:F356" ca="1" si="121">C345+E345</f>
        <v>1194080.3859134144</v>
      </c>
      <c r="G345" s="717"/>
      <c r="H345" s="758">
        <f t="shared" ref="H345:H356" ca="1" si="122">IF(F345=0,9999,H313/F345)</f>
        <v>1.0895578516293225</v>
      </c>
      <c r="I345" s="744">
        <f t="shared" ref="I345:I356" ca="1" si="123">IF(F345=0,9999,IF(F345&lt;0,H313,H313/F345))</f>
        <v>1.0895578516293225</v>
      </c>
      <c r="J345" s="760">
        <f t="shared" ref="J345:J356" ca="1" si="124">IF(H345&gt;0,(1-H345^$C$338)/(1-H345^($C$338+1)),1/H345)</f>
        <v>0.85520113657759533</v>
      </c>
      <c r="K345" s="539"/>
      <c r="L345" s="740">
        <f t="shared" ref="L345:L356" ca="1" si="125">F345-J345*H313</f>
        <v>81446.894015633035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903558.53903700656</v>
      </c>
      <c r="D346" s="757">
        <f ca="1">Calcs!P283*Calcs!$C$2</f>
        <v>1536.7554191569411</v>
      </c>
      <c r="E346" s="685">
        <f ca="1">D346*(Calcs!Z232-Calcs!AG6)*Calcs!O6</f>
        <v>82575.968930259711</v>
      </c>
      <c r="F346" s="740">
        <f t="shared" ca="1" si="121"/>
        <v>986134.50796726625</v>
      </c>
      <c r="G346" s="717"/>
      <c r="H346" s="758">
        <f t="shared" ca="1" si="122"/>
        <v>1.249465506813753</v>
      </c>
      <c r="I346" s="744">
        <f t="shared" ca="1" si="123"/>
        <v>1.249465506813753</v>
      </c>
      <c r="J346" s="760">
        <f t="shared" ca="1" si="124"/>
        <v>0.77482037524911906</v>
      </c>
      <c r="K346" s="539"/>
      <c r="L346" s="740">
        <f t="shared" ca="1" si="125"/>
        <v>31446.515089437948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743416.06366601156</v>
      </c>
      <c r="D347" s="757">
        <f ca="1">Calcs!P284*Calcs!$C$2</f>
        <v>1269.4337423703166</v>
      </c>
      <c r="E347" s="685">
        <f ca="1">D347*(Calcs!Z233-Calcs!AG7)*Calcs!O7</f>
        <v>56122.189973976681</v>
      </c>
      <c r="F347" s="740">
        <f t="shared" ca="1" si="121"/>
        <v>799538.25363998825</v>
      </c>
      <c r="G347" s="717"/>
      <c r="H347" s="758">
        <f t="shared" ca="1" si="122"/>
        <v>1.7730577747822196</v>
      </c>
      <c r="I347" s="744">
        <f t="shared" ca="1" si="123"/>
        <v>1.7730577747822196</v>
      </c>
      <c r="J347" s="760">
        <f t="shared" ca="1" si="124"/>
        <v>0.56237754296331788</v>
      </c>
      <c r="K347" s="539"/>
      <c r="L347" s="740">
        <f t="shared" ca="1" si="125"/>
        <v>2296.3738754700171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482116.53646343463</v>
      </c>
      <c r="D348" s="757">
        <f ca="1">Calcs!P285*Calcs!$C$2</f>
        <v>961.66231990412814</v>
      </c>
      <c r="E348" s="685">
        <f ca="1">D348*(Calcs!Z234-Calcs!AG8)*Calcs!O8</f>
        <v>27571.935773449619</v>
      </c>
      <c r="F348" s="740">
        <f t="shared" ca="1" si="121"/>
        <v>509688.47223688423</v>
      </c>
      <c r="G348" s="717"/>
      <c r="H348" s="758">
        <f t="shared" ca="1" si="122"/>
        <v>2.7515198518548782</v>
      </c>
      <c r="I348" s="744">
        <f t="shared" ca="1" si="123"/>
        <v>2.7515198518548782</v>
      </c>
      <c r="J348" s="760">
        <f t="shared" ca="1" si="124"/>
        <v>0.36340340893767087</v>
      </c>
      <c r="K348" s="539"/>
      <c r="L348" s="740">
        <f t="shared" ca="1" si="125"/>
        <v>45.008589099219535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256845.91704888237</v>
      </c>
      <c r="D349" s="757">
        <f ca="1">Calcs!P286*Calcs!$C$2</f>
        <v>607.58403463496325</v>
      </c>
      <c r="E349" s="685">
        <f ca="1">D349*(Calcs!Z235-Calcs!AG9)*Calcs!O9</f>
        <v>9280.5058819896676</v>
      </c>
      <c r="F349" s="740">
        <f t="shared" ca="1" si="121"/>
        <v>266126.42293087207</v>
      </c>
      <c r="G349" s="717"/>
      <c r="H349" s="758">
        <f t="shared" ca="1" si="122"/>
        <v>5.7690222964847182</v>
      </c>
      <c r="I349" s="744">
        <f t="shared" ca="1" si="123"/>
        <v>5.7690222964847182</v>
      </c>
      <c r="J349" s="760">
        <f t="shared" ca="1" si="124"/>
        <v>0.17333956705225353</v>
      </c>
      <c r="K349" s="539"/>
      <c r="L349" s="740">
        <f t="shared" ca="1" si="125"/>
        <v>4.5989983540493995E-2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-4794.4086898753294</v>
      </c>
      <c r="D350" s="757">
        <f ca="1">Calcs!P287*Calcs!$C$2</f>
        <v>616.80330332759866</v>
      </c>
      <c r="E350" s="685">
        <f ca="1">D350*(Calcs!Z236-Calcs!AG10)*Calcs!O10</f>
        <v>-175.86295784476968</v>
      </c>
      <c r="F350" s="740">
        <f t="shared" ca="1" si="121"/>
        <v>-4970.2716477200993</v>
      </c>
      <c r="G350" s="717"/>
      <c r="H350" s="758">
        <f t="shared" ca="1" si="122"/>
        <v>-301.61296358149178</v>
      </c>
      <c r="I350" s="744">
        <f t="shared" ca="1" si="123"/>
        <v>1499098.3614739235</v>
      </c>
      <c r="J350" s="760">
        <f t="shared" ca="1" si="124"/>
        <v>-3.3155073579249966E-3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-140950.77264526987</v>
      </c>
      <c r="D351" s="757">
        <f ca="1">Calcs!P288*Calcs!$C$2</f>
        <v>528.48777276853139</v>
      </c>
      <c r="E351" s="685">
        <f ca="1">D351*(Calcs!Z237-Calcs!AG11)*Calcs!O11</f>
        <v>-4429.9113484112786</v>
      </c>
      <c r="F351" s="740">
        <f t="shared" ca="1" si="121"/>
        <v>-145380.68399368116</v>
      </c>
      <c r="G351" s="717"/>
      <c r="H351" s="758">
        <f t="shared" ca="1" si="122"/>
        <v>-10.669821121181874</v>
      </c>
      <c r="I351" s="744">
        <f t="shared" ca="1" si="123"/>
        <v>1551185.8926876469</v>
      </c>
      <c r="J351" s="760">
        <f t="shared" ca="1" si="124"/>
        <v>-9.3722283498716433E-2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-35146.889966434108</v>
      </c>
      <c r="D352" s="757">
        <f ca="1">Calcs!P289*Calcs!$C$2</f>
        <v>452.89952471519035</v>
      </c>
      <c r="E352" s="685">
        <f ca="1">D352*(Calcs!Z238-Calcs!AG12)*Calcs!O12</f>
        <v>-946.63247057871604</v>
      </c>
      <c r="F352" s="740">
        <f t="shared" ca="1" si="121"/>
        <v>-36093.522437012827</v>
      </c>
      <c r="G352" s="717"/>
      <c r="H352" s="758">
        <f t="shared" ca="1" si="122"/>
        <v>-41.622481931330661</v>
      </c>
      <c r="I352" s="744">
        <f t="shared" ca="1" si="123"/>
        <v>1502301.9854726442</v>
      </c>
      <c r="J352" s="760">
        <f t="shared" ca="1" si="124"/>
        <v>-2.4025477424671926E-2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124563.82274187001</v>
      </c>
      <c r="D353" s="757">
        <f ca="1">Calcs!P290*Calcs!$C$2</f>
        <v>395.68260181644388</v>
      </c>
      <c r="E353" s="685">
        <f ca="1">D353*(Calcs!Z239-Calcs!AG13)*Calcs!O13</f>
        <v>2931.1059231276799</v>
      </c>
      <c r="F353" s="740">
        <f t="shared" ca="1" si="121"/>
        <v>127494.92866499769</v>
      </c>
      <c r="G353" s="717"/>
      <c r="H353" s="758">
        <f t="shared" ca="1" si="122"/>
        <v>11.103532106409974</v>
      </c>
      <c r="I353" s="744">
        <f t="shared" ca="1" si="123"/>
        <v>11.103532106409974</v>
      </c>
      <c r="J353" s="760">
        <f t="shared" ca="1" si="124"/>
        <v>9.0061431786658611E-2</v>
      </c>
      <c r="K353" s="539"/>
      <c r="L353" s="740">
        <f t="shared" ca="1" si="125"/>
        <v>7.7463919296860695E-5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451140.53991534002</v>
      </c>
      <c r="D354" s="757">
        <f ca="1">Calcs!P291*Calcs!$C$2</f>
        <v>899.30252984089248</v>
      </c>
      <c r="E354" s="685">
        <f ca="1">D354*(Calcs!Z240-Calcs!AG14)*Calcs!O14</f>
        <v>24127.38757310131</v>
      </c>
      <c r="F354" s="740">
        <f t="shared" ca="1" si="121"/>
        <v>475267.92748844135</v>
      </c>
      <c r="G354" s="717"/>
      <c r="H354" s="758">
        <f t="shared" ca="1" si="122"/>
        <v>2.9389657057421128</v>
      </c>
      <c r="I354" s="744">
        <f t="shared" ca="1" si="123"/>
        <v>2.9389657057421128</v>
      </c>
      <c r="J354" s="760">
        <f t="shared" ca="1" si="124"/>
        <v>0.34023829355736379</v>
      </c>
      <c r="K354" s="539"/>
      <c r="L354" s="740">
        <f t="shared" ca="1" si="125"/>
        <v>24.392391942150425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676071.38921391231</v>
      </c>
      <c r="D355" s="757">
        <f ca="1">Calcs!P292*Calcs!$C$2</f>
        <v>1213.9972119971324</v>
      </c>
      <c r="E355" s="685">
        <f ca="1">D355*(Calcs!Z241-Calcs!AG15)*Calcs!O15</f>
        <v>48809.333486472118</v>
      </c>
      <c r="F355" s="740">
        <f t="shared" ca="1" si="121"/>
        <v>724880.72270038445</v>
      </c>
      <c r="G355" s="717"/>
      <c r="H355" s="758">
        <f t="shared" ca="1" si="122"/>
        <v>1.7242148441471643</v>
      </c>
      <c r="I355" s="744">
        <f t="shared" ca="1" si="123"/>
        <v>1.7242148441471643</v>
      </c>
      <c r="J355" s="760">
        <f t="shared" ca="1" si="124"/>
        <v>0.57792118350902644</v>
      </c>
      <c r="K355" s="539"/>
      <c r="L355" s="740">
        <f t="shared" ca="1" si="125"/>
        <v>2565.8723609704757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1047034.4626006695</v>
      </c>
      <c r="D356" s="757">
        <f ca="1">Calcs!P293*Calcs!$C$2</f>
        <v>1564.5011266746708</v>
      </c>
      <c r="E356" s="685">
        <f ca="1">D356*(Calcs!Z242-Calcs!AG16)*Calcs!O16</f>
        <v>97415.819254954607</v>
      </c>
      <c r="F356" s="740">
        <f t="shared" ca="1" si="121"/>
        <v>1144450.2818556242</v>
      </c>
      <c r="G356" s="717"/>
      <c r="H356" s="758">
        <f t="shared" ca="1" si="122"/>
        <v>1.1134828569509385</v>
      </c>
      <c r="I356" s="744">
        <f t="shared" ca="1" si="123"/>
        <v>1.1134828569509385</v>
      </c>
      <c r="J356" s="760">
        <f t="shared" ca="1" si="124"/>
        <v>0.84329504130985644</v>
      </c>
      <c r="K356" s="539"/>
      <c r="L356" s="740">
        <f t="shared" ca="1" si="125"/>
        <v>69817.679440694628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5592929.8317852458</v>
      </c>
      <c r="D357" s="742"/>
      <c r="E357" s="683">
        <f ca="1">SUM(E345:E356)</f>
        <v>448287.59353421361</v>
      </c>
      <c r="F357" s="683">
        <f ca="1">SUM(F345:F356)</f>
        <v>6041217.4253194584</v>
      </c>
      <c r="L357" s="781">
        <f ca="1">SUM(L345:L356)</f>
        <v>187642.78183069493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116.6462835873338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8.7764189058222541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1290122.4070634635</v>
      </c>
      <c r="D371" s="757">
        <f ca="1">Calcs!P296*Calcs!$C$2</f>
        <v>1815.2489661629409</v>
      </c>
      <c r="E371" s="685">
        <f ca="1">D371*(Calcs!Z259-Calcs!AG5)*Calcs!O5</f>
        <v>139270.69626395442</v>
      </c>
      <c r="F371" s="757">
        <f t="shared" ref="F371:F382" ca="1" si="126">C371+E371</f>
        <v>1429393.103327418</v>
      </c>
      <c r="G371" s="633" t="s">
        <v>114</v>
      </c>
      <c r="H371" s="762">
        <f t="shared" ref="H371:H382" ca="1" si="127">IF(H313=0,9999,F371/H313)</f>
        <v>1.0986714093036567</v>
      </c>
      <c r="I371" s="633" t="s">
        <v>114</v>
      </c>
      <c r="J371" s="763">
        <f t="shared" ref="J371:J382" ca="1" si="128">IF(H371&lt;0,1,(1-H371^$C$366)/(1-H371^($C$366+1)))</f>
        <v>0.85068335344177948</v>
      </c>
      <c r="K371" s="633" t="s">
        <v>114</v>
      </c>
      <c r="L371" s="685">
        <f t="shared" ref="L371:L382" ca="1" si="129">H313-J371*F371</f>
        <v>85058.741423412226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1079202.0247426657</v>
      </c>
      <c r="D372" s="757">
        <f ca="1">Calcs!P297*Calcs!$C$2</f>
        <v>1730.0610952665334</v>
      </c>
      <c r="E372" s="685">
        <f ca="1">D372*(Calcs!Z260-Calcs!AG6)*Calcs!O6</f>
        <v>111034.21385510515</v>
      </c>
      <c r="F372" s="757">
        <f t="shared" ca="1" si="126"/>
        <v>1190236.2385977709</v>
      </c>
      <c r="G372" s="633" t="s">
        <v>115</v>
      </c>
      <c r="H372" s="762">
        <f t="shared" ca="1" si="127"/>
        <v>0.96599024592890381</v>
      </c>
      <c r="I372" s="633" t="s">
        <v>115</v>
      </c>
      <c r="J372" s="763">
        <f t="shared" ca="1" si="128"/>
        <v>0.91253579679554231</v>
      </c>
      <c r="K372" s="633" t="s">
        <v>115</v>
      </c>
      <c r="L372" s="685">
        <f t="shared" ca="1" si="129"/>
        <v>146007.8784201052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908649.4105652112</v>
      </c>
      <c r="D373" s="757">
        <f ca="1">Calcs!P298*Calcs!$C$2</f>
        <v>1451.2716052618737</v>
      </c>
      <c r="E373" s="685">
        <f ca="1">D373*(Calcs!Z261-Calcs!AG7)*Calcs!O7</f>
        <v>78421.957377486397</v>
      </c>
      <c r="F373" s="757">
        <f t="shared" ca="1" si="126"/>
        <v>987071.3679426976</v>
      </c>
      <c r="G373" s="633" t="s">
        <v>116</v>
      </c>
      <c r="H373" s="762">
        <f t="shared" ca="1" si="127"/>
        <v>0.69628400705318882</v>
      </c>
      <c r="I373" s="633" t="s">
        <v>116</v>
      </c>
      <c r="J373" s="763">
        <f t="shared" ca="1" si="128"/>
        <v>0.98695348217067758</v>
      </c>
      <c r="K373" s="633" t="s">
        <v>116</v>
      </c>
      <c r="L373" s="685">
        <f t="shared" ca="1" si="129"/>
        <v>443433.99311015999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612873.13709639467</v>
      </c>
      <c r="D374" s="757">
        <f ca="1">Calcs!P299*Calcs!$C$2</f>
        <v>1128.5904684317466</v>
      </c>
      <c r="E374" s="685">
        <f ca="1">D374*(Calcs!Z262-Calcs!AG8)*Calcs!O8</f>
        <v>41133.872233788046</v>
      </c>
      <c r="F374" s="757">
        <f t="shared" ca="1" si="126"/>
        <v>654007.00933018269</v>
      </c>
      <c r="G374" s="633" t="s">
        <v>117</v>
      </c>
      <c r="H374" s="762">
        <f t="shared" ca="1" si="127"/>
        <v>0.46634244057326379</v>
      </c>
      <c r="I374" s="633" t="s">
        <v>117</v>
      </c>
      <c r="J374" s="763">
        <f t="shared" ca="1" si="128"/>
        <v>0.99933941443863206</v>
      </c>
      <c r="K374" s="633" t="s">
        <v>117</v>
      </c>
      <c r="L374" s="685">
        <f t="shared" ca="1" si="129"/>
        <v>748842.96787858522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404904.061939409</v>
      </c>
      <c r="D375" s="757">
        <f ca="1">Calcs!P300*Calcs!$C$2</f>
        <v>823.1112890215627</v>
      </c>
      <c r="E375" s="685">
        <f ca="1">D375*(Calcs!Z263-Calcs!AG9)*Calcs!O9</f>
        <v>19819.985032524371</v>
      </c>
      <c r="F375" s="757">
        <f t="shared" ca="1" si="126"/>
        <v>424724.04697193339</v>
      </c>
      <c r="G375" s="633" t="s">
        <v>118</v>
      </c>
      <c r="H375" s="762">
        <f t="shared" ca="1" si="127"/>
        <v>0.27664105777515086</v>
      </c>
      <c r="I375" s="633" t="s">
        <v>118</v>
      </c>
      <c r="J375" s="763">
        <f t="shared" ca="1" si="128"/>
        <v>0.99999085082379247</v>
      </c>
      <c r="K375" s="633" t="s">
        <v>118</v>
      </c>
      <c r="L375" s="685">
        <f t="shared" ca="1" si="129"/>
        <v>1110569.1064751348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151863.93621928865</v>
      </c>
      <c r="D376" s="757">
        <f ca="1">Calcs!P301*Calcs!$C$2</f>
        <v>640.76476803790501</v>
      </c>
      <c r="E376" s="685">
        <f ca="1">D376*(Calcs!Z264-Calcs!AG10)*Calcs!O10</f>
        <v>5786.899061664174</v>
      </c>
      <c r="F376" s="757">
        <f t="shared" ca="1" si="126"/>
        <v>157650.83528095283</v>
      </c>
      <c r="G376" s="633" t="s">
        <v>119</v>
      </c>
      <c r="H376" s="762">
        <f t="shared" ca="1" si="127"/>
        <v>0.10516376999168318</v>
      </c>
      <c r="I376" s="633" t="s">
        <v>119</v>
      </c>
      <c r="J376" s="763">
        <f t="shared" ca="1" si="128"/>
        <v>0.99999999767066949</v>
      </c>
      <c r="K376" s="633" t="s">
        <v>119</v>
      </c>
      <c r="L376" s="685">
        <f t="shared" ca="1" si="129"/>
        <v>1341447.5265601915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25323.087950593337</v>
      </c>
      <c r="D377" s="757">
        <f ca="1">Calcs!P302*Calcs!$C$2</f>
        <v>514.51459514923715</v>
      </c>
      <c r="E377" s="685">
        <f ca="1">D377*(Calcs!Z265-Calcs!AG11)*Calcs!O11</f>
        <v>774.83100844581418</v>
      </c>
      <c r="F377" s="757">
        <f t="shared" ca="1" si="126"/>
        <v>26097.918959039151</v>
      </c>
      <c r="G377" s="633" t="s">
        <v>120</v>
      </c>
      <c r="H377" s="762">
        <f t="shared" ca="1" si="127"/>
        <v>1.6824494783033935E-2</v>
      </c>
      <c r="I377" s="633" t="s">
        <v>120</v>
      </c>
      <c r="J377" s="763">
        <f t="shared" ca="1" si="128"/>
        <v>0.99999999999999978</v>
      </c>
      <c r="K377" s="633" t="s">
        <v>120</v>
      </c>
      <c r="L377" s="685">
        <f t="shared" ca="1" si="129"/>
        <v>1525087.9737286079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126718.26185483699</v>
      </c>
      <c r="D378" s="757">
        <f ca="1">Calcs!P303*Calcs!$C$2</f>
        <v>462.53003202278524</v>
      </c>
      <c r="E378" s="685">
        <f ca="1">D378*(Calcs!Z266-Calcs!AG12)*Calcs!O12</f>
        <v>3485.5536708560444</v>
      </c>
      <c r="F378" s="757">
        <f t="shared" ca="1" si="126"/>
        <v>130203.81552569303</v>
      </c>
      <c r="G378" s="633" t="s">
        <v>121</v>
      </c>
      <c r="H378" s="762">
        <f t="shared" ca="1" si="127"/>
        <v>8.6669535675764409E-2</v>
      </c>
      <c r="I378" s="633" t="s">
        <v>121</v>
      </c>
      <c r="J378" s="763">
        <f t="shared" ca="1" si="128"/>
        <v>0.99999999956458929</v>
      </c>
      <c r="K378" s="633" t="s">
        <v>121</v>
      </c>
      <c r="L378" s="685">
        <f t="shared" ca="1" si="129"/>
        <v>1372098.1700036433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272923.7069678838</v>
      </c>
      <c r="D379" s="757">
        <f ca="1">Calcs!P304*Calcs!$C$2</f>
        <v>643.53038942855471</v>
      </c>
      <c r="E379" s="685">
        <f ca="1">D379*(Calcs!Z267-Calcs!AG13)*Calcs!O13</f>
        <v>10444.867916046023</v>
      </c>
      <c r="F379" s="757">
        <f t="shared" ca="1" si="126"/>
        <v>283368.5748839298</v>
      </c>
      <c r="G379" s="633" t="s">
        <v>122</v>
      </c>
      <c r="H379" s="762">
        <f t="shared" ca="1" si="127"/>
        <v>0.20016937034377902</v>
      </c>
      <c r="I379" s="633" t="s">
        <v>122</v>
      </c>
      <c r="J379" s="763">
        <f t="shared" ca="1" si="128"/>
        <v>0.99999940875022697</v>
      </c>
      <c r="K379" s="633" t="s">
        <v>122</v>
      </c>
      <c r="L379" s="685">
        <f t="shared" ca="1" si="129"/>
        <v>1132275.6264939269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586255.69390273199</v>
      </c>
      <c r="D380" s="757">
        <f ca="1">Calcs!P305*Calcs!$C$2</f>
        <v>1071.0108883254698</v>
      </c>
      <c r="E380" s="685">
        <f ca="1">D380*(Calcs!Z268-Calcs!AG14)*Calcs!O14</f>
        <v>37339.937812756849</v>
      </c>
      <c r="F380" s="757">
        <f t="shared" ca="1" si="126"/>
        <v>623595.63171548885</v>
      </c>
      <c r="G380" s="633" t="s">
        <v>123</v>
      </c>
      <c r="H380" s="762">
        <f t="shared" ca="1" si="127"/>
        <v>0.44644713275609826</v>
      </c>
      <c r="I380" s="633" t="s">
        <v>123</v>
      </c>
      <c r="J380" s="763">
        <f t="shared" ca="1" si="128"/>
        <v>0.9995327407808241</v>
      </c>
      <c r="K380" s="633" t="s">
        <v>123</v>
      </c>
      <c r="L380" s="685">
        <f t="shared" ca="1" si="129"/>
        <v>773491.88902012631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839487.64379523171</v>
      </c>
      <c r="D381" s="757">
        <f ca="1">Calcs!P306*Calcs!$C$2</f>
        <v>1402.5882528678794</v>
      </c>
      <c r="E381" s="685">
        <f ca="1">D381*(Calcs!Z269-Calcs!AG15)*Calcs!O15</f>
        <v>70022.423211465255</v>
      </c>
      <c r="F381" s="757">
        <f t="shared" ca="1" si="126"/>
        <v>909510.06700669695</v>
      </c>
      <c r="G381" s="633" t="s">
        <v>124</v>
      </c>
      <c r="H381" s="762">
        <f t="shared" ca="1" si="127"/>
        <v>0.7276953174794818</v>
      </c>
      <c r="I381" s="633" t="s">
        <v>124</v>
      </c>
      <c r="J381" s="763">
        <f t="shared" ca="1" si="128"/>
        <v>0.98248825059371336</v>
      </c>
      <c r="K381" s="633" t="s">
        <v>124</v>
      </c>
      <c r="L381" s="685">
        <f t="shared" ca="1" si="129"/>
        <v>356267.14768534643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1246529.4882002824</v>
      </c>
      <c r="D382" s="757">
        <f ca="1">Calcs!P307*Calcs!$C$2</f>
        <v>1757.5007307251494</v>
      </c>
      <c r="E382" s="685">
        <f ca="1">D382*(Calcs!Z270-Calcs!AG16)*Calcs!O16</f>
        <v>130283.88529256181</v>
      </c>
      <c r="F382" s="757">
        <f t="shared" ca="1" si="126"/>
        <v>1376813.3734928442</v>
      </c>
      <c r="G382" s="633" t="s">
        <v>125</v>
      </c>
      <c r="H382" s="762">
        <f t="shared" ca="1" si="127"/>
        <v>1.0804249639053018</v>
      </c>
      <c r="I382" s="633" t="s">
        <v>125</v>
      </c>
      <c r="J382" s="763">
        <f t="shared" ca="1" si="128"/>
        <v>0.85970298799276856</v>
      </c>
      <c r="K382" s="633" t="s">
        <v>125</v>
      </c>
      <c r="L382" s="685">
        <f t="shared" ca="1" si="129"/>
        <v>90675.19837870542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7544852.8602979938</v>
      </c>
      <c r="D383" s="683"/>
      <c r="E383" s="683">
        <f ca="1">SUM(E371:E382)</f>
        <v>647819.12273665436</v>
      </c>
      <c r="F383" s="683">
        <f ca="1">SUM(F371:F382)</f>
        <v>8192671.9830346461</v>
      </c>
      <c r="G383" s="743"/>
      <c r="H383" s="683"/>
      <c r="I383" s="743"/>
      <c r="J383" s="743"/>
      <c r="K383" s="670" t="s">
        <v>178</v>
      </c>
      <c r="L383" s="764">
        <f ca="1">SUM(L371:L382)</f>
        <v>9125256.2191779464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28040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28040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0.89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81446.894015633035</v>
      </c>
      <c r="D424" s="542">
        <f t="shared" ref="D424:D435" ca="1" si="130">$D$410-Z231</f>
        <v>8.4639206350427507</v>
      </c>
      <c r="E424" s="769">
        <f ca="1">C424/($D$412*D424)</f>
        <v>7760896.6379086403</v>
      </c>
      <c r="F424" s="770">
        <f ca="1">Calcs!L371</f>
        <v>85058.741423412226</v>
      </c>
      <c r="G424" s="771">
        <f t="shared" ref="G424:G435" ca="1" si="131">Z259-$D$411</f>
        <v>7</v>
      </c>
      <c r="H424" s="558">
        <f ca="1">F424/($D$412*G424)</f>
        <v>9800085.5534333792</v>
      </c>
      <c r="I424" s="558">
        <f ca="1">MAX((E424+H424),$D$414*$D$291*P5*3600/1000)</f>
        <v>22351885.714285713</v>
      </c>
      <c r="J424" s="630" t="s">
        <v>114</v>
      </c>
      <c r="K424" s="772">
        <f t="shared" ref="K424:K435" ca="1" si="132">I424*$D$418*$D$419/3600</f>
        <v>5525.8828571428567</v>
      </c>
      <c r="L424" s="765">
        <f ca="1">K424/$C$2</f>
        <v>0.11929688168142775</v>
      </c>
      <c r="M424" s="540"/>
      <c r="N424" s="747">
        <f t="shared" ref="N424:N435" ca="1" si="133">I424*$D$413/3600</f>
        <v>11175.942857142856</v>
      </c>
      <c r="O424" s="749">
        <f ca="1">N424/Inputs!$C$11</f>
        <v>0.24127459216468536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31446.515089437948</v>
      </c>
      <c r="D425" s="542">
        <f t="shared" ca="1" si="130"/>
        <v>8.3177043772789503</v>
      </c>
      <c r="E425" s="769">
        <f t="shared" ref="E425:E435" ca="1" si="134">C425/($D$412*D425)</f>
        <v>3049144.4398066453</v>
      </c>
      <c r="F425" s="770">
        <f ca="1">Calcs!L372</f>
        <v>146007.8784201052</v>
      </c>
      <c r="G425" s="771">
        <f t="shared" ca="1" si="131"/>
        <v>7</v>
      </c>
      <c r="H425" s="558">
        <f t="shared" ref="H425:H435" ca="1" si="135">F425/($D$412*G425)</f>
        <v>16822370.940918732</v>
      </c>
      <c r="I425" s="558">
        <f t="shared" ref="I425:I435" ca="1" si="136">MAX((E425+H425),$D$414*$D$291*P6*3600/1000)</f>
        <v>20188800</v>
      </c>
      <c r="J425" s="630" t="s">
        <v>115</v>
      </c>
      <c r="K425" s="772">
        <f t="shared" ca="1" si="132"/>
        <v>4991.12</v>
      </c>
      <c r="L425" s="765">
        <f t="shared" ref="L425:L435" ca="1" si="137">K425/$C$2</f>
        <v>0.10775202216387024</v>
      </c>
      <c r="M425" s="540"/>
      <c r="N425" s="747">
        <f t="shared" ca="1" si="133"/>
        <v>10094.4</v>
      </c>
      <c r="O425" s="749">
        <f ca="1">N425/Inputs!$C$11</f>
        <v>0.21792543808423193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2296.3738754700171</v>
      </c>
      <c r="D426" s="542">
        <f t="shared" ca="1" si="130"/>
        <v>7.6687227603193513</v>
      </c>
      <c r="E426" s="769">
        <f t="shared" ca="1" si="134"/>
        <v>241506.32802604241</v>
      </c>
      <c r="F426" s="770">
        <f ca="1">Calcs!L373</f>
        <v>443433.99311015999</v>
      </c>
      <c r="G426" s="771">
        <f t="shared" ca="1" si="131"/>
        <v>7</v>
      </c>
      <c r="H426" s="558">
        <f t="shared" ca="1" si="135"/>
        <v>51090469.915935226</v>
      </c>
      <c r="I426" s="558">
        <f t="shared" ca="1" si="136"/>
        <v>51331976.243961267</v>
      </c>
      <c r="J426" s="630" t="s">
        <v>116</v>
      </c>
      <c r="K426" s="772">
        <f t="shared" ca="1" si="132"/>
        <v>12690.405238090425</v>
      </c>
      <c r="L426" s="765">
        <f t="shared" ca="1" si="137"/>
        <v>0.27396993590280627</v>
      </c>
      <c r="M426" s="540"/>
      <c r="N426" s="747">
        <f t="shared" ca="1" si="133"/>
        <v>25665.988121980634</v>
      </c>
      <c r="O426" s="749">
        <f ca="1">N426/Inputs!$C$11</f>
        <v>0.55409649957870932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45.008589099219535</v>
      </c>
      <c r="D427" s="542">
        <f t="shared" ca="1" si="130"/>
        <v>7</v>
      </c>
      <c r="E427" s="769">
        <f t="shared" ca="1" si="134"/>
        <v>5185.6871666604738</v>
      </c>
      <c r="F427" s="770">
        <f ca="1">Calcs!L374</f>
        <v>748842.96787858522</v>
      </c>
      <c r="G427" s="771">
        <f t="shared" ca="1" si="131"/>
        <v>7</v>
      </c>
      <c r="H427" s="558">
        <f t="shared" ca="1" si="135"/>
        <v>86278318.11860235</v>
      </c>
      <c r="I427" s="558">
        <f t="shared" ca="1" si="136"/>
        <v>86283503.805769011</v>
      </c>
      <c r="J427" s="630" t="s">
        <v>117</v>
      </c>
      <c r="K427" s="772">
        <f t="shared" ca="1" si="132"/>
        <v>21331.199551981783</v>
      </c>
      <c r="L427" s="765">
        <f t="shared" ca="1" si="137"/>
        <v>0.46051384997897865</v>
      </c>
      <c r="M427" s="540"/>
      <c r="N427" s="747">
        <f t="shared" ca="1" si="133"/>
        <v>43141.751902884513</v>
      </c>
      <c r="O427" s="749">
        <f ca="1">N427/Inputs!$C$11</f>
        <v>0.9313763258001817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4.5989983540493995E-2</v>
      </c>
      <c r="D428" s="542">
        <f t="shared" ca="1" si="130"/>
        <v>7</v>
      </c>
      <c r="E428" s="769">
        <f t="shared" ca="1" si="134"/>
        <v>5.2987590194201761</v>
      </c>
      <c r="F428" s="770">
        <f ca="1">Calcs!L375</f>
        <v>1110569.1064751348</v>
      </c>
      <c r="G428" s="771">
        <f t="shared" ca="1" si="131"/>
        <v>7.2873768897382689</v>
      </c>
      <c r="H428" s="558">
        <f t="shared" ca="1" si="135"/>
        <v>122908894.34309299</v>
      </c>
      <c r="I428" s="558">
        <f t="shared" ca="1" si="136"/>
        <v>122908899.64185201</v>
      </c>
      <c r="J428" s="630" t="s">
        <v>118</v>
      </c>
      <c r="K428" s="772">
        <f t="shared" ca="1" si="132"/>
        <v>30385.811300346748</v>
      </c>
      <c r="L428" s="765">
        <f t="shared" ca="1" si="137"/>
        <v>0.65599156355730603</v>
      </c>
      <c r="M428" s="540"/>
      <c r="N428" s="747">
        <f t="shared" ca="1" si="133"/>
        <v>61454.449820926005</v>
      </c>
      <c r="O428" s="749">
        <f ca="1">N428/Inputs!$C$11</f>
        <v>1.326724510565338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1341447.5265601915</v>
      </c>
      <c r="G429" s="771">
        <f t="shared" ca="1" si="131"/>
        <v>7.5942738833256627</v>
      </c>
      <c r="H429" s="558">
        <f t="shared" ca="1" si="135"/>
        <v>142461131.05139956</v>
      </c>
      <c r="I429" s="558">
        <f t="shared" ca="1" si="136"/>
        <v>142461131.05139956</v>
      </c>
      <c r="J429" s="630" t="s">
        <v>119</v>
      </c>
      <c r="K429" s="772">
        <f t="shared" ca="1" si="132"/>
        <v>35219.55739881823</v>
      </c>
      <c r="L429" s="765">
        <f t="shared" ca="1" si="137"/>
        <v>0.76034608052684804</v>
      </c>
      <c r="M429" s="540"/>
      <c r="N429" s="747">
        <f t="shared" ca="1" si="133"/>
        <v>71230.565525699785</v>
      </c>
      <c r="O429" s="749">
        <f ca="1">N429/Inputs!$C$11</f>
        <v>1.5377785898295804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1525087.9737286079</v>
      </c>
      <c r="G430" s="771">
        <f t="shared" ca="1" si="131"/>
        <v>7.6918255803796534</v>
      </c>
      <c r="H430" s="558">
        <f t="shared" ca="1" si="135"/>
        <v>159909558.22432268</v>
      </c>
      <c r="I430" s="558">
        <f t="shared" ca="1" si="136"/>
        <v>159909558.22432268</v>
      </c>
      <c r="J430" s="630" t="s">
        <v>120</v>
      </c>
      <c r="K430" s="772">
        <f t="shared" ca="1" si="132"/>
        <v>39533.196338790884</v>
      </c>
      <c r="L430" s="765">
        <f t="shared" ca="1" si="137"/>
        <v>0.85347213613498152</v>
      </c>
      <c r="M430" s="540"/>
      <c r="N430" s="747">
        <f t="shared" ca="1" si="133"/>
        <v>79954.779112161355</v>
      </c>
      <c r="O430" s="749">
        <f ca="1">N430/Inputs!$C$11</f>
        <v>1.7261234213965924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1372098.1700036433</v>
      </c>
      <c r="G431" s="771">
        <f t="shared" ca="1" si="131"/>
        <v>7.5939377718440504</v>
      </c>
      <c r="H431" s="558">
        <f t="shared" ca="1" si="135"/>
        <v>145722665.2335234</v>
      </c>
      <c r="I431" s="558">
        <f t="shared" ca="1" si="136"/>
        <v>145722665.2335234</v>
      </c>
      <c r="J431" s="630" t="s">
        <v>121</v>
      </c>
      <c r="K431" s="772">
        <f t="shared" ca="1" si="132"/>
        <v>36025.881127176617</v>
      </c>
      <c r="L431" s="765">
        <f t="shared" ca="1" si="137"/>
        <v>0.77775359872904071</v>
      </c>
      <c r="M431" s="540"/>
      <c r="N431" s="747">
        <f t="shared" ca="1" si="133"/>
        <v>72861.332616761705</v>
      </c>
      <c r="O431" s="749">
        <f ca="1">N431/Inputs!$C$11</f>
        <v>1.5729848064182848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7.7463919296860695E-5</v>
      </c>
      <c r="D432" s="542">
        <f t="shared" ca="1" si="130"/>
        <v>7</v>
      </c>
      <c r="E432" s="769">
        <f t="shared" ca="1" si="134"/>
        <v>8.925044313017997E-3</v>
      </c>
      <c r="F432" s="770">
        <f ca="1">Calcs!L379</f>
        <v>1132275.6264939269</v>
      </c>
      <c r="G432" s="771">
        <f t="shared" ca="1" si="131"/>
        <v>7.4038790433792414</v>
      </c>
      <c r="H432" s="558">
        <f t="shared" ca="1" si="135"/>
        <v>123339390.60366797</v>
      </c>
      <c r="I432" s="558">
        <f t="shared" ca="1" si="136"/>
        <v>123339390.61259302</v>
      </c>
      <c r="J432" s="630" t="s">
        <v>122</v>
      </c>
      <c r="K432" s="772">
        <f t="shared" ca="1" si="132"/>
        <v>30492.238234779943</v>
      </c>
      <c r="L432" s="765">
        <f t="shared" ca="1" si="137"/>
        <v>0.65828918761721211</v>
      </c>
      <c r="M432" s="540"/>
      <c r="N432" s="747">
        <f t="shared" ca="1" si="133"/>
        <v>61669.695306296511</v>
      </c>
      <c r="O432" s="749">
        <f ca="1">N432/Inputs!$C$11</f>
        <v>1.3313713906864963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24.392391942150425</v>
      </c>
      <c r="D433" s="542">
        <f t="shared" ca="1" si="130"/>
        <v>7</v>
      </c>
      <c r="E433" s="769">
        <f t="shared" ca="1" si="134"/>
        <v>2810.3816713675928</v>
      </c>
      <c r="F433" s="770">
        <f ca="1">Calcs!L380</f>
        <v>773491.88902012631</v>
      </c>
      <c r="G433" s="771">
        <f t="shared" ca="1" si="131"/>
        <v>7</v>
      </c>
      <c r="H433" s="558">
        <f t="shared" ca="1" si="135"/>
        <v>89118255.93033731</v>
      </c>
      <c r="I433" s="558">
        <f t="shared" ca="1" si="136"/>
        <v>89121066.312008679</v>
      </c>
      <c r="J433" s="630" t="s">
        <v>123</v>
      </c>
      <c r="K433" s="772">
        <f t="shared" ca="1" si="132"/>
        <v>22032.708060468813</v>
      </c>
      <c r="L433" s="765">
        <f t="shared" ca="1" si="137"/>
        <v>0.47565853901763894</v>
      </c>
      <c r="M433" s="540"/>
      <c r="N433" s="747">
        <f t="shared" ca="1" si="133"/>
        <v>44560.533156004341</v>
      </c>
      <c r="O433" s="749">
        <f ca="1">N433/Inputs!$C$11</f>
        <v>0.96200603396825857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2565.8723609704757</v>
      </c>
      <c r="D434" s="542">
        <f t="shared" ca="1" si="130"/>
        <v>7.7493232568817696</v>
      </c>
      <c r="E434" s="769">
        <f t="shared" ca="1" si="134"/>
        <v>267042.40203873249</v>
      </c>
      <c r="F434" s="770">
        <f ca="1">Calcs!L381</f>
        <v>356267.14768534643</v>
      </c>
      <c r="G434" s="771">
        <f t="shared" ca="1" si="131"/>
        <v>7</v>
      </c>
      <c r="H434" s="558">
        <f t="shared" ca="1" si="135"/>
        <v>41047498.102682561</v>
      </c>
      <c r="I434" s="558">
        <f t="shared" ca="1" si="136"/>
        <v>41314540.504721291</v>
      </c>
      <c r="J434" s="630" t="s">
        <v>124</v>
      </c>
      <c r="K434" s="772">
        <f t="shared" ca="1" si="132"/>
        <v>10213.872513667209</v>
      </c>
      <c r="L434" s="765">
        <f t="shared" ca="1" si="137"/>
        <v>0.22050469984124088</v>
      </c>
      <c r="M434" s="540"/>
      <c r="N434" s="747">
        <f t="shared" ca="1" si="133"/>
        <v>20657.270252360649</v>
      </c>
      <c r="O434" s="749">
        <f ca="1">N434/Inputs!$C$11</f>
        <v>0.44596456147666697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69817.679440694628</v>
      </c>
      <c r="D435" s="542">
        <f t="shared" ca="1" si="130"/>
        <v>8.4294445081614242</v>
      </c>
      <c r="E435" s="769">
        <f t="shared" ca="1" si="134"/>
        <v>6679983.789816889</v>
      </c>
      <c r="F435" s="770">
        <f ca="1">Calcs!L382</f>
        <v>90675.19837870542</v>
      </c>
      <c r="G435" s="771">
        <f t="shared" ca="1" si="131"/>
        <v>7</v>
      </c>
      <c r="H435" s="558">
        <f t="shared" ca="1" si="135"/>
        <v>10447188.458413573</v>
      </c>
      <c r="I435" s="558">
        <f t="shared" ca="1" si="136"/>
        <v>22351885.714285713</v>
      </c>
      <c r="J435" s="630" t="s">
        <v>125</v>
      </c>
      <c r="K435" s="772">
        <f t="shared" ca="1" si="132"/>
        <v>5525.8828571428567</v>
      </c>
      <c r="L435" s="765">
        <f t="shared" ca="1" si="137"/>
        <v>0.11929688168142775</v>
      </c>
      <c r="M435" s="540"/>
      <c r="N435" s="747">
        <f t="shared" ca="1" si="133"/>
        <v>11175.942857142856</v>
      </c>
      <c r="O435" s="749">
        <f ca="1">N435/Inputs!$C$11</f>
        <v>0.24127459216468536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253967.75547840635</v>
      </c>
      <c r="L436" s="775">
        <f ca="1">SUM(L424:L435)</f>
        <v>5.4828453768327785</v>
      </c>
      <c r="M436" s="540"/>
      <c r="N436" s="746"/>
      <c r="O436" s="748">
        <f ca="1">SUM(O424:O435)</f>
        <v>11.088900762133711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0.81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5.86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0.1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1.1299999999999999</v>
      </c>
      <c r="E472" s="540" t="s">
        <v>306</v>
      </c>
      <c r="F472" s="540"/>
      <c r="G472" s="540"/>
      <c r="H472" s="507" t="s">
        <v>304</v>
      </c>
      <c r="I472" s="780">
        <f ca="1">MAX((1-I471),0.1)</f>
        <v>0.9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6.6217999999999995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6515.7515212506532</v>
      </c>
      <c r="D523" s="540"/>
      <c r="E523" s="806">
        <f ca="1">IF(Calcs!$D$446=1,0,IF($D$469=0,0,(C523+L345)/$D$469))</f>
        <v>108595.85868751073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12845.25981204691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2515.7212071550398</v>
      </c>
      <c r="D524" s="540"/>
      <c r="E524" s="806">
        <f ca="1">IF(Calcs!$D$446=1,0,IF($D$469=0,0,(C524+L346)/$D$469))</f>
        <v>41928.686785917263</v>
      </c>
      <c r="F524" s="540"/>
      <c r="G524" s="806">
        <f t="shared" ca="1" si="140"/>
        <v>0</v>
      </c>
      <c r="H524" s="806">
        <f t="shared" ca="1" si="141"/>
        <v>22049.575405494761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183.70991003760165</v>
      </c>
      <c r="D525" s="540"/>
      <c r="E525" s="806">
        <f ca="1">IF(Calcs!$D$446=1,0,IF($D$469=0,0,(C525+L347)/$D$469))</f>
        <v>3061.8318339600232</v>
      </c>
      <c r="F525" s="540"/>
      <c r="G525" s="806">
        <f t="shared" ca="1" si="140"/>
        <v>0</v>
      </c>
      <c r="H525" s="806">
        <f t="shared" ca="1" si="141"/>
        <v>66965.778656884839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3.6006871279375683</v>
      </c>
      <c r="D526" s="540"/>
      <c r="E526" s="806">
        <f ca="1">IF(Calcs!$D$446=1,0,IF($D$469=0,0,(C526+L348)/$D$469))</f>
        <v>60.011452132292717</v>
      </c>
      <c r="F526" s="540"/>
      <c r="G526" s="806">
        <f t="shared" ca="1" si="140"/>
        <v>0</v>
      </c>
      <c r="H526" s="806">
        <f t="shared" ca="1" si="141"/>
        <v>113087.52421978695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3.6791986832395256E-3</v>
      </c>
      <c r="D527" s="540"/>
      <c r="E527" s="806">
        <f ca="1">IF(Calcs!$D$446=1,0,IF($D$469=0,0,(C527+L349)/$D$469))</f>
        <v>6.1319978053992003E-2</v>
      </c>
      <c r="F527" s="540"/>
      <c r="G527" s="806">
        <f t="shared" ca="1" si="140"/>
        <v>0</v>
      </c>
      <c r="H527" s="806">
        <f t="shared" ca="1" si="141"/>
        <v>167714.08174138979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202580.49572022585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230313.20392168412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207209.24371071966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6.1971135437488652E-6</v>
      </c>
      <c r="D531" s="540"/>
      <c r="E531" s="806">
        <f ca="1">IF(Calcs!$D$446=1,0,IF($D$469=0,0,(C531+L353)/$D$469))</f>
        <v>1.032852257291476E-4</v>
      </c>
      <c r="F531" s="540"/>
      <c r="G531" s="806">
        <f t="shared" ca="1" si="140"/>
        <v>0</v>
      </c>
      <c r="H531" s="806">
        <f t="shared" ca="1" si="141"/>
        <v>170992.12094806955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1.951391355372037</v>
      </c>
      <c r="D532" s="540"/>
      <c r="E532" s="806">
        <f ca="1">IF(Calcs!$D$446=1,0,IF($D$469=0,0,(C532+L354)/$D$469))</f>
        <v>32.523189256200567</v>
      </c>
      <c r="F532" s="540"/>
      <c r="G532" s="806">
        <f t="shared" ca="1" si="140"/>
        <v>0</v>
      </c>
      <c r="H532" s="806">
        <f t="shared" ca="1" si="141"/>
        <v>116809.91407474197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205.26978887763838</v>
      </c>
      <c r="D533" s="540"/>
      <c r="E533" s="806">
        <f ca="1">IF(Calcs!$D$446=1,0,IF($D$469=0,0,(C533+L355)/$D$469))</f>
        <v>3421.1631479606344</v>
      </c>
      <c r="F533" s="540"/>
      <c r="G533" s="806">
        <f t="shared" ca="1" si="140"/>
        <v>0</v>
      </c>
      <c r="H533" s="806">
        <f t="shared" ca="1" si="141"/>
        <v>53802.160694274433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5585.4143552555788</v>
      </c>
      <c r="D534" s="540"/>
      <c r="E534" s="806">
        <f ca="1">IF(Calcs!$D$446=1,0,IF($D$469=0,0,(C534+L356)/$D$469))</f>
        <v>93090.239254259504</v>
      </c>
      <c r="F534" s="540"/>
      <c r="G534" s="806">
        <f t="shared" ca="1" si="140"/>
        <v>0</v>
      </c>
      <c r="H534" s="806">
        <f t="shared" ca="1" si="141"/>
        <v>13693.436585023019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15011.422546455618</v>
      </c>
      <c r="D535" s="540"/>
      <c r="E535" s="808">
        <f ca="1">SUM(E523:E534)</f>
        <v>250190.37577425991</v>
      </c>
      <c r="F535" s="540"/>
      <c r="G535" s="809">
        <f ca="1">SUM(G523:G534)</f>
        <v>0</v>
      </c>
      <c r="H535" s="810">
        <f ca="1">SUM(H523:H534)</f>
        <v>1378062.795490342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12845.25981204691</v>
      </c>
      <c r="E558" s="786"/>
      <c r="F558" s="786">
        <f ca="1">IF(Inputs!C$46=2,E523,0)+I541</f>
        <v>108595.85868751073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22049.575405494761</v>
      </c>
      <c r="E559" s="786"/>
      <c r="F559" s="786">
        <f ca="1">IF(Inputs!C$46=2,E524,0)+I542</f>
        <v>41928.686785917263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66965.778656884839</v>
      </c>
      <c r="E560" s="786"/>
      <c r="F560" s="786">
        <f ca="1">IF(Inputs!C$46=2,E525,0)+I543</f>
        <v>3061.8318339600232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113087.52421978695</v>
      </c>
      <c r="E561" s="786"/>
      <c r="F561" s="786">
        <f ca="1">IF(Inputs!C$46=2,E526,0)+I544</f>
        <v>60.011452132292717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167714.08174138979</v>
      </c>
      <c r="E562" s="786"/>
      <c r="F562" s="786">
        <f ca="1">IF(Inputs!C$46=2,E527,0)+I545</f>
        <v>6.1319978053992003E-2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202580.49572022585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230313.20392168412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207209.24371071966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170992.12094806955</v>
      </c>
      <c r="E566" s="786"/>
      <c r="F566" s="786">
        <f ca="1">IF(Inputs!C$46=2,E531,0)+I549</f>
        <v>1.032852257291476E-4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116809.91407474197</v>
      </c>
      <c r="E567" s="786"/>
      <c r="F567" s="786">
        <f ca="1">IF(Inputs!C$46=2,E532,0)+I550</f>
        <v>32.523189256200567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53802.160694274433</v>
      </c>
      <c r="E568" s="786"/>
      <c r="F568" s="786">
        <f ca="1">IF(Inputs!C$46=2,E533,0)+I551</f>
        <v>3421.1631479606344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13693.436585023019</v>
      </c>
      <c r="E569" s="786"/>
      <c r="F569" s="786">
        <f ca="1">IF(Inputs!C$46=2,E534,0)+I552</f>
        <v>93090.239254259504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1378062.795490342</v>
      </c>
      <c r="E570" s="782"/>
      <c r="F570" s="788">
        <f ca="1">SUM(F558:F569)</f>
        <v>250190.37577425991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19.536079364957249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</v>
      </c>
      <c r="J626" s="797">
        <f>$D$291</f>
        <v>0.29761904761904762</v>
      </c>
      <c r="K626" s="798">
        <f t="shared" ref="K626:K637" ca="1" si="152">1.205*1.008*E424/3600</f>
        <v>2618.5265256303755</v>
      </c>
      <c r="L626" s="743">
        <f t="shared" ref="L626:L637" si="153">O5</f>
        <v>2.6783999999999999</v>
      </c>
      <c r="M626" s="796">
        <f ca="1">K626*((I626-H626)-G626)*J626*L626</f>
        <v>67306.170820202475</v>
      </c>
      <c r="N626" s="799">
        <f ca="1">Calcs!L345</f>
        <v>81446.894015633035</v>
      </c>
      <c r="O626" s="798">
        <f ca="1">M626+N626</f>
        <v>148753.06483583551</v>
      </c>
      <c r="P626" s="796">
        <f ca="1">O626/(O626+O648)</f>
        <v>0.51327951938730776</v>
      </c>
      <c r="Q626" s="796">
        <f t="shared" ref="Q626:Q637" ca="1" si="154">M626*P626</f>
        <v>34546.879010393561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19.68229562272105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</v>
      </c>
      <c r="J627" s="797">
        <f t="shared" ref="J627:J637" si="157">$D$291</f>
        <v>0.29761904761904762</v>
      </c>
      <c r="K627" s="798">
        <f t="shared" ca="1" si="152"/>
        <v>1028.7813339907623</v>
      </c>
      <c r="L627" s="743">
        <f t="shared" si="153"/>
        <v>2.4192</v>
      </c>
      <c r="M627" s="796">
        <f t="shared" ref="M627:M637" ca="1" si="158">K627*((I627-H627)-G627)*J627*L627</f>
        <v>22317.353478261608</v>
      </c>
      <c r="N627" s="799">
        <f ca="1">Calcs!L346</f>
        <v>31446.515089437948</v>
      </c>
      <c r="O627" s="798">
        <f t="shared" ref="O627:O637" ca="1" si="159">M627+N627</f>
        <v>53763.868567699552</v>
      </c>
      <c r="P627" s="796">
        <f t="shared" ref="P627:P637" ca="1" si="160">O627/(O627+O649)</f>
        <v>0.19343314838567285</v>
      </c>
      <c r="Q627" s="796">
        <f t="shared" ca="1" si="154"/>
        <v>4316.9159469360902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20.331277239680649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</v>
      </c>
      <c r="J628" s="797">
        <f t="shared" si="157"/>
        <v>0.29761904761904762</v>
      </c>
      <c r="K628" s="798">
        <f t="shared" ca="1" si="152"/>
        <v>81.484235075986717</v>
      </c>
      <c r="L628" s="743">
        <f t="shared" si="153"/>
        <v>2.6783999999999999</v>
      </c>
      <c r="M628" s="796">
        <f t="shared" ca="1" si="158"/>
        <v>1544.2950434626059</v>
      </c>
      <c r="N628" s="799">
        <f ca="1">Calcs!L347</f>
        <v>2296.3738754700171</v>
      </c>
      <c r="O628" s="798">
        <f t="shared" ca="1" si="159"/>
        <v>3840.668918932623</v>
      </c>
      <c r="P628" s="796">
        <f t="shared" ca="1" si="160"/>
        <v>6.1666083420029117E-3</v>
      </c>
      <c r="Q628" s="796">
        <f t="shared" ca="1" si="154"/>
        <v>9.5230626975302552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21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</v>
      </c>
      <c r="J629" s="797">
        <f t="shared" si="157"/>
        <v>0.29761904761904762</v>
      </c>
      <c r="K629" s="798">
        <f t="shared" ca="1" si="152"/>
        <v>1.7496508500312442</v>
      </c>
      <c r="L629" s="743">
        <f t="shared" si="153"/>
        <v>2.5920000000000001</v>
      </c>
      <c r="M629" s="796">
        <f t="shared" ca="1" si="158"/>
        <v>23.838118006250671</v>
      </c>
      <c r="N629" s="799">
        <f ca="1">Calcs!L348</f>
        <v>45.008589099219535</v>
      </c>
      <c r="O629" s="798">
        <f t="shared" ca="1" si="159"/>
        <v>68.846707105470202</v>
      </c>
      <c r="P629" s="796">
        <f t="shared" ca="1" si="160"/>
        <v>7.6623755324243853E-5</v>
      </c>
      <c r="Q629" s="796">
        <f t="shared" ca="1" si="154"/>
        <v>1.8265661215014031E-3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</v>
      </c>
      <c r="J630" s="797">
        <f t="shared" si="157"/>
        <v>0.29761904761904762</v>
      </c>
      <c r="K630" s="798">
        <f t="shared" ca="1" si="152"/>
        <v>1.7878012931523677E-3</v>
      </c>
      <c r="L630" s="743">
        <f t="shared" si="153"/>
        <v>2.6783999999999999</v>
      </c>
      <c r="M630" s="796">
        <f t="shared" ca="1" si="158"/>
        <v>1.7533158832083822E-2</v>
      </c>
      <c r="N630" s="799">
        <f ca="1">Calcs!L349</f>
        <v>4.5989983540493995E-2</v>
      </c>
      <c r="O630" s="798">
        <f t="shared" ca="1" si="159"/>
        <v>6.352314237257782E-2</v>
      </c>
      <c r="P630" s="796">
        <f t="shared" ca="1" si="160"/>
        <v>5.5063386185430149E-8</v>
      </c>
      <c r="Q630" s="796">
        <f t="shared" ca="1" si="154"/>
        <v>9.6543509582151701E-10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</v>
      </c>
      <c r="J631" s="797">
        <f t="shared" si="157"/>
        <v>0.29761904761904762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</v>
      </c>
      <c r="J632" s="797">
        <f t="shared" si="157"/>
        <v>0.29761904761904762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</v>
      </c>
      <c r="J633" s="797">
        <f t="shared" si="157"/>
        <v>0.29761904761904762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</v>
      </c>
      <c r="J634" s="797">
        <f t="shared" si="157"/>
        <v>0.29761904761904762</v>
      </c>
      <c r="K634" s="798">
        <f t="shared" ca="1" si="152"/>
        <v>3.0113099512122729E-6</v>
      </c>
      <c r="L634" s="743">
        <f t="shared" si="153"/>
        <v>2.5920000000000001</v>
      </c>
      <c r="M634" s="796">
        <f t="shared" ca="1" si="158"/>
        <v>2.1970840044396598E-5</v>
      </c>
      <c r="N634" s="799">
        <f ca="1">Calcs!L353</f>
        <v>7.7463919296860695E-5</v>
      </c>
      <c r="O634" s="798">
        <f t="shared" ca="1" si="159"/>
        <v>9.9434759341257296E-5</v>
      </c>
      <c r="P634" s="796">
        <f t="shared" ca="1" si="160"/>
        <v>9.1833645364908257E-11</v>
      </c>
      <c r="Q634" s="796">
        <f t="shared" ca="1" si="154"/>
        <v>2.0176623330062425E-15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21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</v>
      </c>
      <c r="J635" s="797">
        <f t="shared" si="157"/>
        <v>0.29761904761904762</v>
      </c>
      <c r="K635" s="798">
        <f t="shared" ca="1" si="152"/>
        <v>0.94822277591942594</v>
      </c>
      <c r="L635" s="743">
        <f t="shared" si="153"/>
        <v>2.6783999999999999</v>
      </c>
      <c r="M635" s="796">
        <f t="shared" ca="1" si="158"/>
        <v>12.560125024729579</v>
      </c>
      <c r="N635" s="799">
        <f ca="1">Calcs!L354</f>
        <v>24.392391942150425</v>
      </c>
      <c r="O635" s="798">
        <f t="shared" ca="1" si="159"/>
        <v>36.952516966880005</v>
      </c>
      <c r="P635" s="796">
        <f t="shared" ca="1" si="160"/>
        <v>4.0689554422401716E-5</v>
      </c>
      <c r="Q635" s="796">
        <f t="shared" ca="1" si="154"/>
        <v>5.110658907459039E-4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20.25067674311823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</v>
      </c>
      <c r="J636" s="797">
        <f t="shared" si="157"/>
        <v>0.29761904761904762</v>
      </c>
      <c r="K636" s="798">
        <f t="shared" ca="1" si="152"/>
        <v>90.100106447868356</v>
      </c>
      <c r="L636" s="743">
        <f t="shared" si="153"/>
        <v>2.5920000000000001</v>
      </c>
      <c r="M636" s="796">
        <f t="shared" ca="1" si="158"/>
        <v>1588.9507736785497</v>
      </c>
      <c r="N636" s="799">
        <f ca="1">Calcs!L355</f>
        <v>2565.8723609704757</v>
      </c>
      <c r="O636" s="798">
        <f t="shared" ca="1" si="159"/>
        <v>4154.8231346490256</v>
      </c>
      <c r="P636" s="796">
        <f t="shared" ca="1" si="160"/>
        <v>8.5290165698447534E-3</v>
      </c>
      <c r="Q636" s="796">
        <f t="shared" ca="1" si="154"/>
        <v>13.552187477371991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19.570555491838576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</v>
      </c>
      <c r="J637" s="797">
        <f t="shared" si="157"/>
        <v>0.29761904761904762</v>
      </c>
      <c r="K637" s="798">
        <f t="shared" ca="1" si="152"/>
        <v>2253.8265306842186</v>
      </c>
      <c r="L637" s="743">
        <f t="shared" si="153"/>
        <v>2.6783999999999999</v>
      </c>
      <c r="M637" s="796">
        <f t="shared" ca="1" si="158"/>
        <v>56193.021946929191</v>
      </c>
      <c r="N637" s="799">
        <f ca="1">Calcs!L356</f>
        <v>69817.679440694628</v>
      </c>
      <c r="O637" s="798">
        <f t="shared" ca="1" si="159"/>
        <v>126010.70138762382</v>
      </c>
      <c r="P637" s="796">
        <f t="shared" ca="1" si="160"/>
        <v>0.46046270652408827</v>
      </c>
      <c r="Q637" s="796">
        <f t="shared" ca="1" si="154"/>
        <v>25874.790973450508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</v>
      </c>
      <c r="J648" s="797">
        <f>$D$291</f>
        <v>0.29761904761904762</v>
      </c>
      <c r="K648" s="798">
        <f t="shared" ref="K648:K659" ca="1" si="164">1.205*1.008*H424/3600</f>
        <v>3306.5488657284227</v>
      </c>
      <c r="L648" s="743">
        <f t="shared" ref="L648:L659" si="165">O5</f>
        <v>2.6783999999999999</v>
      </c>
      <c r="M648" s="796">
        <f ca="1">K648*((I648-H648)-G648)*J648*L648</f>
        <v>55997.272843303028</v>
      </c>
      <c r="N648" s="799">
        <f ca="1">Calcs!L371</f>
        <v>85058.741423412226</v>
      </c>
      <c r="O648" s="798">
        <f ca="1">M648+N648</f>
        <v>141056.01426671527</v>
      </c>
      <c r="P648" s="796">
        <f ca="1">O648/(O648+O626)</f>
        <v>0.48672048061269235</v>
      </c>
      <c r="Q648" s="796">
        <f t="shared" ref="Q648:Q659" ca="1" si="166">M648*P648</f>
        <v>27255.019551292517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</v>
      </c>
      <c r="J649" s="797">
        <f t="shared" ref="J649:J659" si="170">$D$291</f>
        <v>0.29761904761904762</v>
      </c>
      <c r="K649" s="798">
        <f t="shared" ca="1" si="164"/>
        <v>5675.8679554659811</v>
      </c>
      <c r="L649" s="743">
        <f t="shared" si="165"/>
        <v>2.4192</v>
      </c>
      <c r="M649" s="796">
        <f t="shared" ref="M649:M659" ca="1" si="171">K649*((I649-H649)-G649)*J649*L649</f>
        <v>78173.729350632973</v>
      </c>
      <c r="N649" s="799">
        <f ca="1">Calcs!L372</f>
        <v>146007.8784201052</v>
      </c>
      <c r="O649" s="798">
        <f t="shared" ref="O649:O659" ca="1" si="172">M649+N649</f>
        <v>224181.60777073819</v>
      </c>
      <c r="P649" s="796">
        <f t="shared" ref="P649:P659" ca="1" si="173">O649/(O649+O627)</f>
        <v>0.80656685161432706</v>
      </c>
      <c r="Q649" s="796">
        <f t="shared" ca="1" si="166"/>
        <v>63052.33876129055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</v>
      </c>
      <c r="J650" s="797">
        <f t="shared" si="170"/>
        <v>0.29761904761904762</v>
      </c>
      <c r="K650" s="798">
        <f t="shared" ca="1" si="164"/>
        <v>17237.924549636547</v>
      </c>
      <c r="L650" s="743">
        <f t="shared" si="165"/>
        <v>2.6783999999999999</v>
      </c>
      <c r="M650" s="796">
        <f t="shared" ca="1" si="171"/>
        <v>175542.40465122383</v>
      </c>
      <c r="N650" s="799">
        <f ca="1">Calcs!L373</f>
        <v>443433.99311015999</v>
      </c>
      <c r="O650" s="798">
        <f t="shared" ca="1" si="172"/>
        <v>618976.39776138379</v>
      </c>
      <c r="P650" s="796">
        <f t="shared" ca="1" si="173"/>
        <v>0.993833391657997</v>
      </c>
      <c r="Q650" s="796">
        <f t="shared" ca="1" si="166"/>
        <v>174459.90339432633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</v>
      </c>
      <c r="J651" s="797">
        <f t="shared" si="170"/>
        <v>0.29761904761904762</v>
      </c>
      <c r="K651" s="798">
        <f t="shared" ca="1" si="164"/>
        <v>29110.304533216437</v>
      </c>
      <c r="L651" s="743">
        <f t="shared" si="165"/>
        <v>2.5920000000000001</v>
      </c>
      <c r="M651" s="796">
        <f t="shared" ca="1" si="171"/>
        <v>149591.61707379908</v>
      </c>
      <c r="N651" s="799">
        <f ca="1">Calcs!L374</f>
        <v>748842.96787858522</v>
      </c>
      <c r="O651" s="798">
        <f t="shared" ca="1" si="172"/>
        <v>898434.58495238423</v>
      </c>
      <c r="P651" s="796">
        <f t="shared" ca="1" si="173"/>
        <v>0.99992337624467575</v>
      </c>
      <c r="Q651" s="796">
        <f t="shared" ca="1" si="166"/>
        <v>149580.15480233385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24.287376889738269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</v>
      </c>
      <c r="J652" s="797">
        <f t="shared" si="170"/>
        <v>0.29761904761904762</v>
      </c>
      <c r="K652" s="798">
        <f t="shared" ca="1" si="164"/>
        <v>41469.460951359579</v>
      </c>
      <c r="L652" s="743">
        <f t="shared" si="165"/>
        <v>2.6783999999999999</v>
      </c>
      <c r="M652" s="796">
        <f t="shared" ca="1" si="171"/>
        <v>43067.516250163811</v>
      </c>
      <c r="N652" s="799">
        <f ca="1">Calcs!L375</f>
        <v>1110569.1064751348</v>
      </c>
      <c r="O652" s="798">
        <f t="shared" ca="1" si="172"/>
        <v>1153636.6227252986</v>
      </c>
      <c r="P652" s="796">
        <f t="shared" ca="1" si="173"/>
        <v>0.99999994493661382</v>
      </c>
      <c r="Q652" s="796">
        <f t="shared" ca="1" si="166"/>
        <v>43067.513878720529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24.594273883325663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</v>
      </c>
      <c r="J653" s="797">
        <f t="shared" si="170"/>
        <v>0.29761904761904762</v>
      </c>
      <c r="K653" s="798">
        <f t="shared" ca="1" si="164"/>
        <v>48066.385616742213</v>
      </c>
      <c r="L653" s="743">
        <f t="shared" si="165"/>
        <v>2.5920000000000001</v>
      </c>
      <c r="M653" s="796">
        <f t="shared" ca="1" si="171"/>
        <v>-167229.82218716291</v>
      </c>
      <c r="N653" s="799">
        <f ca="1">Calcs!L376</f>
        <v>1341447.5265601915</v>
      </c>
      <c r="O653" s="798">
        <f t="shared" ca="1" si="172"/>
        <v>1174217.7043730286</v>
      </c>
      <c r="P653" s="796">
        <f t="shared" ca="1" si="173"/>
        <v>1</v>
      </c>
      <c r="Q653" s="796">
        <f t="shared" ca="1" si="166"/>
        <v>-167229.82218716291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24.691825580379653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</v>
      </c>
      <c r="J654" s="797">
        <f t="shared" si="170"/>
        <v>0.29761904761904762</v>
      </c>
      <c r="K654" s="798">
        <f t="shared" ca="1" si="164"/>
        <v>53953.484944886484</v>
      </c>
      <c r="L654" s="743">
        <f t="shared" si="165"/>
        <v>2.6783999999999999</v>
      </c>
      <c r="M654" s="796">
        <f t="shared" ca="1" si="171"/>
        <v>-323836.52427991456</v>
      </c>
      <c r="N654" s="799">
        <f ca="1">Calcs!L377</f>
        <v>1525087.9737286079</v>
      </c>
      <c r="O654" s="798">
        <f t="shared" ca="1" si="172"/>
        <v>1201251.4494486933</v>
      </c>
      <c r="P654" s="796">
        <f t="shared" ca="1" si="173"/>
        <v>1</v>
      </c>
      <c r="Q654" s="796">
        <f t="shared" ca="1" si="166"/>
        <v>-323836.52427991456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24.59393777184405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</v>
      </c>
      <c r="J655" s="797">
        <f t="shared" si="170"/>
        <v>0.29761904761904762</v>
      </c>
      <c r="K655" s="798">
        <f t="shared" ca="1" si="164"/>
        <v>49166.827249790804</v>
      </c>
      <c r="L655" s="743">
        <f t="shared" si="165"/>
        <v>2.6783999999999999</v>
      </c>
      <c r="M655" s="796">
        <f t="shared" ca="1" si="171"/>
        <v>-203034.41312801154</v>
      </c>
      <c r="N655" s="799">
        <f ca="1">Calcs!L378</f>
        <v>1372098.1700036433</v>
      </c>
      <c r="O655" s="798">
        <f t="shared" ca="1" si="172"/>
        <v>1169063.7568756316</v>
      </c>
      <c r="P655" s="796">
        <f t="shared" ca="1" si="173"/>
        <v>1</v>
      </c>
      <c r="Q655" s="796">
        <f t="shared" ca="1" si="166"/>
        <v>-203034.41312801154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24.403879043379241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</v>
      </c>
      <c r="J656" s="797">
        <f t="shared" si="170"/>
        <v>0.29761904761904762</v>
      </c>
      <c r="K656" s="798">
        <f t="shared" ca="1" si="164"/>
        <v>41614.710389677581</v>
      </c>
      <c r="L656" s="743">
        <f t="shared" si="165"/>
        <v>2.5920000000000001</v>
      </c>
      <c r="M656" s="796">
        <f t="shared" ca="1" si="171"/>
        <v>-49505.156727492635</v>
      </c>
      <c r="N656" s="799">
        <f ca="1">Calcs!L379</f>
        <v>1132275.6264939269</v>
      </c>
      <c r="O656" s="798">
        <f t="shared" ca="1" si="172"/>
        <v>1082770.4697664343</v>
      </c>
      <c r="P656" s="796">
        <f t="shared" ca="1" si="173"/>
        <v>0.99999999990816635</v>
      </c>
      <c r="Q656" s="796">
        <f t="shared" ca="1" si="166"/>
        <v>-49505.156722946398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</v>
      </c>
      <c r="J657" s="797">
        <f t="shared" si="170"/>
        <v>0.29761904761904762</v>
      </c>
      <c r="K657" s="798">
        <f t="shared" ca="1" si="164"/>
        <v>30068.499550895813</v>
      </c>
      <c r="L657" s="743">
        <f t="shared" si="165"/>
        <v>2.6783999999999999</v>
      </c>
      <c r="M657" s="796">
        <f t="shared" ca="1" si="171"/>
        <v>134628.48511418421</v>
      </c>
      <c r="N657" s="799">
        <f ca="1">Calcs!L380</f>
        <v>773491.88902012631</v>
      </c>
      <c r="O657" s="798">
        <f t="shared" ca="1" si="172"/>
        <v>908120.37413431052</v>
      </c>
      <c r="P657" s="796">
        <f t="shared" ca="1" si="173"/>
        <v>0.99995931044557762</v>
      </c>
      <c r="Q657" s="796">
        <f t="shared" ca="1" si="166"/>
        <v>134623.00714111235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</v>
      </c>
      <c r="J658" s="797">
        <f t="shared" si="170"/>
        <v>0.29761904761904762</v>
      </c>
      <c r="K658" s="798">
        <f t="shared" ca="1" si="164"/>
        <v>13849.425859845098</v>
      </c>
      <c r="L658" s="743">
        <f t="shared" si="165"/>
        <v>2.5920000000000001</v>
      </c>
      <c r="M658" s="796">
        <f t="shared" ca="1" si="171"/>
        <v>126717.79501641355</v>
      </c>
      <c r="N658" s="799">
        <f ca="1">Calcs!L381</f>
        <v>356267.14768534643</v>
      </c>
      <c r="O658" s="798">
        <f t="shared" ca="1" si="172"/>
        <v>482984.94270175998</v>
      </c>
      <c r="P658" s="796">
        <f t="shared" ca="1" si="173"/>
        <v>0.99147098343015527</v>
      </c>
      <c r="Q658" s="796">
        <f t="shared" ca="1" si="166"/>
        <v>125637.01684302438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</v>
      </c>
      <c r="J659" s="797">
        <f t="shared" si="170"/>
        <v>0.29761904761904762</v>
      </c>
      <c r="K659" s="798">
        <f t="shared" ca="1" si="164"/>
        <v>3524.8813858687404</v>
      </c>
      <c r="L659" s="743">
        <f t="shared" si="165"/>
        <v>2.6783999999999999</v>
      </c>
      <c r="M659" s="796">
        <f t="shared" ca="1" si="171"/>
        <v>56975.13640931555</v>
      </c>
      <c r="N659" s="799">
        <f ca="1">Calcs!L382</f>
        <v>90675.19837870542</v>
      </c>
      <c r="O659" s="798">
        <f t="shared" ca="1" si="172"/>
        <v>147650.33478802096</v>
      </c>
      <c r="P659" s="796">
        <f t="shared" ca="1" si="173"/>
        <v>0.53953729347591173</v>
      </c>
      <c r="Q659" s="796">
        <f t="shared" ca="1" si="166"/>
        <v>30740.210893702988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0.48915397848770881</v>
      </c>
      <c r="E701" s="834">
        <f ca="1">$E$713*(D701/$D$713)</f>
        <v>162745.75737256746</v>
      </c>
      <c r="F701" s="540"/>
      <c r="G701" s="598">
        <f ca="1">Calcs!L371/(Calcs!L345+Calcs!L371)</f>
        <v>0.51084602151229119</v>
      </c>
      <c r="H701" s="834">
        <f ca="1">$H$713*(G701/$G$713)</f>
        <v>17389.031042125207</v>
      </c>
      <c r="I701" s="540"/>
      <c r="J701" s="835">
        <f ca="1">(Calcs!L345+Calcs!L371)/($L$357+Calcs!$L$383)</f>
        <v>1.7879033738153045E-2</v>
      </c>
      <c r="K701" s="834">
        <f ca="1">IF(OR($E$713=0,$H$713=0),E701+H701,$K$713*J701/$J$713)</f>
        <v>13250.632491772103</v>
      </c>
      <c r="L701" s="776">
        <f ca="1">H701+E701</f>
        <v>180134.78841469268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0.17720899701334708</v>
      </c>
      <c r="E702" s="834">
        <f t="shared" ref="E702:E712" ca="1" si="175">$E$713*(D702/$D$713)</f>
        <v>58958.965275787676</v>
      </c>
      <c r="F702" s="540"/>
      <c r="G702" s="598">
        <f ca="1">Calcs!L372/(Calcs!L346+Calcs!L372)</f>
        <v>0.82279100298665298</v>
      </c>
      <c r="H702" s="834">
        <f t="shared" ref="H702:H712" ca="1" si="176">$H$713*(G702/$G$713)</f>
        <v>28007.535910254705</v>
      </c>
      <c r="I702" s="540"/>
      <c r="J702" s="835">
        <f ca="1">(Calcs!L346+Calcs!L372)/($L$357+Calcs!$L$383)</f>
        <v>1.9054688930946615E-2</v>
      </c>
      <c r="K702" s="834">
        <f t="shared" ref="K702:K712" ca="1" si="177">IF(OR($E$713=0,$H$713=0),E702+H702,$K$713*J702/$J$713)</f>
        <v>14121.942156763</v>
      </c>
      <c r="L702" s="776">
        <f t="shared" ref="L702:L712" ca="1" si="178">H702+E702</f>
        <v>86966.501186042384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5.1519349937942426E-3</v>
      </c>
      <c r="E703" s="834">
        <f t="shared" ca="1" si="175"/>
        <v>1714.0933108455663</v>
      </c>
      <c r="F703" s="540"/>
      <c r="G703" s="598">
        <f ca="1">Calcs!L373/(Calcs!L347+Calcs!L373)</f>
        <v>0.99484806500620571</v>
      </c>
      <c r="H703" s="834">
        <f t="shared" ca="1" si="176"/>
        <v>33864.301875892903</v>
      </c>
      <c r="I703" s="540"/>
      <c r="J703" s="835">
        <f ca="1">(Calcs!L347+Calcs!L373)/($L$357+Calcs!$L$383)</f>
        <v>4.7861612902422204E-2</v>
      </c>
      <c r="K703" s="834">
        <f t="shared" ca="1" si="177"/>
        <v>35471.527842139913</v>
      </c>
      <c r="L703" s="776">
        <f t="shared" ca="1" si="178"/>
        <v>35578.395186738468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6.0100563119618627E-5</v>
      </c>
      <c r="E704" s="834">
        <f t="shared" ca="1" si="175"/>
        <v>19.995976918474359</v>
      </c>
      <c r="F704" s="540"/>
      <c r="G704" s="598">
        <f ca="1">Calcs!L374/(Calcs!L348+Calcs!L374)</f>
        <v>0.99993989943688044</v>
      </c>
      <c r="H704" s="834">
        <f t="shared" ca="1" si="176"/>
        <v>34037.626250063906</v>
      </c>
      <c r="I704" s="540"/>
      <c r="J704" s="835">
        <f ca="1">(Calcs!L348+Calcs!L374)/($L$357+Calcs!$L$383)</f>
        <v>8.0414055428559408E-2</v>
      </c>
      <c r="K704" s="834">
        <f t="shared" ca="1" si="177"/>
        <v>59597.0180079153</v>
      </c>
      <c r="L704" s="776">
        <f t="shared" ca="1" si="178"/>
        <v>34057.622226982377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4.1411184020743352E-8</v>
      </c>
      <c r="E705" s="834">
        <f t="shared" ca="1" si="175"/>
        <v>1.3777858922842201E-2</v>
      </c>
      <c r="F705" s="540"/>
      <c r="G705" s="598">
        <f ca="1">Calcs!L375/(Calcs!L349+Calcs!L375)</f>
        <v>0.99999995858881607</v>
      </c>
      <c r="H705" s="834">
        <f t="shared" ca="1" si="176"/>
        <v>34039.670643899612</v>
      </c>
      <c r="I705" s="540"/>
      <c r="J705" s="835">
        <f ca="1">(Calcs!L349+Calcs!L375)/($L$357+Calcs!$L$383)</f>
        <v>0.11925063853316108</v>
      </c>
      <c r="K705" s="834">
        <f t="shared" ca="1" si="177"/>
        <v>88379.853674089449</v>
      </c>
      <c r="L705" s="776">
        <f t="shared" ca="1" si="178"/>
        <v>34039.684421758531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34039.672053522729</v>
      </c>
      <c r="I706" s="540"/>
      <c r="J706" s="835">
        <f ca="1">(Calcs!L350+Calcs!L376)/($L$357+Calcs!$L$383)</f>
        <v>0.14404188496137507</v>
      </c>
      <c r="K706" s="834">
        <f t="shared" ca="1" si="177"/>
        <v>106753.31279074283</v>
      </c>
      <c r="L706" s="776">
        <f t="shared" ca="1" si="178"/>
        <v>34039.672053522729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34039.672053522729</v>
      </c>
      <c r="I707" s="540"/>
      <c r="J707" s="835">
        <f ca="1">(Calcs!L351+Calcs!L377)/($L$357+Calcs!$L$383)</f>
        <v>0.1637608196506192</v>
      </c>
      <c r="K707" s="834">
        <f t="shared" ca="1" si="177"/>
        <v>121367.54533390609</v>
      </c>
      <c r="L707" s="776">
        <f t="shared" ca="1" si="178"/>
        <v>34039.672053522729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34039.672053522729</v>
      </c>
      <c r="I708" s="540"/>
      <c r="J708" s="835">
        <f ca="1">(Calcs!L352+Calcs!L378)/($L$357+Calcs!$L$383)</f>
        <v>0.14733308820970109</v>
      </c>
      <c r="K708" s="834">
        <f t="shared" ca="1" si="177"/>
        <v>109192.51198562056</v>
      </c>
      <c r="L708" s="776">
        <f t="shared" ca="1" si="178"/>
        <v>34039.672053522729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6.8414366148131995E-11</v>
      </c>
      <c r="E709" s="834">
        <f t="shared" ca="1" si="175"/>
        <v>2.2762051058778529E-5</v>
      </c>
      <c r="F709" s="540"/>
      <c r="G709" s="598">
        <f ca="1">Calcs!L379/(Calcs!L353+Calcs!L379)</f>
        <v>0.99999999993158561</v>
      </c>
      <c r="H709" s="834">
        <f t="shared" ca="1" si="176"/>
        <v>34039.672051193927</v>
      </c>
      <c r="I709" s="540"/>
      <c r="J709" s="835">
        <f ca="1">(Calcs!L353+Calcs!L379)/($L$357+Calcs!$L$383)</f>
        <v>0.12158143521676319</v>
      </c>
      <c r="K709" s="834">
        <f t="shared" ca="1" si="177"/>
        <v>90107.269748121835</v>
      </c>
      <c r="L709" s="776">
        <f t="shared" ca="1" si="178"/>
        <v>34039.672073955975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3.1534426007971873E-5</v>
      </c>
      <c r="E710" s="834">
        <f t="shared" ca="1" si="175"/>
        <v>10.491776147550087</v>
      </c>
      <c r="F710" s="540"/>
      <c r="G710" s="598">
        <f ca="1">Calcs!L380/(Calcs!L354+Calcs!L380)</f>
        <v>0.99996846557399199</v>
      </c>
      <c r="H710" s="834">
        <f t="shared" ca="1" si="176"/>
        <v>34038.598632003021</v>
      </c>
      <c r="I710" s="540"/>
      <c r="J710" s="835">
        <f ca="1">(Calcs!L354+Calcs!L380)/($L$357+Calcs!$L$383)</f>
        <v>8.3058592316773996E-2</v>
      </c>
      <c r="K710" s="834">
        <f t="shared" ca="1" si="177"/>
        <v>61556.955380922685</v>
      </c>
      <c r="L710" s="776">
        <f t="shared" ca="1" si="178"/>
        <v>34049.090408150572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7.1506026971522351E-3</v>
      </c>
      <c r="E711" s="834">
        <f t="shared" ca="1" si="175"/>
        <v>2379.0673342087634</v>
      </c>
      <c r="F711" s="540"/>
      <c r="G711" s="598">
        <f ca="1">Calcs!L381/(Calcs!L355+Calcs!L381)</f>
        <v>0.99284939730284771</v>
      </c>
      <c r="H711" s="834">
        <f t="shared" ca="1" si="176"/>
        <v>33796.267882726628</v>
      </c>
      <c r="I711" s="540"/>
      <c r="J711" s="835">
        <f ca="1">(Calcs!L355+Calcs!L381)/($L$357+Calcs!$L$383)</f>
        <v>3.853075395829518E-2</v>
      </c>
      <c r="K711" s="834">
        <f t="shared" ca="1" si="177"/>
        <v>28556.177465158959</v>
      </c>
      <c r="L711" s="776">
        <f t="shared" ca="1" si="178"/>
        <v>36175.335216935389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0.43502042202308377</v>
      </c>
      <c r="E712" s="834">
        <f t="shared" ca="1" si="175"/>
        <v>144735.05515290349</v>
      </c>
      <c r="F712" s="540"/>
      <c r="G712" s="598">
        <f ca="1">Calcs!L382/(Calcs!L356+Calcs!L382)</f>
        <v>0.56497957797691623</v>
      </c>
      <c r="H712" s="834">
        <f t="shared" ca="1" si="176"/>
        <v>19231.719551271901</v>
      </c>
      <c r="I712" s="540"/>
      <c r="J712" s="835">
        <f ca="1">(Calcs!L356+Calcs!L382)/($L$357+Calcs!$L$383)</f>
        <v>1.7233396153229809E-2</v>
      </c>
      <c r="K712" s="834">
        <f t="shared" ca="1" si="177"/>
        <v>12772.13312284721</v>
      </c>
      <c r="L712" s="776">
        <f t="shared" ca="1" si="178"/>
        <v>163966.77470417539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1.1137776116838123</v>
      </c>
      <c r="E713" s="774">
        <f>$D$675*(D693*C2)</f>
        <v>370563.44</v>
      </c>
      <c r="F713" s="595">
        <f ca="1">SUM(E701:E712)</f>
        <v>370563.43999999994</v>
      </c>
      <c r="G713" s="836">
        <f ca="1">SUM(G701:G712)</f>
        <v>10.886222388316188</v>
      </c>
      <c r="H713" s="774">
        <f>$D$675*(G693*C2)</f>
        <v>370563.44</v>
      </c>
      <c r="I713" s="595">
        <f ca="1">SUM(H701:H712)</f>
        <v>370563.43999999994</v>
      </c>
      <c r="J713" s="836">
        <f ca="1">SUM(J701:J712)</f>
        <v>1</v>
      </c>
      <c r="K713" s="774">
        <f>E713+H713</f>
        <v>741126.88</v>
      </c>
      <c r="L713" s="776">
        <f ca="1">SUM(K701:K712)</f>
        <v>741126.87999999989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2493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416829.6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1</v>
      </c>
      <c r="G731" s="157" t="s">
        <v>114</v>
      </c>
      <c r="H731" s="175">
        <f t="shared" ref="H731:H742" si="179">$D$726/$N$22*Q5/$Q$17</f>
        <v>9806.3445895890418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12257.930736986302</v>
      </c>
      <c r="M731" s="506">
        <f ca="1">MAX((L731-K731)/$D$731,0)</f>
        <v>12257.930736986302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8857.3435002739716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11071.679375342464</v>
      </c>
      <c r="M732" s="50">
        <f t="shared" ref="M732:M742" ca="1" si="184">MAX((L732-K732)/$D$731,0)</f>
        <v>11071.679375342464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9806.3445895890418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12257.930736986302</v>
      </c>
      <c r="M733" s="50">
        <f t="shared" ca="1" si="184"/>
        <v>12257.930736986302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9490.0108931506838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11862.513616438355</v>
      </c>
      <c r="M734" s="50">
        <f t="shared" ca="1" si="184"/>
        <v>11862.513616438355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9806.3445895890418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12257.930736986302</v>
      </c>
      <c r="M735" s="50">
        <f t="shared" ca="1" si="184"/>
        <v>12257.930736986302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9490.0108931506838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11862.513616438355</v>
      </c>
      <c r="M736" s="50">
        <f t="shared" ca="1" si="184"/>
        <v>11862.513616438355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9806.3445895890418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12257.930736986302</v>
      </c>
      <c r="M737" s="50">
        <f t="shared" ca="1" si="184"/>
        <v>12257.930736986302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9806.3445895890418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12257.930736986302</v>
      </c>
      <c r="M738" s="50">
        <f t="shared" ca="1" si="184"/>
        <v>12257.930736986302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9490.0108931506838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11862.513616438355</v>
      </c>
      <c r="M739" s="50">
        <f t="shared" ca="1" si="184"/>
        <v>11862.513616438355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9806.3445895890418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12257.930736986302</v>
      </c>
      <c r="M740" s="50">
        <f t="shared" ca="1" si="184"/>
        <v>12257.930736986302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9490.0108931506838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11862.513616438355</v>
      </c>
      <c r="M741" s="50">
        <f t="shared" ca="1" si="184"/>
        <v>11862.513616438355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9806.3445895890418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12257.930736986302</v>
      </c>
      <c r="M742" s="183">
        <f t="shared" ca="1" si="184"/>
        <v>12257.930736986302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115461.79920000001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144327.24899999998</v>
      </c>
      <c r="M743" s="50">
        <f t="shared" ca="1" si="185"/>
        <v>144327.24899999998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2.707982857142857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6.07</v>
      </c>
      <c r="D748" s="286">
        <f>Inputs!C29</f>
        <v>0</v>
      </c>
      <c r="E748" s="287">
        <f>E18</f>
        <v>0.29761904761904762</v>
      </c>
      <c r="G748" s="82" t="s">
        <v>115</v>
      </c>
      <c r="H748" s="838">
        <f t="shared" si="186"/>
        <v>2.4459200000000001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2.61</v>
      </c>
      <c r="D749" s="286">
        <f>Inputs!C30</f>
        <v>0</v>
      </c>
      <c r="E749" s="287">
        <f>1-E748</f>
        <v>0.70238095238095233</v>
      </c>
      <c r="G749" s="82" t="s">
        <v>116</v>
      </c>
      <c r="H749" s="838">
        <f t="shared" si="186"/>
        <v>2.707982857142857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3.6397619047619045</v>
      </c>
      <c r="D750" s="837">
        <f>SUMPRODUCT(D748:D749,$E$748:$E$749)</f>
        <v>0</v>
      </c>
      <c r="G750" s="82" t="s">
        <v>117</v>
      </c>
      <c r="H750" s="838">
        <f t="shared" si="186"/>
        <v>2.6206285714285715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2.707982857142857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2.6206285714285715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2.707982857142857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2.707982857142857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2.6206285714285715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2.707982857142857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2.6206285714285715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2.707982857142857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31.884314285714282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0.66666666666666663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1.2437888198757765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498588.95899691933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50</v>
      </c>
      <c r="AA801" s="10"/>
      <c r="AB801" s="10"/>
    </row>
    <row r="802" spans="2:28" outlineLevel="1" x14ac:dyDescent="0.25">
      <c r="B802" s="10" t="s">
        <v>735</v>
      </c>
      <c r="C802" s="11">
        <f>PeoDOcc</f>
        <v>24.03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13.119537305817024</v>
      </c>
      <c r="E809" s="338">
        <v>9.5350000000000001</v>
      </c>
      <c r="F809" s="337">
        <f>D809-E809</f>
        <v>3.5845373058170242</v>
      </c>
      <c r="G809" s="338">
        <v>34.17</v>
      </c>
      <c r="H809" s="338">
        <f>F809*G809</f>
        <v>122.48363973976772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3.912023005428146</v>
      </c>
      <c r="E811" s="338">
        <v>3.972</v>
      </c>
      <c r="F811" s="337">
        <f t="shared" si="196"/>
        <v>-5.9976994571854014E-2</v>
      </c>
      <c r="G811" s="338">
        <v>55.96</v>
      </c>
      <c r="H811" s="338">
        <f t="shared" si="197"/>
        <v>-3.3563126162409507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1.3522533188675001</v>
      </c>
      <c r="E812" s="338">
        <v>0.56159999999999999</v>
      </c>
      <c r="F812" s="337">
        <f t="shared" si="196"/>
        <v>0.79065331886750012</v>
      </c>
      <c r="G812" s="338">
        <v>10.34</v>
      </c>
      <c r="H812" s="338">
        <f t="shared" si="197"/>
        <v>8.1753553170899504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293.13954715110907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924.51105278784428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582.44196325634186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6.5310432399297289</v>
      </c>
      <c r="D830" s="206">
        <f ca="1">D846/Calcs!$C$2/3.6</f>
        <v>0.62970626276399788</v>
      </c>
      <c r="E830" s="206">
        <f ca="1">E846/Calcs!$C$2/3.6</f>
        <v>7.1607495026937258</v>
      </c>
      <c r="F830" s="206">
        <f ca="1">F846/Calcs!$C$2/3.6</f>
        <v>1.4415218212564878</v>
      </c>
      <c r="G830" s="206">
        <f>G846/Calcs!$C$2/3.6</f>
        <v>3.9960358722692972</v>
      </c>
      <c r="H830" s="206">
        <f>H846/Calcs!$C$2/3.6</f>
        <v>2.3644931506849312</v>
      </c>
      <c r="I830" s="206">
        <f ca="1">I846/Calcs!$C$2/3.6</f>
        <v>7.8020508442107159</v>
      </c>
      <c r="J830" s="206">
        <f t="shared" ref="J830:J841" ca="1" si="198">J846</f>
        <v>0.85520113657759533</v>
      </c>
      <c r="K830" s="206">
        <f ca="1">K846/Calcs!$C$2/3.6</f>
        <v>0.48842675308853417</v>
      </c>
      <c r="L830" s="204"/>
      <c r="M830" s="9" t="s">
        <v>114</v>
      </c>
      <c r="N830" s="206">
        <f ca="1">N846/Calcs!$C$2/3.6</f>
        <v>7.7367013927851378</v>
      </c>
      <c r="O830" s="206">
        <f ca="1">O846/Calcs!$C$2/3.6</f>
        <v>0.83518880368263249</v>
      </c>
      <c r="P830" s="206">
        <f ca="1">P846/Calcs!$C$2/3.6</f>
        <v>8.5718901964677716</v>
      </c>
      <c r="Q830" s="206">
        <f ca="1">Q846/Calcs!$C$2/3.6</f>
        <v>1.4415218212564878</v>
      </c>
      <c r="R830" s="206">
        <f>R846/Calcs!$C$2/3.6</f>
        <v>3.9960358722692972</v>
      </c>
      <c r="S830" s="206">
        <f>S846/Calcs!$C$2/3.6</f>
        <v>2.3644931506849312</v>
      </c>
      <c r="T830" s="206">
        <f ca="1">T846/Calcs!$C$2/3.6</f>
        <v>7.8020508442107159</v>
      </c>
      <c r="U830" s="206">
        <f t="shared" ref="U830:U841" ca="1" si="199">U846</f>
        <v>0.85068335344177948</v>
      </c>
      <c r="V830" s="206">
        <f ca="1">V846/Calcs!$C$2/3.6</f>
        <v>0.51008654654479813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5.4185266213166665</v>
      </c>
      <c r="D831" s="206">
        <f ca="1">D847/Calcs!$C$2/3.6</f>
        <v>0.49519767297700745</v>
      </c>
      <c r="E831" s="206">
        <f ca="1">E847/Calcs!$C$2/3.6</f>
        <v>5.9137242942936741</v>
      </c>
      <c r="F831" s="206">
        <f ca="1">F847/Calcs!$C$2/3.6</f>
        <v>1.6440005663097257</v>
      </c>
      <c r="G831" s="206">
        <f>G847/Calcs!$C$2/3.6</f>
        <v>3.6093227233400107</v>
      </c>
      <c r="H831" s="206">
        <f>H847/Calcs!$C$2/3.6</f>
        <v>2.135671232876712</v>
      </c>
      <c r="I831" s="206">
        <f ca="1">I847/Calcs!$C$2/3.6</f>
        <v>7.3889945225264491</v>
      </c>
      <c r="J831" s="206">
        <f t="shared" ca="1" si="198"/>
        <v>0.77482037524911906</v>
      </c>
      <c r="K831" s="206">
        <f ca="1">K847/Calcs!$C$2/3.6</f>
        <v>0.18858078563604502</v>
      </c>
      <c r="L831" s="204"/>
      <c r="M831" s="9" t="s">
        <v>115</v>
      </c>
      <c r="N831" s="206">
        <f ca="1">N847/Calcs!$C$2/3.6</f>
        <v>6.4718384567305618</v>
      </c>
      <c r="O831" s="206">
        <f ca="1">O847/Calcs!$C$2/3.6</f>
        <v>0.6658581792520849</v>
      </c>
      <c r="P831" s="206">
        <f ca="1">P847/Calcs!$C$2/3.6</f>
        <v>7.137696635982647</v>
      </c>
      <c r="Q831" s="206">
        <f ca="1">Q847/Calcs!$C$2/3.6</f>
        <v>1.6440005663097257</v>
      </c>
      <c r="R831" s="206">
        <f>R847/Calcs!$C$2/3.6</f>
        <v>3.6093227233400107</v>
      </c>
      <c r="S831" s="206">
        <f>S847/Calcs!$C$2/3.6</f>
        <v>2.135671232876712</v>
      </c>
      <c r="T831" s="206">
        <f ca="1">T847/Calcs!$C$2/3.6</f>
        <v>7.3889945225264491</v>
      </c>
      <c r="U831" s="206">
        <f t="shared" ca="1" si="199"/>
        <v>0.91253579679554231</v>
      </c>
      <c r="V831" s="206">
        <f ca="1">V847/Calcs!$C$2/3.6</f>
        <v>0.87559083552516193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4.4581723902271122</v>
      </c>
      <c r="D832" s="206">
        <f ca="1">D848/Calcs!$C$2/3.6</f>
        <v>0.33655769635544236</v>
      </c>
      <c r="E832" s="206">
        <f ca="1">E848/Calcs!$C$2/3.6</f>
        <v>4.7947300865825548</v>
      </c>
      <c r="F832" s="206">
        <f ca="1">F848/Calcs!$C$2/3.6</f>
        <v>2.1408044350431963</v>
      </c>
      <c r="G832" s="206">
        <f>G848/Calcs!$C$2/3.6</f>
        <v>3.9960358722692972</v>
      </c>
      <c r="H832" s="206">
        <f>H848/Calcs!$C$2/3.6</f>
        <v>2.3644931506849312</v>
      </c>
      <c r="I832" s="206">
        <f ca="1">I848/Calcs!$C$2/3.6</f>
        <v>8.5013334579974256</v>
      </c>
      <c r="J832" s="206">
        <f t="shared" ca="1" si="198"/>
        <v>0.56237754296331788</v>
      </c>
      <c r="K832" s="206">
        <f ca="1">K848/Calcs!$C$2/3.6</f>
        <v>1.3771064562116644E-2</v>
      </c>
      <c r="L832" s="204"/>
      <c r="M832" s="9" t="s">
        <v>116</v>
      </c>
      <c r="N832" s="206">
        <f ca="1">N848/Calcs!$C$2/3.6</f>
        <v>5.4490559359205433</v>
      </c>
      <c r="O832" s="206">
        <f ca="1">O848/Calcs!$C$2/3.6</f>
        <v>0.47028658950924629</v>
      </c>
      <c r="P832" s="206">
        <f ca="1">P848/Calcs!$C$2/3.6</f>
        <v>5.9193425254297889</v>
      </c>
      <c r="Q832" s="206">
        <f ca="1">Q848/Calcs!$C$2/3.6</f>
        <v>2.1408044350431963</v>
      </c>
      <c r="R832" s="206">
        <f>R848/Calcs!$C$2/3.6</f>
        <v>3.9960358722692972</v>
      </c>
      <c r="S832" s="206">
        <f>S848/Calcs!$C$2/3.6</f>
        <v>2.3644931506849312</v>
      </c>
      <c r="T832" s="206">
        <f ca="1">T848/Calcs!$C$2/3.6</f>
        <v>8.5013334579974256</v>
      </c>
      <c r="U832" s="206">
        <f t="shared" ca="1" si="199"/>
        <v>0.98695348217067758</v>
      </c>
      <c r="V832" s="206">
        <f ca="1">V848/Calcs!$C$2/3.6</f>
        <v>2.6592177403635211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2.8911920750461912</v>
      </c>
      <c r="D833" s="206">
        <f ca="1">D849/Calcs!$C$2/3.6</f>
        <v>0.1653454220563248</v>
      </c>
      <c r="E833" s="206">
        <f ca="1">E849/Calcs!$C$2/3.6</f>
        <v>3.0565374971025157</v>
      </c>
      <c r="F833" s="206">
        <f ca="1">F849/Calcs!$C$2/3.6</f>
        <v>2.2547729338413358</v>
      </c>
      <c r="G833" s="206">
        <f>G849/Calcs!$C$2/3.6</f>
        <v>3.8671314892928681</v>
      </c>
      <c r="H833" s="206">
        <f>H849/Calcs!$C$2/3.6</f>
        <v>2.2882191780821914</v>
      </c>
      <c r="I833" s="206">
        <f ca="1">I849/Calcs!$C$2/3.6</f>
        <v>8.4101236012163945</v>
      </c>
      <c r="J833" s="206">
        <f t="shared" ca="1" si="198"/>
        <v>0.36340340893767087</v>
      </c>
      <c r="K833" s="206">
        <f ca="1">K849/Calcs!$C$2/3.6</f>
        <v>2.6991083331683914E-4</v>
      </c>
      <c r="L833" s="204"/>
      <c r="M833" s="9" t="s">
        <v>117</v>
      </c>
      <c r="N833" s="206">
        <f ca="1">N849/Calcs!$C$2/3.6</f>
        <v>3.6753229208436071</v>
      </c>
      <c r="O833" s="206">
        <f ca="1">O849/Calcs!$C$2/3.6</f>
        <v>0.24667464487045304</v>
      </c>
      <c r="P833" s="206">
        <f ca="1">P849/Calcs!$C$2/3.6</f>
        <v>3.9219975657140598</v>
      </c>
      <c r="Q833" s="206">
        <f ca="1">Q849/Calcs!$C$2/3.6</f>
        <v>2.2547729338413358</v>
      </c>
      <c r="R833" s="206">
        <f>R849/Calcs!$C$2/3.6</f>
        <v>3.8671314892928681</v>
      </c>
      <c r="S833" s="206">
        <f>S849/Calcs!$C$2/3.6</f>
        <v>2.2882191780821914</v>
      </c>
      <c r="T833" s="206">
        <f ca="1">T849/Calcs!$C$2/3.6</f>
        <v>8.4101236012163945</v>
      </c>
      <c r="U833" s="206">
        <f t="shared" ca="1" si="199"/>
        <v>0.99933941443863206</v>
      </c>
      <c r="V833" s="206">
        <f ca="1">V849/Calcs!$C$2/3.6</f>
        <v>4.4907168504659651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1.5402725766823406</v>
      </c>
      <c r="D834" s="206">
        <f ca="1">D850/Calcs!$C$2/3.6</f>
        <v>5.5654023517326699E-2</v>
      </c>
      <c r="E834" s="206">
        <f ca="1">E850/Calcs!$C$2/3.6</f>
        <v>1.5959266001996675</v>
      </c>
      <c r="F834" s="206">
        <f ca="1">F850/Calcs!$C$2/3.6</f>
        <v>2.8464071171507053</v>
      </c>
      <c r="G834" s="206">
        <f>G850/Calcs!$C$2/3.6</f>
        <v>3.9960358722692972</v>
      </c>
      <c r="H834" s="206">
        <f>H850/Calcs!$C$2/3.6</f>
        <v>2.3644931506849312</v>
      </c>
      <c r="I834" s="206">
        <f ca="1">I850/Calcs!$C$2/3.6</f>
        <v>9.2069361401049346</v>
      </c>
      <c r="J834" s="206">
        <f t="shared" ca="1" si="198"/>
        <v>0.17333956705225353</v>
      </c>
      <c r="K834" s="206">
        <f ca="1">K850/Calcs!$C$2/3.6</f>
        <v>2.7579613202889088E-7</v>
      </c>
      <c r="L834" s="204"/>
      <c r="M834" s="9" t="s">
        <v>118</v>
      </c>
      <c r="N834" s="206">
        <f ca="1">N850/Calcs!$C$2/3.6</f>
        <v>2.4281586016952934</v>
      </c>
      <c r="O834" s="206">
        <f ca="1">O850/Calcs!$C$2/3.6</f>
        <v>0.11885795097160014</v>
      </c>
      <c r="P834" s="206">
        <f ca="1">P850/Calcs!$C$2/3.6</f>
        <v>2.5470165526668938</v>
      </c>
      <c r="Q834" s="206">
        <f ca="1">Q850/Calcs!$C$2/3.6</f>
        <v>2.8464071171507053</v>
      </c>
      <c r="R834" s="206">
        <f>R850/Calcs!$C$2/3.6</f>
        <v>3.9960358722692972</v>
      </c>
      <c r="S834" s="206">
        <f>S850/Calcs!$C$2/3.6</f>
        <v>2.3644931506849312</v>
      </c>
      <c r="T834" s="206">
        <f ca="1">T850/Calcs!$C$2/3.6</f>
        <v>9.2069361401049346</v>
      </c>
      <c r="U834" s="206">
        <f t="shared" ca="1" si="199"/>
        <v>0.99999085082379247</v>
      </c>
      <c r="V834" s="206">
        <f ca="1">V850/Calcs!$C$2/3.6</f>
        <v>6.6599428905412843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-2.8751464345906027E-2</v>
      </c>
      <c r="D835" s="206">
        <f ca="1">D851/Calcs!$C$2/3.6</f>
        <v>-1.0546279821570554E-3</v>
      </c>
      <c r="E835" s="206">
        <f ca="1">E851/Calcs!$C$2/3.6</f>
        <v>-2.9806092328063083E-2</v>
      </c>
      <c r="F835" s="206">
        <f ca="1">F851/Calcs!$C$2/3.6</f>
        <v>2.834553172475613</v>
      </c>
      <c r="G835" s="206">
        <f>G851/Calcs!$C$2/3.6</f>
        <v>3.8671314892928681</v>
      </c>
      <c r="H835" s="206">
        <f>H851/Calcs!$C$2/3.6</f>
        <v>2.2882191780821914</v>
      </c>
      <c r="I835" s="206">
        <f ca="1">I851/Calcs!$C$2/3.6</f>
        <v>8.9899038398506725</v>
      </c>
      <c r="J835" s="206">
        <f t="shared" ca="1" si="198"/>
        <v>-3.3155073579249966E-3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0.91070887570733217</v>
      </c>
      <c r="O835" s="206">
        <f ca="1">O851/Calcs!$C$2/3.6</f>
        <v>3.4703303954073429E-2</v>
      </c>
      <c r="P835" s="206">
        <f ca="1">P851/Calcs!$C$2/3.6</f>
        <v>0.94541217966140567</v>
      </c>
      <c r="Q835" s="206">
        <f ca="1">Q851/Calcs!$C$2/3.6</f>
        <v>2.834553172475613</v>
      </c>
      <c r="R835" s="206">
        <f>R851/Calcs!$C$2/3.6</f>
        <v>3.8671314892928681</v>
      </c>
      <c r="S835" s="206">
        <f>S851/Calcs!$C$2/3.6</f>
        <v>2.2882191780821914</v>
      </c>
      <c r="T835" s="206">
        <f ca="1">T851/Calcs!$C$2/3.6</f>
        <v>8.9899038398506725</v>
      </c>
      <c r="U835" s="206">
        <f t="shared" ca="1" si="199"/>
        <v>0.99999999767066949</v>
      </c>
      <c r="V835" s="206">
        <f ca="1">V851/Calcs!$C$2/3.6</f>
        <v>8.0444916623914438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-0.84526400988643347</v>
      </c>
      <c r="D836" s="206">
        <f ca="1">D852/Calcs!$C$2/3.6</f>
        <v>-2.6565619751678558E-2</v>
      </c>
      <c r="E836" s="206">
        <f ca="1">E852/Calcs!$C$2/3.6</f>
        <v>-0.87182962963811217</v>
      </c>
      <c r="F836" s="206">
        <f ca="1">F852/Calcs!$C$2/3.6</f>
        <v>2.941737173430671</v>
      </c>
      <c r="G836" s="206">
        <f>G852/Calcs!$C$2/3.6</f>
        <v>3.9960358722692972</v>
      </c>
      <c r="H836" s="206">
        <f>H852/Calcs!$C$2/3.6</f>
        <v>2.3644931506849312</v>
      </c>
      <c r="I836" s="206">
        <f ca="1">I852/Calcs!$C$2/3.6</f>
        <v>9.3022661963848989</v>
      </c>
      <c r="J836" s="206">
        <f t="shared" ca="1" si="198"/>
        <v>-9.3722283498716433E-2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0.15185936523877344</v>
      </c>
      <c r="O836" s="206">
        <f ca="1">O852/Calcs!$C$2/3.6</f>
        <v>4.6465638526972403E-3</v>
      </c>
      <c r="P836" s="206">
        <f ca="1">P852/Calcs!$C$2/3.6</f>
        <v>0.15650592909147065</v>
      </c>
      <c r="Q836" s="206">
        <f ca="1">Q852/Calcs!$C$2/3.6</f>
        <v>2.941737173430671</v>
      </c>
      <c r="R836" s="206">
        <f>R852/Calcs!$C$2/3.6</f>
        <v>3.9960358722692972</v>
      </c>
      <c r="S836" s="206">
        <f>S852/Calcs!$C$2/3.6</f>
        <v>2.3644931506849312</v>
      </c>
      <c r="T836" s="206">
        <f ca="1">T852/Calcs!$C$2/3.6</f>
        <v>9.3022661963848989</v>
      </c>
      <c r="U836" s="206">
        <f t="shared" ca="1" si="199"/>
        <v>0.99999999999999978</v>
      </c>
      <c r="V836" s="206">
        <f ca="1">V852/Calcs!$C$2/3.6</f>
        <v>9.1457602672934293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-0.21077146716203068</v>
      </c>
      <c r="D837" s="206">
        <f ca="1">D853/Calcs!$C$2/3.6</f>
        <v>-5.6768355572183451E-3</v>
      </c>
      <c r="E837" s="206">
        <f ca="1">E853/Calcs!$C$2/3.6</f>
        <v>-0.21644830271924906</v>
      </c>
      <c r="F837" s="206">
        <f ca="1">F853/Calcs!$C$2/3.6</f>
        <v>2.6485865460449034</v>
      </c>
      <c r="G837" s="206">
        <f>G853/Calcs!$C$2/3.6</f>
        <v>3.9960358722692972</v>
      </c>
      <c r="H837" s="206">
        <f>H853/Calcs!$C$2/3.6</f>
        <v>2.3644931506849312</v>
      </c>
      <c r="I837" s="206">
        <f ca="1">I853/Calcs!$C$2/3.6</f>
        <v>9.0091155689991336</v>
      </c>
      <c r="J837" s="206">
        <f t="shared" ca="1" si="198"/>
        <v>-2.4025477424671926E-2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0.7599134373730807</v>
      </c>
      <c r="O837" s="206">
        <f ca="1">O853/Calcs!$C$2/3.6</f>
        <v>2.0902425841374268E-2</v>
      </c>
      <c r="P837" s="206">
        <f ca="1">P853/Calcs!$C$2/3.6</f>
        <v>0.78081586321445484</v>
      </c>
      <c r="Q837" s="206">
        <f ca="1">Q853/Calcs!$C$2/3.6</f>
        <v>2.6485865460449034</v>
      </c>
      <c r="R837" s="206">
        <f>R853/Calcs!$C$2/3.6</f>
        <v>3.9960358722692972</v>
      </c>
      <c r="S837" s="206">
        <f>S853/Calcs!$C$2/3.6</f>
        <v>2.3644931506849312</v>
      </c>
      <c r="T837" s="206">
        <f ca="1">T853/Calcs!$C$2/3.6</f>
        <v>9.0091155689991336</v>
      </c>
      <c r="U837" s="206">
        <f t="shared" ca="1" si="199"/>
        <v>0.99999999956458929</v>
      </c>
      <c r="V837" s="206">
        <f ca="1">V853/Calcs!$C$2/3.6</f>
        <v>8.2282997061246537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0.74699353768394783</v>
      </c>
      <c r="D838" s="206">
        <f ca="1">D854/Calcs!$C$2/3.6</f>
        <v>1.757747261322248E-2</v>
      </c>
      <c r="E838" s="206">
        <f ca="1">E854/Calcs!$C$2/3.6</f>
        <v>0.76457101029717034</v>
      </c>
      <c r="F838" s="206">
        <f ca="1">F854/Calcs!$C$2/3.6</f>
        <v>2.3340880930898815</v>
      </c>
      <c r="G838" s="206">
        <f>G854/Calcs!$C$2/3.6</f>
        <v>3.8671314892928681</v>
      </c>
      <c r="H838" s="206">
        <f>H854/Calcs!$C$2/3.6</f>
        <v>2.2882191780821914</v>
      </c>
      <c r="I838" s="206">
        <f ca="1">I854/Calcs!$C$2/3.6</f>
        <v>8.4894387604649406</v>
      </c>
      <c r="J838" s="206">
        <f t="shared" ca="1" si="198"/>
        <v>9.0061431786658611E-2</v>
      </c>
      <c r="K838" s="206">
        <f ca="1">K854/Calcs!$C$2/3.6</f>
        <v>4.6454135594680532E-10</v>
      </c>
      <c r="L838" s="204"/>
      <c r="M838" s="9" t="s">
        <v>122</v>
      </c>
      <c r="N838" s="206">
        <f ca="1">N854/Calcs!$C$2/3.6</f>
        <v>1.6366890554429689</v>
      </c>
      <c r="O838" s="206">
        <f ca="1">O854/Calcs!$C$2/3.6</f>
        <v>6.2636555811370342E-2</v>
      </c>
      <c r="P838" s="206">
        <f ca="1">P854/Calcs!$C$2/3.6</f>
        <v>1.6993256112543391</v>
      </c>
      <c r="Q838" s="206">
        <f ca="1">Q854/Calcs!$C$2/3.6</f>
        <v>2.3340880930898815</v>
      </c>
      <c r="R838" s="206">
        <f>R854/Calcs!$C$2/3.6</f>
        <v>3.8671314892928681</v>
      </c>
      <c r="S838" s="206">
        <f>S854/Calcs!$C$2/3.6</f>
        <v>2.2882191780821914</v>
      </c>
      <c r="T838" s="206">
        <f ca="1">T854/Calcs!$C$2/3.6</f>
        <v>8.4894387604649406</v>
      </c>
      <c r="U838" s="206">
        <f t="shared" ca="1" si="199"/>
        <v>0.99999940875022697</v>
      </c>
      <c r="V838" s="206">
        <f ca="1">V854/Calcs!$C$2/3.6</f>
        <v>6.790114153936484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2.7054329297709456</v>
      </c>
      <c r="D839" s="206">
        <f ca="1">D855/Calcs!$C$2/3.6</f>
        <v>0.14468890085086111</v>
      </c>
      <c r="E839" s="206">
        <f ca="1">E855/Calcs!$C$2/3.6</f>
        <v>2.8501218306218066</v>
      </c>
      <c r="F839" s="206">
        <f ca="1">F855/Calcs!$C$2/3.6</f>
        <v>2.0158812944301916</v>
      </c>
      <c r="G839" s="206">
        <f>G855/Calcs!$C$2/3.6</f>
        <v>3.9960358722692972</v>
      </c>
      <c r="H839" s="206">
        <f>H855/Calcs!$C$2/3.6</f>
        <v>2.3644931506849312</v>
      </c>
      <c r="I839" s="206">
        <f ca="1">I855/Calcs!$C$2/3.6</f>
        <v>8.3764103173844209</v>
      </c>
      <c r="J839" s="206">
        <f t="shared" ca="1" si="198"/>
        <v>0.34023829355736379</v>
      </c>
      <c r="K839" s="206">
        <f ca="1">K855/Calcs!$C$2/3.6</f>
        <v>1.4627809863542108E-4</v>
      </c>
      <c r="L839" s="204"/>
      <c r="M839" s="9" t="s">
        <v>123</v>
      </c>
      <c r="N839" s="206">
        <f ca="1">N855/Calcs!$C$2/3.6</f>
        <v>3.515701470428275</v>
      </c>
      <c r="O839" s="206">
        <f ca="1">O855/Calcs!$C$2/3.6</f>
        <v>0.22392289855659833</v>
      </c>
      <c r="P839" s="206">
        <f ca="1">P855/Calcs!$C$2/3.6</f>
        <v>3.7396243689848738</v>
      </c>
      <c r="Q839" s="206">
        <f ca="1">Q855/Calcs!$C$2/3.6</f>
        <v>2.0158812944301916</v>
      </c>
      <c r="R839" s="206">
        <f>R855/Calcs!$C$2/3.6</f>
        <v>3.9960358722692972</v>
      </c>
      <c r="S839" s="206">
        <f>S855/Calcs!$C$2/3.6</f>
        <v>2.3644931506849312</v>
      </c>
      <c r="T839" s="206">
        <f ca="1">T855/Calcs!$C$2/3.6</f>
        <v>8.3764103173844209</v>
      </c>
      <c r="U839" s="206">
        <f t="shared" ca="1" si="199"/>
        <v>0.9995327407808241</v>
      </c>
      <c r="V839" s="206">
        <f ca="1">V855/Calcs!$C$2/3.6</f>
        <v>4.6385333223622105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4.0543148695937328</v>
      </c>
      <c r="D840" s="206">
        <f ca="1">D856/Calcs!$C$2/3.6</f>
        <v>0.29270341813939765</v>
      </c>
      <c r="E840" s="206">
        <f ca="1">E856/Calcs!$C$2/3.6</f>
        <v>4.3470182877331309</v>
      </c>
      <c r="F840" s="206">
        <f ca="1">F856/Calcs!$C$2/3.6</f>
        <v>1.3398427921135934</v>
      </c>
      <c r="G840" s="206">
        <f>G856/Calcs!$C$2/3.6</f>
        <v>3.8671314892928681</v>
      </c>
      <c r="H840" s="206">
        <f>H856/Calcs!$C$2/3.6</f>
        <v>2.2882191780821914</v>
      </c>
      <c r="I840" s="206">
        <f ca="1">I856/Calcs!$C$2/3.6</f>
        <v>7.4951934594886529</v>
      </c>
      <c r="J840" s="206">
        <f t="shared" ca="1" si="198"/>
        <v>0.57792118350902644</v>
      </c>
      <c r="K840" s="206">
        <f ca="1">K856/Calcs!$C$2/3.6</f>
        <v>1.538721299633442E-2</v>
      </c>
      <c r="L840" s="204"/>
      <c r="M840" s="9" t="s">
        <v>124</v>
      </c>
      <c r="N840" s="206">
        <f ca="1">N856/Calcs!$C$2/3.6</f>
        <v>5.034301541789274</v>
      </c>
      <c r="O840" s="206">
        <f ca="1">O856/Calcs!$C$2/3.6</f>
        <v>0.41991564228345685</v>
      </c>
      <c r="P840" s="206">
        <f ca="1">P856/Calcs!$C$2/3.6</f>
        <v>5.4542171840727312</v>
      </c>
      <c r="Q840" s="206">
        <f ca="1">Q856/Calcs!$C$2/3.6</f>
        <v>1.3398427921135934</v>
      </c>
      <c r="R840" s="206">
        <f>R856/Calcs!$C$2/3.6</f>
        <v>3.8671314892928681</v>
      </c>
      <c r="S840" s="206">
        <f>S856/Calcs!$C$2/3.6</f>
        <v>2.2882191780821914</v>
      </c>
      <c r="T840" s="206">
        <f ca="1">T856/Calcs!$C$2/3.6</f>
        <v>7.4951934594886529</v>
      </c>
      <c r="U840" s="206">
        <f t="shared" ca="1" si="199"/>
        <v>0.98248825059371336</v>
      </c>
      <c r="V840" s="206">
        <f ca="1">V856/Calcs!$C$2/3.6</f>
        <v>2.136489159950866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6.2789336428432057</v>
      </c>
      <c r="D841" s="206">
        <f ca="1">D857/Calcs!$C$2/3.6</f>
        <v>0.58419038409278468</v>
      </c>
      <c r="E841" s="206">
        <f ca="1">E857/Calcs!$C$2/3.6</f>
        <v>6.8631240269359921</v>
      </c>
      <c r="F841" s="206">
        <f ca="1">F857/Calcs!$C$2/3.6</f>
        <v>1.2814419261670882</v>
      </c>
      <c r="G841" s="206">
        <f>G857/Calcs!$C$2/3.6</f>
        <v>3.9960358722692972</v>
      </c>
      <c r="H841" s="206">
        <f>H857/Calcs!$C$2/3.6</f>
        <v>2.3644931506849312</v>
      </c>
      <c r="I841" s="206">
        <f ca="1">I857/Calcs!$C$2/3.6</f>
        <v>7.6419709491213172</v>
      </c>
      <c r="J841" s="206">
        <f t="shared" ca="1" si="198"/>
        <v>0.84329504130985644</v>
      </c>
      <c r="K841" s="206">
        <f ca="1">K857/Calcs!$C$2/3.6</f>
        <v>0.41868781970800784</v>
      </c>
      <c r="L841" s="204"/>
      <c r="M841" s="9" t="s">
        <v>125</v>
      </c>
      <c r="N841" s="206">
        <f ca="1">N857/Calcs!$C$2/3.6</f>
        <v>7.4752801553600667</v>
      </c>
      <c r="O841" s="206">
        <f ca="1">O857/Calcs!$C$2/3.6</f>
        <v>0.78129603150969729</v>
      </c>
      <c r="P841" s="206">
        <f ca="1">P857/Calcs!$C$2/3.6</f>
        <v>8.2565761868697631</v>
      </c>
      <c r="Q841" s="206">
        <f ca="1">Q857/Calcs!$C$2/3.6</f>
        <v>1.2814419261670882</v>
      </c>
      <c r="R841" s="206">
        <f>R857/Calcs!$C$2/3.6</f>
        <v>3.9960358722692972</v>
      </c>
      <c r="S841" s="206">
        <f>S857/Calcs!$C$2/3.6</f>
        <v>2.3644931506849312</v>
      </c>
      <c r="T841" s="206">
        <f ca="1">T857/Calcs!$C$2/3.6</f>
        <v>7.6419709491213172</v>
      </c>
      <c r="U841" s="206">
        <f t="shared" ca="1" si="199"/>
        <v>0.85970298799276856</v>
      </c>
      <c r="V841" s="206">
        <f ca="1">V857/Calcs!$C$2/3.6</f>
        <v>0.54376773067944206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33.5400949416995</v>
      </c>
      <c r="D842" s="208">
        <f t="shared" ca="1" si="200"/>
        <v>2.6883241700753113</v>
      </c>
      <c r="E842" s="208">
        <f t="shared" ca="1" si="200"/>
        <v>36.228419111774812</v>
      </c>
      <c r="F842" s="208">
        <f t="shared" ca="1" si="200"/>
        <v>25.72363787135339</v>
      </c>
      <c r="G842" s="208">
        <f t="shared" si="200"/>
        <v>47.050099786396558</v>
      </c>
      <c r="H842" s="208">
        <f t="shared" si="200"/>
        <v>27.84</v>
      </c>
      <c r="I842" s="208">
        <f t="shared" ca="1" si="200"/>
        <v>100.61373765774995</v>
      </c>
      <c r="J842" s="208" t="s">
        <v>479</v>
      </c>
      <c r="K842" s="208">
        <f ca="1">SUM(K830:K841)</f>
        <v>1.1252701011836637</v>
      </c>
      <c r="L842" s="204"/>
      <c r="M842" s="207" t="s">
        <v>178</v>
      </c>
      <c r="N842" s="208">
        <f t="shared" ref="N842:T842" ca="1" si="201">SUM(N830:N841)</f>
        <v>45.245531209314912</v>
      </c>
      <c r="O842" s="208">
        <f t="shared" ca="1" si="201"/>
        <v>3.884889590095284</v>
      </c>
      <c r="P842" s="208">
        <f t="shared" ca="1" si="201"/>
        <v>49.130420799410203</v>
      </c>
      <c r="Q842" s="208">
        <f t="shared" ca="1" si="201"/>
        <v>25.72363787135339</v>
      </c>
      <c r="R842" s="208">
        <f>SUM(R830:R841)</f>
        <v>47.050099786396558</v>
      </c>
      <c r="S842" s="208">
        <f t="shared" si="201"/>
        <v>27.84</v>
      </c>
      <c r="T842" s="208">
        <f t="shared" ca="1" si="201"/>
        <v>100.61373765774995</v>
      </c>
      <c r="U842" s="208" t="s">
        <v>479</v>
      </c>
      <c r="V842" s="208">
        <f ca="1">SUM(V830:V841)</f>
        <v>54.723010866179258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1089074.6323996976</v>
      </c>
      <c r="D846" s="208">
        <f t="shared" ref="D846:D857" ca="1" si="203">E345</f>
        <v>105005.75351371693</v>
      </c>
      <c r="E846" s="208">
        <f t="shared" ref="E846:E857" ca="1" si="204">C846+D846</f>
        <v>1194080.3859134144</v>
      </c>
      <c r="F846" s="208">
        <f t="shared" ref="F846:F857" ca="1" si="205">AM144</f>
        <v>240378.87821394115</v>
      </c>
      <c r="G846" s="208">
        <f t="shared" ref="G846:G857" si="206">C313+D313</f>
        <v>666353.15963618015</v>
      </c>
      <c r="H846" s="208">
        <f t="shared" ref="H846:H857" si="207">E313</f>
        <v>394287.62209841091</v>
      </c>
      <c r="I846" s="208">
        <f t="shared" ref="I846:I857" ca="1" si="208">F846+G846+H846</f>
        <v>1301019.6599485322</v>
      </c>
      <c r="J846" s="209">
        <f t="shared" ref="J846:J857" ca="1" si="209">J345</f>
        <v>0.85520113657759533</v>
      </c>
      <c r="K846" s="208">
        <f t="shared" ref="K846:K857" ca="1" si="210">L345</f>
        <v>81446.894015633035</v>
      </c>
      <c r="L846" s="204"/>
      <c r="M846" s="9" t="s">
        <v>114</v>
      </c>
      <c r="N846" s="208">
        <f t="shared" ref="N846:N857" ca="1" si="211">C371</f>
        <v>1290122.4070634635</v>
      </c>
      <c r="O846" s="208">
        <f t="shared" ref="O846:O857" ca="1" si="212">E371</f>
        <v>139270.69626395442</v>
      </c>
      <c r="P846" s="208">
        <f t="shared" ref="P846:P857" ca="1" si="213">N846+O846</f>
        <v>1429393.103327418</v>
      </c>
      <c r="Q846" s="208">
        <f ca="1">AM144</f>
        <v>240378.87821394115</v>
      </c>
      <c r="R846" s="208">
        <f t="shared" ref="R846:R857" si="214">C313+D313</f>
        <v>666353.15963618015</v>
      </c>
      <c r="S846" s="208">
        <f t="shared" ref="S846:S857" si="215">E313</f>
        <v>394287.62209841091</v>
      </c>
      <c r="T846" s="208">
        <f t="shared" ref="T846:T857" ca="1" si="216">Q846+R846+S846</f>
        <v>1301019.6599485322</v>
      </c>
      <c r="U846" s="209">
        <f t="shared" ref="U846:U857" ca="1" si="217">J371</f>
        <v>0.85068335344177948</v>
      </c>
      <c r="V846" s="208">
        <f t="shared" ref="V846:V857" ca="1" si="218">L371</f>
        <v>85058.741423412226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903558.53903700656</v>
      </c>
      <c r="D847" s="208">
        <f t="shared" ca="1" si="203"/>
        <v>82575.968930259711</v>
      </c>
      <c r="E847" s="208">
        <f t="shared" ca="1" si="204"/>
        <v>986134.50796726625</v>
      </c>
      <c r="F847" s="208">
        <f t="shared" ca="1" si="205"/>
        <v>274142.92734615604</v>
      </c>
      <c r="G847" s="208">
        <f t="shared" si="206"/>
        <v>601867.36999396922</v>
      </c>
      <c r="H847" s="208">
        <f t="shared" si="207"/>
        <v>356130.75544372597</v>
      </c>
      <c r="I847" s="208">
        <f t="shared" ca="1" si="208"/>
        <v>1232141.0527838513</v>
      </c>
      <c r="J847" s="209">
        <f t="shared" ca="1" si="209"/>
        <v>0.77482037524911906</v>
      </c>
      <c r="K847" s="208">
        <f t="shared" ca="1" si="210"/>
        <v>31446.515089437948</v>
      </c>
      <c r="L847" s="204"/>
      <c r="M847" s="9" t="s">
        <v>115</v>
      </c>
      <c r="N847" s="208">
        <f t="shared" ca="1" si="211"/>
        <v>1079202.0247426657</v>
      </c>
      <c r="O847" s="208">
        <f t="shared" ca="1" si="212"/>
        <v>111034.21385510515</v>
      </c>
      <c r="P847" s="208">
        <f t="shared" ca="1" si="213"/>
        <v>1190236.2385977709</v>
      </c>
      <c r="Q847" s="208">
        <f t="shared" ref="Q847:Q858" ca="1" si="219">AM145</f>
        <v>274142.92734615604</v>
      </c>
      <c r="R847" s="208">
        <f t="shared" si="214"/>
        <v>601867.36999396922</v>
      </c>
      <c r="S847" s="208">
        <f t="shared" si="215"/>
        <v>356130.75544372597</v>
      </c>
      <c r="T847" s="208">
        <f t="shared" ca="1" si="216"/>
        <v>1232141.0527838513</v>
      </c>
      <c r="U847" s="209">
        <f t="shared" ca="1" si="217"/>
        <v>0.91253579679554231</v>
      </c>
      <c r="V847" s="208">
        <f t="shared" ca="1" si="218"/>
        <v>146007.8784201052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743416.06366601156</v>
      </c>
      <c r="D848" s="208">
        <f t="shared" ca="1" si="203"/>
        <v>56122.189973976681</v>
      </c>
      <c r="E848" s="208">
        <f t="shared" ca="1" si="204"/>
        <v>799538.25363998825</v>
      </c>
      <c r="F848" s="208">
        <f t="shared" ca="1" si="205"/>
        <v>356986.73511758848</v>
      </c>
      <c r="G848" s="208">
        <f t="shared" si="206"/>
        <v>666353.15963618015</v>
      </c>
      <c r="H848" s="208">
        <f t="shared" si="207"/>
        <v>394287.62209841091</v>
      </c>
      <c r="I848" s="208">
        <f t="shared" ca="1" si="208"/>
        <v>1417627.5168521795</v>
      </c>
      <c r="J848" s="209">
        <f t="shared" ca="1" si="209"/>
        <v>0.56237754296331788</v>
      </c>
      <c r="K848" s="208">
        <f t="shared" ca="1" si="210"/>
        <v>2296.3738754700171</v>
      </c>
      <c r="L848" s="204"/>
      <c r="M848" s="9" t="s">
        <v>116</v>
      </c>
      <c r="N848" s="208">
        <f t="shared" ca="1" si="211"/>
        <v>908649.4105652112</v>
      </c>
      <c r="O848" s="208">
        <f t="shared" ca="1" si="212"/>
        <v>78421.957377486397</v>
      </c>
      <c r="P848" s="208">
        <f t="shared" ca="1" si="213"/>
        <v>987071.3679426976</v>
      </c>
      <c r="Q848" s="208">
        <f t="shared" ca="1" si="219"/>
        <v>356986.73511758848</v>
      </c>
      <c r="R848" s="208">
        <f t="shared" si="214"/>
        <v>666353.15963618015</v>
      </c>
      <c r="S848" s="208">
        <f t="shared" si="215"/>
        <v>394287.62209841091</v>
      </c>
      <c r="T848" s="208">
        <f t="shared" ca="1" si="216"/>
        <v>1417627.5168521795</v>
      </c>
      <c r="U848" s="209">
        <f t="shared" ca="1" si="217"/>
        <v>0.98695348217067758</v>
      </c>
      <c r="V848" s="208">
        <f t="shared" ca="1" si="218"/>
        <v>443433.99311015999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482116.53646343463</v>
      </c>
      <c r="D849" s="208">
        <f t="shared" ca="1" si="203"/>
        <v>27571.935773449619</v>
      </c>
      <c r="E849" s="208">
        <f t="shared" ca="1" si="204"/>
        <v>509688.47223688423</v>
      </c>
      <c r="F849" s="208">
        <f t="shared" ca="1" si="205"/>
        <v>375991.38665241201</v>
      </c>
      <c r="G849" s="208">
        <f t="shared" si="206"/>
        <v>644857.8964221098</v>
      </c>
      <c r="H849" s="208">
        <f t="shared" si="207"/>
        <v>381568.6665468493</v>
      </c>
      <c r="I849" s="208">
        <f t="shared" ca="1" si="208"/>
        <v>1402417.949621371</v>
      </c>
      <c r="J849" s="209">
        <f t="shared" ca="1" si="209"/>
        <v>0.36340340893767087</v>
      </c>
      <c r="K849" s="208">
        <f t="shared" ca="1" si="210"/>
        <v>45.008589099219535</v>
      </c>
      <c r="L849" s="204"/>
      <c r="M849" s="9" t="s">
        <v>117</v>
      </c>
      <c r="N849" s="208">
        <f t="shared" ca="1" si="211"/>
        <v>612873.13709639467</v>
      </c>
      <c r="O849" s="208">
        <f t="shared" ca="1" si="212"/>
        <v>41133.872233788046</v>
      </c>
      <c r="P849" s="208">
        <f t="shared" ca="1" si="213"/>
        <v>654007.00933018269</v>
      </c>
      <c r="Q849" s="208">
        <f t="shared" ca="1" si="219"/>
        <v>375991.38665241201</v>
      </c>
      <c r="R849" s="208">
        <f t="shared" si="214"/>
        <v>644857.8964221098</v>
      </c>
      <c r="S849" s="208">
        <f t="shared" si="215"/>
        <v>381568.6665468493</v>
      </c>
      <c r="T849" s="208">
        <f t="shared" ca="1" si="216"/>
        <v>1402417.949621371</v>
      </c>
      <c r="U849" s="209">
        <f t="shared" ca="1" si="217"/>
        <v>0.99933941443863206</v>
      </c>
      <c r="V849" s="208">
        <f t="shared" ca="1" si="218"/>
        <v>748842.96787858522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256845.91704888237</v>
      </c>
      <c r="D850" s="208">
        <f t="shared" ca="1" si="203"/>
        <v>9280.5058819896676</v>
      </c>
      <c r="E850" s="208">
        <f t="shared" ca="1" si="204"/>
        <v>266126.42293087207</v>
      </c>
      <c r="F850" s="208">
        <f t="shared" ca="1" si="205"/>
        <v>474648.4858373318</v>
      </c>
      <c r="G850" s="208">
        <f t="shared" si="206"/>
        <v>666353.15963618015</v>
      </c>
      <c r="H850" s="208">
        <f t="shared" si="207"/>
        <v>394287.62209841091</v>
      </c>
      <c r="I850" s="208">
        <f t="shared" ca="1" si="208"/>
        <v>1535289.2675719229</v>
      </c>
      <c r="J850" s="209">
        <f t="shared" ca="1" si="209"/>
        <v>0.17333956705225353</v>
      </c>
      <c r="K850" s="208">
        <f t="shared" ca="1" si="210"/>
        <v>4.5989983540493995E-2</v>
      </c>
      <c r="L850" s="204"/>
      <c r="M850" s="9" t="s">
        <v>118</v>
      </c>
      <c r="N850" s="208">
        <f t="shared" ca="1" si="211"/>
        <v>404904.061939409</v>
      </c>
      <c r="O850" s="208">
        <f t="shared" ca="1" si="212"/>
        <v>19819.985032524371</v>
      </c>
      <c r="P850" s="208">
        <f t="shared" ca="1" si="213"/>
        <v>424724.04697193339</v>
      </c>
      <c r="Q850" s="208">
        <f t="shared" ca="1" si="219"/>
        <v>474648.4858373318</v>
      </c>
      <c r="R850" s="208">
        <f t="shared" si="214"/>
        <v>666353.15963618015</v>
      </c>
      <c r="S850" s="208">
        <f t="shared" si="215"/>
        <v>394287.62209841091</v>
      </c>
      <c r="T850" s="208">
        <f t="shared" ca="1" si="216"/>
        <v>1535289.2675719229</v>
      </c>
      <c r="U850" s="209">
        <f t="shared" ca="1" si="217"/>
        <v>0.99999085082379247</v>
      </c>
      <c r="V850" s="208">
        <f t="shared" ca="1" si="218"/>
        <v>1110569.1064751348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-4794.4086898753294</v>
      </c>
      <c r="D851" s="208">
        <f t="shared" ca="1" si="203"/>
        <v>-175.86295784476968</v>
      </c>
      <c r="E851" s="208">
        <f t="shared" ca="1" si="204"/>
        <v>-4970.2716477200993</v>
      </c>
      <c r="F851" s="208">
        <f t="shared" ca="1" si="205"/>
        <v>472671.79850496445</v>
      </c>
      <c r="G851" s="208">
        <f t="shared" si="206"/>
        <v>644857.8964221098</v>
      </c>
      <c r="H851" s="208">
        <f t="shared" si="207"/>
        <v>381568.6665468493</v>
      </c>
      <c r="I851" s="208">
        <f t="shared" ca="1" si="208"/>
        <v>1499098.3614739235</v>
      </c>
      <c r="J851" s="209">
        <f t="shared" ca="1" si="209"/>
        <v>-3.3155073579249966E-3</v>
      </c>
      <c r="K851" s="208">
        <f t="shared" ca="1" si="210"/>
        <v>0</v>
      </c>
      <c r="L851" s="204"/>
      <c r="M851" s="9" t="s">
        <v>119</v>
      </c>
      <c r="N851" s="208">
        <f t="shared" ca="1" si="211"/>
        <v>151863.93621928865</v>
      </c>
      <c r="O851" s="208">
        <f t="shared" ca="1" si="212"/>
        <v>5786.899061664174</v>
      </c>
      <c r="P851" s="208">
        <f t="shared" ca="1" si="213"/>
        <v>157650.83528095283</v>
      </c>
      <c r="Q851" s="208">
        <f t="shared" ca="1" si="219"/>
        <v>472671.79850496445</v>
      </c>
      <c r="R851" s="208">
        <f t="shared" si="214"/>
        <v>644857.8964221098</v>
      </c>
      <c r="S851" s="208">
        <f t="shared" si="215"/>
        <v>381568.6665468493</v>
      </c>
      <c r="T851" s="208">
        <f t="shared" ca="1" si="216"/>
        <v>1499098.3614739235</v>
      </c>
      <c r="U851" s="209">
        <f t="shared" ca="1" si="217"/>
        <v>0.99999999767066949</v>
      </c>
      <c r="V851" s="208">
        <f t="shared" ca="1" si="218"/>
        <v>1341447.5265601915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-140950.77264526987</v>
      </c>
      <c r="D852" s="208">
        <f t="shared" ca="1" si="203"/>
        <v>-4429.9113484112786</v>
      </c>
      <c r="E852" s="208">
        <f t="shared" ca="1" si="204"/>
        <v>-145380.68399368116</v>
      </c>
      <c r="F852" s="208">
        <f t="shared" ca="1" si="205"/>
        <v>490545.11095305573</v>
      </c>
      <c r="G852" s="208">
        <f t="shared" si="206"/>
        <v>666353.15963618015</v>
      </c>
      <c r="H852" s="208">
        <f t="shared" si="207"/>
        <v>394287.62209841091</v>
      </c>
      <c r="I852" s="208">
        <f t="shared" ca="1" si="208"/>
        <v>1551185.8926876469</v>
      </c>
      <c r="J852" s="209">
        <f t="shared" ca="1" si="209"/>
        <v>-9.3722283498716433E-2</v>
      </c>
      <c r="K852" s="208">
        <f t="shared" ca="1" si="210"/>
        <v>0</v>
      </c>
      <c r="L852" s="204"/>
      <c r="M852" s="9" t="s">
        <v>120</v>
      </c>
      <c r="N852" s="208">
        <f t="shared" ca="1" si="211"/>
        <v>25323.087950593337</v>
      </c>
      <c r="O852" s="208">
        <f t="shared" ca="1" si="212"/>
        <v>774.83100844581418</v>
      </c>
      <c r="P852" s="208">
        <f t="shared" ca="1" si="213"/>
        <v>26097.918959039151</v>
      </c>
      <c r="Q852" s="208">
        <f t="shared" ca="1" si="219"/>
        <v>490545.11095305573</v>
      </c>
      <c r="R852" s="208">
        <f t="shared" si="214"/>
        <v>666353.15963618015</v>
      </c>
      <c r="S852" s="208">
        <f t="shared" si="215"/>
        <v>394287.62209841091</v>
      </c>
      <c r="T852" s="208">
        <f t="shared" ca="1" si="216"/>
        <v>1551185.8926876469</v>
      </c>
      <c r="U852" s="209">
        <f t="shared" ca="1" si="217"/>
        <v>0.99999999999999978</v>
      </c>
      <c r="V852" s="208">
        <f t="shared" ca="1" si="218"/>
        <v>1525087.9737286079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-35146.889966434108</v>
      </c>
      <c r="D853" s="208">
        <f t="shared" ca="1" si="203"/>
        <v>-946.63247057871604</v>
      </c>
      <c r="E853" s="208">
        <f t="shared" ca="1" si="204"/>
        <v>-36093.522437012827</v>
      </c>
      <c r="F853" s="208">
        <f t="shared" ca="1" si="205"/>
        <v>441661.20373805298</v>
      </c>
      <c r="G853" s="208">
        <f t="shared" si="206"/>
        <v>666353.15963618015</v>
      </c>
      <c r="H853" s="208">
        <f t="shared" si="207"/>
        <v>394287.62209841091</v>
      </c>
      <c r="I853" s="208">
        <f t="shared" ca="1" si="208"/>
        <v>1502301.9854726442</v>
      </c>
      <c r="J853" s="209">
        <f t="shared" ca="1" si="209"/>
        <v>-2.4025477424671926E-2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126718.26185483699</v>
      </c>
      <c r="O853" s="208">
        <f t="shared" ca="1" si="212"/>
        <v>3485.5536708560444</v>
      </c>
      <c r="P853" s="208">
        <f t="shared" ca="1" si="213"/>
        <v>130203.81552569303</v>
      </c>
      <c r="Q853" s="208">
        <f t="shared" ca="1" si="219"/>
        <v>441661.20373805298</v>
      </c>
      <c r="R853" s="208">
        <f t="shared" si="214"/>
        <v>666353.15963618015</v>
      </c>
      <c r="S853" s="208">
        <f t="shared" si="215"/>
        <v>394287.62209841091</v>
      </c>
      <c r="T853" s="208">
        <f t="shared" ca="1" si="216"/>
        <v>1502301.9854726442</v>
      </c>
      <c r="U853" s="209">
        <f t="shared" ca="1" si="217"/>
        <v>0.99999999956458929</v>
      </c>
      <c r="V853" s="208">
        <f t="shared" ca="1" si="218"/>
        <v>1372098.1700036433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124563.82274187001</v>
      </c>
      <c r="D854" s="208">
        <f t="shared" ca="1" si="203"/>
        <v>2931.1059231276799</v>
      </c>
      <c r="E854" s="208">
        <f t="shared" ca="1" si="204"/>
        <v>127494.92866499769</v>
      </c>
      <c r="F854" s="208">
        <f t="shared" ca="1" si="205"/>
        <v>389217.47086729202</v>
      </c>
      <c r="G854" s="208">
        <f t="shared" si="206"/>
        <v>644857.8964221098</v>
      </c>
      <c r="H854" s="208">
        <f t="shared" si="207"/>
        <v>381568.6665468493</v>
      </c>
      <c r="I854" s="208">
        <f t="shared" ca="1" si="208"/>
        <v>1415644.0338362511</v>
      </c>
      <c r="J854" s="209">
        <f t="shared" ca="1" si="209"/>
        <v>9.0061431786658611E-2</v>
      </c>
      <c r="K854" s="208">
        <f t="shared" ca="1" si="210"/>
        <v>7.7463919296860695E-5</v>
      </c>
      <c r="L854" s="204"/>
      <c r="M854" s="9" t="s">
        <v>122</v>
      </c>
      <c r="N854" s="208">
        <f t="shared" ca="1" si="211"/>
        <v>272923.7069678838</v>
      </c>
      <c r="O854" s="208">
        <f t="shared" ca="1" si="212"/>
        <v>10444.867916046023</v>
      </c>
      <c r="P854" s="208">
        <f t="shared" ca="1" si="213"/>
        <v>283368.5748839298</v>
      </c>
      <c r="Q854" s="208">
        <f t="shared" ca="1" si="219"/>
        <v>389217.47086729202</v>
      </c>
      <c r="R854" s="208">
        <f t="shared" si="214"/>
        <v>644857.8964221098</v>
      </c>
      <c r="S854" s="208">
        <f t="shared" si="215"/>
        <v>381568.6665468493</v>
      </c>
      <c r="T854" s="208">
        <f t="shared" ca="1" si="216"/>
        <v>1415644.0338362511</v>
      </c>
      <c r="U854" s="209">
        <f t="shared" ca="1" si="217"/>
        <v>0.99999940875022697</v>
      </c>
      <c r="V854" s="208">
        <f t="shared" ca="1" si="218"/>
        <v>1132275.6264939269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451140.53991534002</v>
      </c>
      <c r="D855" s="208">
        <f t="shared" ca="1" si="203"/>
        <v>24127.38757310131</v>
      </c>
      <c r="E855" s="208">
        <f t="shared" ca="1" si="204"/>
        <v>475267.92748844135</v>
      </c>
      <c r="F855" s="208">
        <f t="shared" ca="1" si="205"/>
        <v>336155.35819306708</v>
      </c>
      <c r="G855" s="208">
        <f t="shared" si="206"/>
        <v>666353.15963618015</v>
      </c>
      <c r="H855" s="208">
        <f t="shared" si="207"/>
        <v>394287.62209841091</v>
      </c>
      <c r="I855" s="208">
        <f t="shared" ca="1" si="208"/>
        <v>1396796.1399276583</v>
      </c>
      <c r="J855" s="209">
        <f t="shared" ca="1" si="209"/>
        <v>0.34023829355736379</v>
      </c>
      <c r="K855" s="208">
        <f t="shared" ca="1" si="210"/>
        <v>24.392391942150425</v>
      </c>
      <c r="L855" s="204"/>
      <c r="M855" s="9" t="s">
        <v>123</v>
      </c>
      <c r="N855" s="208">
        <f t="shared" ca="1" si="211"/>
        <v>586255.69390273199</v>
      </c>
      <c r="O855" s="208">
        <f t="shared" ca="1" si="212"/>
        <v>37339.937812756849</v>
      </c>
      <c r="P855" s="208">
        <f t="shared" ca="1" si="213"/>
        <v>623595.63171548885</v>
      </c>
      <c r="Q855" s="208">
        <f t="shared" ca="1" si="219"/>
        <v>336155.35819306708</v>
      </c>
      <c r="R855" s="208">
        <f t="shared" si="214"/>
        <v>666353.15963618015</v>
      </c>
      <c r="S855" s="208">
        <f t="shared" si="215"/>
        <v>394287.62209841091</v>
      </c>
      <c r="T855" s="208">
        <f t="shared" ca="1" si="216"/>
        <v>1396796.1399276583</v>
      </c>
      <c r="U855" s="209">
        <f t="shared" ca="1" si="217"/>
        <v>0.9995327407808241</v>
      </c>
      <c r="V855" s="208">
        <f t="shared" ca="1" si="218"/>
        <v>773491.88902012631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676071.38921391231</v>
      </c>
      <c r="D856" s="208">
        <f t="shared" ca="1" si="203"/>
        <v>48809.333486472118</v>
      </c>
      <c r="E856" s="208">
        <f t="shared" ca="1" si="204"/>
        <v>724880.72270038445</v>
      </c>
      <c r="F856" s="208">
        <f t="shared" ca="1" si="205"/>
        <v>223423.53934716812</v>
      </c>
      <c r="G856" s="208">
        <f t="shared" si="206"/>
        <v>644857.8964221098</v>
      </c>
      <c r="H856" s="208">
        <f t="shared" si="207"/>
        <v>381568.6665468493</v>
      </c>
      <c r="I856" s="208">
        <f t="shared" ca="1" si="208"/>
        <v>1249850.1023161272</v>
      </c>
      <c r="J856" s="209">
        <f t="shared" ca="1" si="209"/>
        <v>0.57792118350902644</v>
      </c>
      <c r="K856" s="208">
        <f t="shared" ca="1" si="210"/>
        <v>2565.8723609704757</v>
      </c>
      <c r="L856" s="204"/>
      <c r="M856" s="9" t="s">
        <v>124</v>
      </c>
      <c r="N856" s="208">
        <f t="shared" ca="1" si="211"/>
        <v>839487.64379523171</v>
      </c>
      <c r="O856" s="208">
        <f t="shared" ca="1" si="212"/>
        <v>70022.423211465255</v>
      </c>
      <c r="P856" s="208">
        <f t="shared" ca="1" si="213"/>
        <v>909510.06700669695</v>
      </c>
      <c r="Q856" s="208">
        <f t="shared" ca="1" si="219"/>
        <v>223423.53934716812</v>
      </c>
      <c r="R856" s="208">
        <f t="shared" si="214"/>
        <v>644857.8964221098</v>
      </c>
      <c r="S856" s="208">
        <f t="shared" si="215"/>
        <v>381568.6665468493</v>
      </c>
      <c r="T856" s="208">
        <f t="shared" ca="1" si="216"/>
        <v>1249850.1023161272</v>
      </c>
      <c r="U856" s="209">
        <f t="shared" ca="1" si="217"/>
        <v>0.98248825059371336</v>
      </c>
      <c r="V856" s="208">
        <f t="shared" ca="1" si="218"/>
        <v>356267.14768534643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1047034.4626006695</v>
      </c>
      <c r="D857" s="208">
        <f t="shared" ca="1" si="203"/>
        <v>97415.819254954607</v>
      </c>
      <c r="E857" s="208">
        <f t="shared" ca="1" si="204"/>
        <v>1144450.2818556242</v>
      </c>
      <c r="F857" s="208">
        <f t="shared" ca="1" si="205"/>
        <v>213684.98774431599</v>
      </c>
      <c r="G857" s="208">
        <f t="shared" si="206"/>
        <v>666353.15963618015</v>
      </c>
      <c r="H857" s="208">
        <f t="shared" si="207"/>
        <v>394287.62209841091</v>
      </c>
      <c r="I857" s="208">
        <f t="shared" ca="1" si="208"/>
        <v>1274325.7694789071</v>
      </c>
      <c r="J857" s="209">
        <f t="shared" ca="1" si="209"/>
        <v>0.84329504130985644</v>
      </c>
      <c r="K857" s="208">
        <f t="shared" ca="1" si="210"/>
        <v>69817.679440694628</v>
      </c>
      <c r="L857" s="204"/>
      <c r="M857" s="9" t="s">
        <v>125</v>
      </c>
      <c r="N857" s="208">
        <f t="shared" ca="1" si="211"/>
        <v>1246529.4882002824</v>
      </c>
      <c r="O857" s="208">
        <f t="shared" ca="1" si="212"/>
        <v>130283.88529256181</v>
      </c>
      <c r="P857" s="208">
        <f t="shared" ca="1" si="213"/>
        <v>1376813.3734928442</v>
      </c>
      <c r="Q857" s="208">
        <f t="shared" ca="1" si="219"/>
        <v>213684.98774431599</v>
      </c>
      <c r="R857" s="208">
        <f t="shared" si="214"/>
        <v>666353.15963618015</v>
      </c>
      <c r="S857" s="208">
        <f t="shared" si="215"/>
        <v>394287.62209841091</v>
      </c>
      <c r="T857" s="208">
        <f t="shared" ca="1" si="216"/>
        <v>1274325.7694789071</v>
      </c>
      <c r="U857" s="209">
        <f t="shared" ca="1" si="217"/>
        <v>0.85970298799276856</v>
      </c>
      <c r="V857" s="208">
        <f t="shared" ca="1" si="218"/>
        <v>90675.19837870542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5592929.8317852458</v>
      </c>
      <c r="D858" s="208">
        <f t="shared" ca="1" si="220"/>
        <v>448287.59353421361</v>
      </c>
      <c r="E858" s="208">
        <f t="shared" ca="1" si="220"/>
        <v>6041217.4253194584</v>
      </c>
      <c r="F858" s="208">
        <f t="shared" ca="1" si="220"/>
        <v>4289507.8825153448</v>
      </c>
      <c r="G858" s="208">
        <f t="shared" si="220"/>
        <v>7845771.0731356675</v>
      </c>
      <c r="H858" s="208">
        <f t="shared" si="220"/>
        <v>4642418.7763199992</v>
      </c>
      <c r="I858" s="208">
        <f t="shared" ca="1" si="220"/>
        <v>16777697.731971011</v>
      </c>
      <c r="J858" s="208" t="s">
        <v>479</v>
      </c>
      <c r="K858" s="208">
        <f ca="1">SUM(K846:K857)</f>
        <v>187642.78183069493</v>
      </c>
      <c r="L858" s="204"/>
      <c r="M858" s="207" t="s">
        <v>178</v>
      </c>
      <c r="N858" s="208">
        <f t="shared" ref="N858:T858" ca="1" si="221">SUM(N846:N857)</f>
        <v>7544852.8602979938</v>
      </c>
      <c r="O858" s="208">
        <f t="shared" ca="1" si="221"/>
        <v>647819.12273665436</v>
      </c>
      <c r="P858" s="208">
        <f t="shared" ca="1" si="221"/>
        <v>8192671.9830346461</v>
      </c>
      <c r="Q858" s="208">
        <f t="shared" ca="1" si="219"/>
        <v>4289507.8825153448</v>
      </c>
      <c r="R858" s="208">
        <f>SUM(R846:R857)</f>
        <v>7845771.0731356675</v>
      </c>
      <c r="S858" s="208">
        <f t="shared" si="221"/>
        <v>4642418.7763199992</v>
      </c>
      <c r="T858" s="208">
        <f t="shared" ca="1" si="221"/>
        <v>16777697.731971011</v>
      </c>
      <c r="U858" s="208" t="s">
        <v>479</v>
      </c>
      <c r="V858" s="208">
        <f ca="1">SUM(V846:V857)</f>
        <v>9125256.2191779464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OfficeSmall</vt:lpstr>
      <vt:lpstr>OfficeLarge</vt:lpstr>
      <vt:lpstr>Outputs</vt:lpstr>
      <vt:lpstr>Calcs</vt:lpstr>
      <vt:lpstr>Weather</vt:lpstr>
      <vt:lpstr>OfficeMedium</vt:lpstr>
      <vt:lpstr>AptMidrise</vt:lpstr>
      <vt:lpstr>AptHighrise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2013-11-20T20:55:07Z</dcterms:modified>
</cp:coreProperties>
</file>