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Outputs" sheetId="5" r:id="rId4"/>
    <sheet name="Calcs" sheetId="2" state="hidden" r:id="rId5"/>
    <sheet name="Weather" sheetId="4" state="hidden" r:id="rId6"/>
    <sheet name="OfficeMedium" sheetId="68" r:id="rId7"/>
    <sheet name="OfficeLarge" sheetId="59" r:id="rId8"/>
    <sheet name="AptMidrise" sheetId="60" r:id="rId9"/>
    <sheet name="AptHighrise" sheetId="61" r:id="rId10"/>
    <sheet name="OfficeSmall" sheetId="64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9">AptHighrise!$C$64</definedName>
    <definedName name="DHWSysEff" localSheetId="8">AptMidrise!$C$64</definedName>
    <definedName name="DHWSysEff" localSheetId="7">OfficeLarge!$C$64</definedName>
    <definedName name="DHWSysEff" localSheetId="6">OfficeMedium!$C$64</definedName>
    <definedName name="DHWSysEff" localSheetId="10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9">AptHighrise!$C$33</definedName>
    <definedName name="LPD" localSheetId="8">AptMidrise!$C$33</definedName>
    <definedName name="LPD" localSheetId="7">OfficeLarge!$C$33</definedName>
    <definedName name="LPD" localSheetId="6">OfficeMedium!$C$33</definedName>
    <definedName name="LPD" localSheetId="10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9">AptHighrise!$C$12</definedName>
    <definedName name="PeoDOcc" localSheetId="8">AptMidrise!$C$12</definedName>
    <definedName name="PeoDOcc" localSheetId="7">OfficeLarge!$C$12</definedName>
    <definedName name="PeoDOcc" localSheetId="6">OfficeMedium!$C$12</definedName>
    <definedName name="PeoDOcc" localSheetId="10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9">AptHighrise!$C$13</definedName>
    <definedName name="PeoDUnocc" localSheetId="8">AptMidrise!$C$13</definedName>
    <definedName name="PeoDUnocc" localSheetId="7">OfficeLarge!$C$13</definedName>
    <definedName name="PeoDUnocc" localSheetId="6">OfficeMedium!$C$13</definedName>
    <definedName name="PeoDUnocc" localSheetId="10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9">AptHighrise!$C$75</definedName>
    <definedName name="Qinf" localSheetId="8">AptMidrise!$C$75</definedName>
    <definedName name="Qinf" localSheetId="7">OfficeLarge!$C$75</definedName>
    <definedName name="Qinf" localSheetId="6">OfficeMedium!$C$75</definedName>
    <definedName name="Qinf" localSheetId="10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9">AptHighrise!$K$80</definedName>
    <definedName name="RoofAbs" localSheetId="8">AptMidrise!$K$80</definedName>
    <definedName name="RoofAbs" localSheetId="7">OfficeLarge!$K$80</definedName>
    <definedName name="RoofAbs" localSheetId="6">OfficeMedium!$K$80</definedName>
    <definedName name="RoofAbs" localSheetId="10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9">AptHighrise!$K$81</definedName>
    <definedName name="RoofEmis" localSheetId="8">AptMidrise!$K$81</definedName>
    <definedName name="RoofEmis" localSheetId="7">OfficeLarge!$K$81</definedName>
    <definedName name="RoofEmis" localSheetId="6">OfficeMedium!$K$81</definedName>
    <definedName name="RoofEmis" localSheetId="10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9">AptHighrise!$K$79</definedName>
    <definedName name="RoofU" localSheetId="8">AptMidrise!$K$79</definedName>
    <definedName name="RoofU" localSheetId="7">OfficeLarge!$K$79</definedName>
    <definedName name="RoofU" localSheetId="6">OfficeMedium!$K$79</definedName>
    <definedName name="RoofU" localSheetId="10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9">AptHighrise!$J$85</definedName>
    <definedName name="SHGC" localSheetId="8">AptMidrise!$J$85</definedName>
    <definedName name="SHGC" localSheetId="7">OfficeLarge!$J$85</definedName>
    <definedName name="SHGC" localSheetId="6">OfficeMedium!$J$85</definedName>
    <definedName name="SHGC" localSheetId="10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9">AptHighrise!$C$23</definedName>
    <definedName name="TCoolOcc" localSheetId="8">AptMidrise!$C$23</definedName>
    <definedName name="TCoolOcc" localSheetId="7">OfficeLarge!$C$23</definedName>
    <definedName name="TCoolOcc" localSheetId="6">OfficeMedium!$C$23</definedName>
    <definedName name="TCoolOcc" localSheetId="10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9">AptHighrise!$C$24</definedName>
    <definedName name="TCoolUnocc" localSheetId="8">AptMidrise!$C$24</definedName>
    <definedName name="TCoolUnocc" localSheetId="7">OfficeLarge!$C$24</definedName>
    <definedName name="TCoolUnocc" localSheetId="6">OfficeMedium!$C$24</definedName>
    <definedName name="TCoolUnocc" localSheetId="10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9">AptHighrise!$C$21</definedName>
    <definedName name="THeatOcc" localSheetId="8">AptMidrise!$C$21</definedName>
    <definedName name="THeatOcc" localSheetId="7">OfficeLarge!$C$21</definedName>
    <definedName name="THeatOcc" localSheetId="6">OfficeMedium!$C$21</definedName>
    <definedName name="THeatOcc" localSheetId="10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9">AptHighrise!$C$22</definedName>
    <definedName name="THeatUnocc" localSheetId="8">AptMidrise!$C$22</definedName>
    <definedName name="THeatUnocc" localSheetId="7">OfficeLarge!$C$22</definedName>
    <definedName name="THeatUnocc" localSheetId="6">OfficeMedium!$C$22</definedName>
    <definedName name="THeatUnocc" localSheetId="10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9">AptHighrise!$J$80</definedName>
    <definedName name="WallAbs" localSheetId="8">AptMidrise!$J$80</definedName>
    <definedName name="WallAbs" localSheetId="7">OfficeLarge!$J$80</definedName>
    <definedName name="WallAbs" localSheetId="6">OfficeMedium!$J$80</definedName>
    <definedName name="WallAbs" localSheetId="10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9">AptHighrise!$J$81</definedName>
    <definedName name="WallEmis" localSheetId="8">AptMidrise!$J$81</definedName>
    <definedName name="WallEmis" localSheetId="7">OfficeLarge!$J$81</definedName>
    <definedName name="WallEmis" localSheetId="6">OfficeMedium!$J$81</definedName>
    <definedName name="WallEmis" localSheetId="10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9">AptHighrise!$J$79</definedName>
    <definedName name="WallU" localSheetId="8">AptMidrise!$J$79</definedName>
    <definedName name="WallU" localSheetId="7">OfficeLarge!$J$79</definedName>
    <definedName name="WallU" localSheetId="6">OfficeMedium!$J$79</definedName>
    <definedName name="WallU" localSheetId="10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9">AptHighrise!$J$84</definedName>
    <definedName name="WinU" localSheetId="8">AptMidrise!$J$84</definedName>
    <definedName name="WinU" localSheetId="7">OfficeLarge!$J$84</definedName>
    <definedName name="WinU" localSheetId="6">OfficeMedium!$J$84</definedName>
    <definedName name="WinU" localSheetId="10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<sst xmlns="http://schemas.openxmlformats.org/spreadsheetml/2006/main" count="3483" uniqueCount="1178">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</sst>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9" s="430" customFormat="1" ht="15" x14ac:dyDescent="0.25">
      <c r="A97" s="434"/>
      <c r="D97" s="956"/>
      <c r="E97" s="955"/>
    </row>
    <row r="98" spans="1:9" x14ac:dyDescent="0.25">
      <c r="A98" s="434"/>
      <c r="D98" s="979"/>
      <c r="E98" s="979"/>
      <c r="I98" s="430"/>
    </row>
    <row r="99" spans="1:9" s="430" customFormat="1" x14ac:dyDescent="0.25">
      <c r="A99" s="434"/>
      <c r="E99" s="434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retailstandalone.xlsx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OfficeMedium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11.89</v>
      </c>
    </row>
    <row r="8" spans="1:6" x14ac:dyDescent="0.25">
      <c r="A8" s="429" t="str">
        <f>"floorArea = "&amp;Inputs!C11</f>
        <v>floorArea = 4982</v>
      </c>
    </row>
    <row r="9" spans="1:6" x14ac:dyDescent="0.25">
      <c r="A9" s="429" t="str">
        <f>"peopleDensityOccupied = "&amp;Inputs!C12</f>
        <v>peopleDensityOccupied = 24</v>
      </c>
    </row>
    <row r="10" spans="1:6" s="429" customFormat="1" x14ac:dyDescent="0.25">
      <c r="A10" s="429" t="str">
        <f>"peopleDensityUnoccupied = "&amp;Inputs!C13</f>
        <v>peopleDensityUnoccupied = 343.7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4</v>
      </c>
    </row>
    <row r="13" spans="1:6" x14ac:dyDescent="0.25">
      <c r="A13" s="429" t="str">
        <f>"occupancyHourStart= "&amp;Inputs!C16</f>
        <v>occupancyHourStart= 8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7.18</v>
      </c>
    </row>
    <row r="17" spans="1:1" x14ac:dyDescent="0.25">
      <c r="A17" s="429" t="str">
        <f>"lightingPowerDensityUnoccupied = "&amp;Inputs!C34</f>
        <v>lightingPowerDensityUnoccupied = 0.94</v>
      </c>
    </row>
    <row r="18" spans="1:1" x14ac:dyDescent="0.25">
      <c r="A18" s="429" t="str">
        <f>"electricAppliancePowerDensityOccupied = "&amp;Inputs!C27</f>
        <v>electricAppliancePowerDensityOccupied = 6.06</v>
      </c>
    </row>
    <row r="19" spans="1:1" x14ac:dyDescent="0.25">
      <c r="A19" s="429" t="str">
        <f>"electricAppliancePowerDensityUnoccupied = "&amp;Inputs!C28</f>
        <v>electricAppliancePowerDensityUnoccupied = 2.04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2607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</v>
      </c>
    </row>
    <row r="30" spans="1:1" x14ac:dyDescent="0.25">
      <c r="A30" s="429" t="str">
        <f>"heatingSetpointUnoccupied = "&amp;Inputs!C22</f>
        <v>heatingSetpointUnoccupied = 17.35</v>
      </c>
    </row>
    <row r="31" spans="1:1" x14ac:dyDescent="0.25">
      <c r="A31" s="429" t="str">
        <f>"coolingSetpointOccupied = "&amp;Inputs!C23</f>
        <v>coolingSetpointOccupied = 24</v>
      </c>
    </row>
    <row r="32" spans="1:1" x14ac:dyDescent="0.25">
      <c r="A32" s="429" t="str">
        <f>"coolingSetpointUnoccupied = "&amp;Inputs!C24</f>
        <v>coolingSetpointUnoccupied = 25.84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3.5</v>
      </c>
    </row>
    <row r="39" spans="1:1" x14ac:dyDescent="0.25">
      <c r="A39" s="429" t="str">
        <f>"coolingSystemIPLVToCopRatio= "&amp;Inputs!C44</f>
        <v>coolingSystemIPLVToCopRatio= 1.15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3078</v>
      </c>
    </row>
    <row r="47" spans="1:1" s="429" customFormat="1" x14ac:dyDescent="0.25">
      <c r="A47" s="429" t="str">
        <f>"ventilationIntakeRateUnoccupied= "&amp;Inputs!C51</f>
        <v>ventilationIntakeRateUnoccupied= 3078</v>
      </c>
    </row>
    <row r="48" spans="1:1" x14ac:dyDescent="0.25">
      <c r="A48" s="429" t="str">
        <f>"ventilationExhaustRateOccupied= "&amp;Inputs!C52</f>
        <v>ventilationExhaustRateOccupied= 3078</v>
      </c>
    </row>
    <row r="49" spans="1:1" s="429" customFormat="1" x14ac:dyDescent="0.25">
      <c r="A49" s="429" t="str">
        <f>"ventilationExhaustRateUnoccupied= "&amp;Inputs!C53</f>
        <v>ventilationExhaustRateUnoccupied= 3078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268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38253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0.43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2.7</v>
      </c>
    </row>
    <row r="70" spans="1:1" s="429" customFormat="1" x14ac:dyDescent="0.25">
      <c r="A70" s="429" t="str">
        <f>"infiltrationRateUnoccupied= "&amp;Inputs!C76</f>
        <v>infiltrationRateUnoccupied= 2.7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1660.73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397.47</v>
      </c>
    </row>
    <row r="86" spans="1:1" x14ac:dyDescent="0.25">
      <c r="A86" s="429" t="str">
        <f>"WallUvalueS= "&amp;Inputs!C79</f>
        <v>WallUvalueS= 0.363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0.363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264.99</v>
      </c>
    </row>
    <row r="94" spans="1:1" x14ac:dyDescent="0.25">
      <c r="A94" s="429" t="str">
        <f>"WallUvalueE= "&amp;Inputs!E79</f>
        <v>WallUvalueE= 0.363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0.363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397.47</v>
      </c>
    </row>
    <row r="102" spans="1:1" x14ac:dyDescent="0.25">
      <c r="A102" s="429" t="str">
        <f>"WallUvalueN= "&amp;Inputs!G79</f>
        <v>WallUvalueN= 0.363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0.363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264.99</v>
      </c>
    </row>
    <row r="110" spans="1:1" x14ac:dyDescent="0.25">
      <c r="A110" s="429" t="str">
        <f>"WallUvalueW= "&amp;Inputs!I79</f>
        <v>WallUvalueW= 0.363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195.84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130.56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195.84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130.56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20" activePane="bottomLeft" state="frozen"/>
      <selection pane="bottomLeft" activeCell="H74" sqref="H74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93.9  kWh/m2 = 29.8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1164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2.7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9.4433916149453996</v>
      </c>
      <c r="R4" s="316" t="s">
        <v>589</v>
      </c>
      <c r="S4" s="270">
        <f ca="1">Q4*Calcs!$N$23/Calcs!$N$20</f>
        <v>2.993539377324888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4.3001246140941785</v>
      </c>
      <c r="C5" s="269">
        <f ca="1">(Calcs!D558+Calcs!G558)/Calcs!$C$2/Calcs!$N$22</f>
        <v>6.1667450790611554E-2</v>
      </c>
      <c r="D5" s="269">
        <f>Calcs!J48/Calcs!$C$2/Calcs!$N$22</f>
        <v>2.3390136986301369</v>
      </c>
      <c r="E5" s="269">
        <f>Calcs!Q48</f>
        <v>0.17843978321959053</v>
      </c>
      <c r="F5" s="269">
        <f ca="1">Calcs!L424</f>
        <v>0.13502237433405756</v>
      </c>
      <c r="G5" s="269">
        <f ca="1">Calcs!K701/Calcs!$C$2/Calcs!$N$22</f>
        <v>0.26077468474088855</v>
      </c>
      <c r="H5" s="269">
        <f>SUM(H22,H39)</f>
        <v>2.4079028571428571</v>
      </c>
      <c r="I5" s="269">
        <f ca="1">Calcs!M731/Calcs!$C$2</f>
        <v>0.33062521240850629</v>
      </c>
      <c r="J5" s="269">
        <f>Calcs!AR766/Calcs!$C$2/Calcs!$N$22</f>
        <v>0</v>
      </c>
      <c r="K5" s="269">
        <f t="shared" ref="K5:K16" ca="1" si="0">SUM(B5:I5)-J5</f>
        <v>10.013570675360826</v>
      </c>
      <c r="L5" s="379">
        <f ca="1">K5*Inputs!$C$11</f>
        <v>49887.609104647636</v>
      </c>
      <c r="O5" s="314" t="s">
        <v>690</v>
      </c>
      <c r="P5" s="314"/>
      <c r="Q5" s="270">
        <f ca="1">Calcs!V842</f>
        <v>49.074370733811129</v>
      </c>
      <c r="R5" s="316" t="s">
        <v>589</v>
      </c>
      <c r="S5" s="270">
        <f ca="1">Q5*Calcs!$N$23/Calcs!$N$20</f>
        <v>15.556493598825835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2.5960546056270344</v>
      </c>
      <c r="C6" s="269">
        <f ca="1">(Calcs!D559+Calcs!G559)/Calcs!$C$2/Calcs!$N$22</f>
        <v>0.10349895397660144</v>
      </c>
      <c r="D6" s="269">
        <f>Calcs!J49/Calcs!$C$2/Calcs!$N$22</f>
        <v>2.112657534246575</v>
      </c>
      <c r="E6" s="269">
        <f>Calcs!Q49</f>
        <v>0.16117141710156563</v>
      </c>
      <c r="F6" s="269">
        <f ca="1">Calcs!L425</f>
        <v>9.551009275892465E-2</v>
      </c>
      <c r="G6" s="269">
        <f ca="1">Calcs!K702/Calcs!$C$2/Calcs!$N$22</f>
        <v>0.17769242533672183</v>
      </c>
      <c r="H6" s="269">
        <f t="shared" ref="H6:H16" si="1">SUM(H23,H40)</f>
        <v>2.1748799999999995</v>
      </c>
      <c r="I6" s="269">
        <f ca="1">Calcs!M732/Calcs!$C$2</f>
        <v>0.29862922411090881</v>
      </c>
      <c r="J6" s="269">
        <f>Calcs!AR767/Calcs!$C$2/Calcs!$N$22</f>
        <v>0</v>
      </c>
      <c r="K6" s="269">
        <f t="shared" ca="1" si="0"/>
        <v>7.7200942531583303</v>
      </c>
      <c r="L6" s="379">
        <f ca="1">K6*Inputs!$C$11</f>
        <v>38461.509569234804</v>
      </c>
      <c r="O6" s="314" t="s">
        <v>688</v>
      </c>
      <c r="P6" s="314"/>
      <c r="Q6" s="270">
        <f ca="1">SUM(Q4:Q5)</f>
        <v>58.517762348756527</v>
      </c>
      <c r="R6" s="316" t="s">
        <v>589</v>
      </c>
      <c r="S6" s="270">
        <f ca="1">Q6*Calcs!$N$23/Calcs!$N$20</f>
        <v>18.550032976150725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0.7737983619706259</v>
      </c>
      <c r="C7" s="269">
        <f ca="1">(Calcs!D560+Calcs!G560)/Calcs!$C$2/Calcs!$N$22</f>
        <v>0.3410539887047645</v>
      </c>
      <c r="D7" s="269">
        <f>Calcs!J50/Calcs!$C$2/Calcs!$N$22</f>
        <v>2.3390136986301369</v>
      </c>
      <c r="E7" s="269">
        <f>Calcs!Q50</f>
        <v>0.17843978321959053</v>
      </c>
      <c r="F7" s="269">
        <f ca="1">Calcs!L426</f>
        <v>9.1750253074778215E-2</v>
      </c>
      <c r="G7" s="269">
        <f ca="1">Calcs!K703/Calcs!$C$2/Calcs!$N$22</f>
        <v>0.1477937788658546</v>
      </c>
      <c r="H7" s="269">
        <f t="shared" si="1"/>
        <v>2.4079028571428571</v>
      </c>
      <c r="I7" s="269">
        <f ca="1">Calcs!M733/Calcs!$C$2</f>
        <v>0.33062521240850629</v>
      </c>
      <c r="J7" s="269">
        <f>Calcs!AR768/Calcs!$C$2/Calcs!$N$22</f>
        <v>0</v>
      </c>
      <c r="K7" s="269">
        <f t="shared" ca="1" si="0"/>
        <v>6.610377934017114</v>
      </c>
      <c r="L7" s="379">
        <f ca="1">K7*Inputs!$C$11</f>
        <v>32932.90286727326</v>
      </c>
      <c r="O7" s="320" t="s">
        <v>608</v>
      </c>
      <c r="P7" s="313"/>
      <c r="Q7" s="270">
        <f ca="1">K34</f>
        <v>77.263884374940559</v>
      </c>
      <c r="R7" s="316" t="s">
        <v>589</v>
      </c>
      <c r="S7" s="270">
        <f ca="1">Q7*Calcs!$N$23/Calcs!$N$20</f>
        <v>24.492522364042507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9.7159723577917897E-2</v>
      </c>
      <c r="C8" s="269">
        <f ca="1">(Calcs!D561+Calcs!G561)/Calcs!$C$2/Calcs!$N$22</f>
        <v>0.7873783549844936</v>
      </c>
      <c r="D8" s="269">
        <f>Calcs!J51/Calcs!$C$2/Calcs!$N$22</f>
        <v>2.2635616438356165</v>
      </c>
      <c r="E8" s="269">
        <f>Calcs!Q51</f>
        <v>0.17268366118024892</v>
      </c>
      <c r="F8" s="269">
        <f ca="1">Calcs!L427</f>
        <v>0.16085652441434684</v>
      </c>
      <c r="G8" s="269">
        <f ca="1">Calcs!K704/Calcs!$C$2/Calcs!$N$22</f>
        <v>0.2461678425553378</v>
      </c>
      <c r="H8" s="269">
        <f t="shared" si="1"/>
        <v>2.3302285714285711</v>
      </c>
      <c r="I8" s="269">
        <f ca="1">Calcs!M734/Calcs!$C$2</f>
        <v>0.31995988297597378</v>
      </c>
      <c r="J8" s="269">
        <f>Calcs!AR769/Calcs!$C$2/Calcs!$N$22</f>
        <v>0</v>
      </c>
      <c r="K8" s="269">
        <f t="shared" ca="1" si="0"/>
        <v>6.3779962049525061</v>
      </c>
      <c r="L8" s="379">
        <f ca="1">K8*Inputs!$C$11</f>
        <v>31775.177093073384</v>
      </c>
      <c r="O8" s="320" t="s">
        <v>609</v>
      </c>
      <c r="P8" s="320"/>
      <c r="Q8" s="270">
        <f ca="1">K51</f>
        <v>16.605727902746143</v>
      </c>
      <c r="R8" s="316" t="s">
        <v>589</v>
      </c>
      <c r="S8" s="270">
        <f ca="1">Q8*Calcs!$N$23/Calcs!$N$20</f>
        <v>5.2639880238939583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1.7691009536056415E-3</v>
      </c>
      <c r="C9" s="269">
        <f ca="1">(Calcs!D562+Calcs!G562)/Calcs!$C$2/Calcs!$N$22</f>
        <v>1.5419438320474319</v>
      </c>
      <c r="D9" s="269">
        <f>Calcs!J52/Calcs!$C$2/Calcs!$N$22</f>
        <v>2.3390136986301369</v>
      </c>
      <c r="E9" s="269">
        <f>Calcs!Q52</f>
        <v>0.17843978321959053</v>
      </c>
      <c r="F9" s="269">
        <f ca="1">Calcs!L428</f>
        <v>0.30610928285513322</v>
      </c>
      <c r="G9" s="269">
        <f ca="1">Calcs!K705/Calcs!$C$2/Calcs!$N$22</f>
        <v>0.47147199376226018</v>
      </c>
      <c r="H9" s="269">
        <f t="shared" si="1"/>
        <v>2.4079028571428571</v>
      </c>
      <c r="I9" s="269">
        <f ca="1">Calcs!M735/Calcs!$C$2</f>
        <v>0.33062521240850629</v>
      </c>
      <c r="J9" s="269">
        <f>Calcs!AR770/Calcs!$C$2/Calcs!$N$22</f>
        <v>0</v>
      </c>
      <c r="K9" s="269">
        <f t="shared" ca="1" si="0"/>
        <v>7.5772757610195223</v>
      </c>
      <c r="L9" s="379">
        <f ca="1">K9*Inputs!$C$11</f>
        <v>37749.987841399263</v>
      </c>
      <c r="O9" s="320" t="s">
        <v>610</v>
      </c>
      <c r="P9" s="320"/>
      <c r="Q9" s="270">
        <f ca="1">K17</f>
        <v>93.869612277686713</v>
      </c>
      <c r="R9" s="316" t="s">
        <v>589</v>
      </c>
      <c r="S9" s="270">
        <f ca="1">Q9*Calcs!$N$23/Calcs!$N$20</f>
        <v>29.756510387936469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2.0642283600983804</v>
      </c>
      <c r="D10" s="269">
        <f>Calcs!J53/Calcs!$C$2/Calcs!$N$22</f>
        <v>2.2635616438356165</v>
      </c>
      <c r="E10" s="269">
        <f>Calcs!Q53</f>
        <v>0.17268366118024892</v>
      </c>
      <c r="F10" s="269">
        <f ca="1">Calcs!L429</f>
        <v>0.38278500766156554</v>
      </c>
      <c r="G10" s="269">
        <f ca="1">Calcs!K706/Calcs!$C$2/Calcs!$N$22</f>
        <v>0.63103492500303915</v>
      </c>
      <c r="H10" s="269">
        <f t="shared" si="1"/>
        <v>2.3302285714285711</v>
      </c>
      <c r="I10" s="269">
        <f ca="1">Calcs!M736/Calcs!$C$2</f>
        <v>0.31995988297597378</v>
      </c>
      <c r="J10" s="269">
        <f>Calcs!AR771/Calcs!$C$2/Calcs!$N$22</f>
        <v>0</v>
      </c>
      <c r="K10" s="269">
        <f t="shared" ca="1" si="0"/>
        <v>8.164482052183395</v>
      </c>
      <c r="L10" s="379">
        <f ca="1">K10*Inputs!$C$11</f>
        <v>40675.449583977672</v>
      </c>
      <c r="O10" s="314" t="s">
        <v>686</v>
      </c>
      <c r="P10" s="314"/>
      <c r="Q10" s="270">
        <f ca="1">Q20/Inputs!C11*1000</f>
        <v>278.12642579147376</v>
      </c>
      <c r="R10" s="312" t="s">
        <v>589</v>
      </c>
      <c r="S10" s="270">
        <f ca="1">Q10*Calcs!$N$23/Calcs!$N$20</f>
        <v>88.16561267709524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2.4523425925133329</v>
      </c>
      <c r="D11" s="269">
        <f>Calcs!J54/Calcs!$C$2/Calcs!$N$22</f>
        <v>2.3390136986301369</v>
      </c>
      <c r="E11" s="269">
        <f>Calcs!Q54</f>
        <v>0.17843978321959053</v>
      </c>
      <c r="F11" s="269">
        <f ca="1">Calcs!L430</f>
        <v>0.44620419758292162</v>
      </c>
      <c r="G11" s="269">
        <f ca="1">Calcs!K707/Calcs!$C$2/Calcs!$N$22</f>
        <v>0.74968150513863485</v>
      </c>
      <c r="H11" s="269">
        <f t="shared" si="1"/>
        <v>2.4079028571428571</v>
      </c>
      <c r="I11" s="269">
        <f ca="1">Calcs!M737/Calcs!$C$2</f>
        <v>0.33062521240850629</v>
      </c>
      <c r="J11" s="269">
        <f>Calcs!AR772/Calcs!$C$2/Calcs!$N$22</f>
        <v>0</v>
      </c>
      <c r="K11" s="269">
        <f t="shared" ca="1" si="0"/>
        <v>8.9042098466359789</v>
      </c>
      <c r="L11" s="379">
        <f ca="1">K11*Inputs!$C$11</f>
        <v>44360.773455940449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2.1050608821468701</v>
      </c>
      <c r="D12" s="269">
        <f>Calcs!J55/Calcs!$C$2/Calcs!$N$22</f>
        <v>2.3390136986301369</v>
      </c>
      <c r="E12" s="269">
        <f>Calcs!Q55</f>
        <v>0.17843978321959053</v>
      </c>
      <c r="F12" s="269">
        <f ca="1">Calcs!L431</f>
        <v>0.39002020490574074</v>
      </c>
      <c r="G12" s="269">
        <f ca="1">Calcs!K708/Calcs!$C$2/Calcs!$N$22</f>
        <v>0.64351743323062971</v>
      </c>
      <c r="H12" s="269">
        <f t="shared" si="1"/>
        <v>2.4079028571428571</v>
      </c>
      <c r="I12" s="269">
        <f ca="1">Calcs!M738/Calcs!$C$2</f>
        <v>0.33062521240850629</v>
      </c>
      <c r="J12" s="269">
        <f>Calcs!AR773/Calcs!$C$2/Calcs!$N$22</f>
        <v>0</v>
      </c>
      <c r="K12" s="269">
        <f t="shared" ca="1" si="0"/>
        <v>8.3945800716843308</v>
      </c>
      <c r="L12" s="379">
        <f ca="1">K12*Inputs!$C$11</f>
        <v>41821.797917131335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3.7678865942648595E-5</v>
      </c>
      <c r="C13" s="269">
        <f ca="1">(Calcs!D566+Calcs!G566)/Calcs!$C$2/Calcs!$N$22</f>
        <v>1.6092042804915934</v>
      </c>
      <c r="D13" s="269">
        <f>Calcs!J56/Calcs!$C$2/Calcs!$N$22</f>
        <v>2.2635616438356165</v>
      </c>
      <c r="E13" s="269">
        <f>Calcs!Q56</f>
        <v>0.17268366118024892</v>
      </c>
      <c r="F13" s="269">
        <f ca="1">Calcs!L432</f>
        <v>0.31138892577424815</v>
      </c>
      <c r="G13" s="269">
        <f ca="1">Calcs!K709/Calcs!$C$2/Calcs!$N$22</f>
        <v>0.49193611415490845</v>
      </c>
      <c r="H13" s="269">
        <f t="shared" si="1"/>
        <v>2.3302285714285711</v>
      </c>
      <c r="I13" s="269">
        <f ca="1">Calcs!M739/Calcs!$C$2</f>
        <v>0.31995988297597378</v>
      </c>
      <c r="J13" s="269">
        <f>Calcs!AR774/Calcs!$C$2/Calcs!$N$22</f>
        <v>0</v>
      </c>
      <c r="K13" s="269">
        <f t="shared" ca="1" si="0"/>
        <v>7.499000758707103</v>
      </c>
      <c r="L13" s="379">
        <f ca="1">K13*Inputs!$C$11</f>
        <v>37360.021779878785</v>
      </c>
      <c r="O13" s="320" t="s">
        <v>619</v>
      </c>
      <c r="P13" s="313"/>
      <c r="Q13" s="285">
        <f ca="1">Q7*Inputs!C11/1000</f>
        <v>384.92867195595386</v>
      </c>
      <c r="R13" s="312" t="s">
        <v>685</v>
      </c>
      <c r="S13" s="270">
        <f ca="1">Q13</f>
        <v>384.92867195595386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7.2064806001297707E-2</v>
      </c>
      <c r="C14" s="269">
        <f ca="1">(Calcs!D567+Calcs!G567)/Calcs!$C$2/Calcs!$N$22</f>
        <v>0.79659093523283531</v>
      </c>
      <c r="D14" s="269">
        <f>Calcs!J57/Calcs!$C$2/Calcs!$N$22</f>
        <v>2.3390136986301369</v>
      </c>
      <c r="E14" s="269">
        <f>Calcs!Q57</f>
        <v>0.17843978321959053</v>
      </c>
      <c r="F14" s="269">
        <f ca="1">Calcs!L433</f>
        <v>0.16180726302236462</v>
      </c>
      <c r="G14" s="269">
        <f ca="1">Calcs!K710/Calcs!$C$2/Calcs!$N$22</f>
        <v>0.24757230179208745</v>
      </c>
      <c r="H14" s="269">
        <f t="shared" si="1"/>
        <v>2.4079028571428571</v>
      </c>
      <c r="I14" s="269">
        <f ca="1">Calcs!M740/Calcs!$C$2</f>
        <v>0.33062521240850629</v>
      </c>
      <c r="J14" s="269">
        <f>Calcs!AR775/Calcs!$C$2/Calcs!$N$22</f>
        <v>0</v>
      </c>
      <c r="K14" s="269">
        <f t="shared" ca="1" si="0"/>
        <v>6.534016857449676</v>
      </c>
      <c r="L14" s="379">
        <f ca="1">K14*Inputs!$C$11</f>
        <v>32552.471983814285</v>
      </c>
      <c r="O14" s="314" t="s">
        <v>620</v>
      </c>
      <c r="P14" s="315"/>
      <c r="Q14" s="285">
        <f ca="1">Q8*Inputs!C11/1000</f>
        <v>82.729736411481284</v>
      </c>
      <c r="R14" s="312" t="s">
        <v>685</v>
      </c>
      <c r="S14" s="270">
        <f ca="1">Q14*Calcs!$N$23/1000*10</f>
        <v>2.8228557790732074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0.85599813548006143</v>
      </c>
      <c r="C15" s="269">
        <f ca="1">(Calcs!D568+Calcs!G568)/Calcs!$C$2/Calcs!$N$22</f>
        <v>0.23328741371063269</v>
      </c>
      <c r="D15" s="269">
        <f>Calcs!J58/Calcs!$C$2/Calcs!$N$22</f>
        <v>2.2635616438356165</v>
      </c>
      <c r="E15" s="269">
        <f>Calcs!Q58</f>
        <v>0.17268366118024892</v>
      </c>
      <c r="F15" s="269">
        <f ca="1">Calcs!L434</f>
        <v>7.259185060659426E-2</v>
      </c>
      <c r="G15" s="269">
        <f ca="1">Calcs!K711/Calcs!$C$2/Calcs!$N$22</f>
        <v>0.11947404001755803</v>
      </c>
      <c r="H15" s="269">
        <f t="shared" si="1"/>
        <v>2.3302285714285711</v>
      </c>
      <c r="I15" s="269">
        <f ca="1">Calcs!M741/Calcs!$C$2</f>
        <v>0.31995988297597378</v>
      </c>
      <c r="J15" s="269">
        <f>Calcs!AR776/Calcs!$C$2/Calcs!$N$22</f>
        <v>0</v>
      </c>
      <c r="K15" s="269">
        <f t="shared" ca="1" si="0"/>
        <v>6.3677851992352572</v>
      </c>
      <c r="L15" s="379">
        <f ca="1">K15*Inputs!$C$11</f>
        <v>31724.305862590052</v>
      </c>
      <c r="O15" s="314" t="s">
        <v>621</v>
      </c>
      <c r="P15" s="321"/>
      <c r="Q15" s="285">
        <f ca="1">Q9*Inputs!C11/1000</f>
        <v>467.65840836743524</v>
      </c>
      <c r="R15" s="312" t="s">
        <v>685</v>
      </c>
      <c r="S15" s="270">
        <f ca="1">Q15*Calcs!$N$23/1000</f>
        <v>1.5957167252729016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4.0158756333011327</v>
      </c>
      <c r="C16" s="269">
        <f ca="1">(Calcs!D569+Calcs!G569)/Calcs!$C$2/Calcs!$N$22</f>
        <v>6.1994507043190025E-2</v>
      </c>
      <c r="D16" s="269">
        <f>Calcs!J59/Calcs!$C$2/Calcs!$N$22</f>
        <v>2.3390136986301369</v>
      </c>
      <c r="E16" s="269">
        <f>Calcs!Q59</f>
        <v>0.17843978321959053</v>
      </c>
      <c r="F16" s="269">
        <f ca="1">Calcs!L435</f>
        <v>0.12748801613517702</v>
      </c>
      <c r="G16" s="269">
        <f ca="1">Calcs!K712/Calcs!$C$2/Calcs!$N$22</f>
        <v>0.24488295540207991</v>
      </c>
      <c r="H16" s="269">
        <f t="shared" si="1"/>
        <v>2.4079028571428571</v>
      </c>
      <c r="I16" s="269">
        <f ca="1">Calcs!M742/Calcs!$C$2</f>
        <v>0.33062521240850629</v>
      </c>
      <c r="J16" s="269">
        <f>Calcs!AR777/Calcs!$C$2/Calcs!$N$22</f>
        <v>0</v>
      </c>
      <c r="K16" s="269">
        <f t="shared" ca="1" si="0"/>
        <v>9.70622266328267</v>
      </c>
      <c r="L16" s="379">
        <f ca="1">K16*Inputs!$C$11</f>
        <v>48356.401308474262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12.712882659871799</v>
      </c>
      <c r="C17" s="271">
        <f ca="1">SUM(C5:C16)</f>
        <v>12.158251551740737</v>
      </c>
      <c r="D17" s="271">
        <f>SUM(D5:D16)</f>
        <v>27.539999999999996</v>
      </c>
      <c r="E17" s="271">
        <f t="shared" ref="E17:H17" si="2">SUM(E5:E16)</f>
        <v>2.1009845443596951</v>
      </c>
      <c r="F17" s="271">
        <f ca="1">SUM(F5:F16)</f>
        <v>2.6815339931258526</v>
      </c>
      <c r="G17" s="271">
        <f ca="1">SUM(G5:G16)</f>
        <v>4.4320000000000013</v>
      </c>
      <c r="H17" s="271">
        <f t="shared" si="2"/>
        <v>28.351114285714285</v>
      </c>
      <c r="I17" s="271">
        <f ca="1">SUM(I5:I16)</f>
        <v>3.8928452428743485</v>
      </c>
      <c r="J17" s="271">
        <f>SUM(J5:J16)</f>
        <v>0</v>
      </c>
      <c r="K17" s="272">
        <f ca="1">SUM(K5:K16)</f>
        <v>93.869612277686713</v>
      </c>
      <c r="L17" s="383">
        <f ca="1">K17*Inputs!$C$11</f>
        <v>467658.40836743522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1295.2849811317849</v>
      </c>
      <c r="R18" s="312" t="s">
        <v>685</v>
      </c>
      <c r="S18" s="323">
        <f ca="1">Q18*Calcs!$N$23/1000</f>
        <v>4.4196958108851785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90.340872161337572</v>
      </c>
      <c r="R19" s="312" t="s">
        <v>685</v>
      </c>
      <c r="S19" s="323">
        <f ca="1">Q19*Calcs!$N$23/1000</f>
        <v>0.30825585107479425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1385.6258532931224</v>
      </c>
      <c r="R20" s="312" t="s">
        <v>685</v>
      </c>
      <c r="S20" s="270">
        <f ca="1">Q20*Calcs!$N$23/1000</f>
        <v>4.727951661959974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6.1667450790611554E-2</v>
      </c>
      <c r="D22" s="269">
        <f t="shared" ref="D22:D33" si="3">D5</f>
        <v>2.3390136986301369</v>
      </c>
      <c r="E22" s="269">
        <f t="shared" ref="E22" si="4">E5</f>
        <v>0.17843978321959053</v>
      </c>
      <c r="F22" s="269">
        <f t="shared" ref="F22:G33" ca="1" si="5">F5</f>
        <v>0.13502237433405756</v>
      </c>
      <c r="G22" s="269">
        <f t="shared" ca="1" si="5"/>
        <v>0.26077468474088855</v>
      </c>
      <c r="H22" s="269">
        <f>Calcs!H747</f>
        <v>2.4079028571428571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5.3828208488581417</v>
      </c>
      <c r="L22" s="379">
        <f ca="1">K22*Inputs!$C$11</f>
        <v>26817.213469011262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0.10349895397660144</v>
      </c>
      <c r="D23" s="269">
        <f t="shared" si="3"/>
        <v>2.112657534246575</v>
      </c>
      <c r="E23" s="269">
        <f t="shared" ref="E23:E33" si="8">E6</f>
        <v>0.16117141710156563</v>
      </c>
      <c r="F23" s="269">
        <f t="shared" ca="1" si="5"/>
        <v>9.551009275892465E-2</v>
      </c>
      <c r="G23" s="269">
        <f t="shared" ca="1" si="5"/>
        <v>0.17769242533672183</v>
      </c>
      <c r="H23" s="269">
        <f>Calcs!H748</f>
        <v>2.1748799999999995</v>
      </c>
      <c r="I23" s="269">
        <f>IF(Inputs!$C$66=2,0,Outputs!I6)</f>
        <v>0</v>
      </c>
      <c r="J23" s="269">
        <f t="shared" si="6"/>
        <v>0</v>
      </c>
      <c r="K23" s="381">
        <f t="shared" ca="1" si="7"/>
        <v>4.8254104234203883</v>
      </c>
      <c r="L23" s="379">
        <f ca="1">K23*Inputs!$C$11</f>
        <v>24040.194729480376</v>
      </c>
      <c r="O23" s="313" t="s">
        <v>616</v>
      </c>
      <c r="P23" s="313"/>
      <c r="Q23" s="270">
        <f ca="1">Calcs!U9*$Q$13+SUM(Calcs!T15:U15)*$Q$14</f>
        <v>249.4812353554978</v>
      </c>
      <c r="R23" s="312" t="s">
        <v>622</v>
      </c>
      <c r="S23" s="270">
        <f ca="1">Q23</f>
        <v>249.4812353554978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0.3410539887047645</v>
      </c>
      <c r="D24" s="269">
        <f t="shared" si="3"/>
        <v>2.3390136986301369</v>
      </c>
      <c r="E24" s="269">
        <f t="shared" si="8"/>
        <v>0.17843978321959053</v>
      </c>
      <c r="F24" s="269">
        <f t="shared" ca="1" si="5"/>
        <v>9.1750253074778215E-2</v>
      </c>
      <c r="G24" s="269">
        <f t="shared" ca="1" si="5"/>
        <v>0.1477937788658546</v>
      </c>
      <c r="H24" s="269">
        <f>Calcs!H749</f>
        <v>2.4079028571428571</v>
      </c>
      <c r="I24" s="269">
        <f>IF(Inputs!$C$66=2,0,Outputs!I7)</f>
        <v>0</v>
      </c>
      <c r="J24" s="269">
        <f t="shared" si="6"/>
        <v>0</v>
      </c>
      <c r="K24" s="381">
        <f t="shared" ca="1" si="7"/>
        <v>5.5059543596379816</v>
      </c>
      <c r="L24" s="379">
        <f ca="1">K24*Inputs!$C$11</f>
        <v>27430.664619716423</v>
      </c>
      <c r="O24" s="313" t="s">
        <v>617</v>
      </c>
      <c r="P24" s="313"/>
      <c r="Q24" s="285">
        <f ca="1">Calcs!U10*$Q$13+SUM(Calcs!T16:U16)*$Q$14</f>
        <v>0.44728133175327572</v>
      </c>
      <c r="R24" s="312" t="s">
        <v>622</v>
      </c>
      <c r="S24" s="285">
        <f t="shared" ref="S24:S25" ca="1" si="9">Q24</f>
        <v>0.44728133175327572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0.7873783549844936</v>
      </c>
      <c r="D25" s="269">
        <f t="shared" si="3"/>
        <v>2.2635616438356165</v>
      </c>
      <c r="E25" s="269">
        <f t="shared" si="8"/>
        <v>0.17268366118024892</v>
      </c>
      <c r="F25" s="269">
        <f t="shared" ca="1" si="5"/>
        <v>0.16085652441434684</v>
      </c>
      <c r="G25" s="269">
        <f t="shared" ca="1" si="5"/>
        <v>0.2461678425553378</v>
      </c>
      <c r="H25" s="269">
        <f>Calcs!H750</f>
        <v>2.3302285714285711</v>
      </c>
      <c r="I25" s="269">
        <f>IF(Inputs!$C$66=2,0,Outputs!I8)</f>
        <v>0</v>
      </c>
      <c r="J25" s="269">
        <f t="shared" si="6"/>
        <v>0</v>
      </c>
      <c r="K25" s="381">
        <f t="shared" ca="1" si="7"/>
        <v>5.9608765983986149</v>
      </c>
      <c r="L25" s="379">
        <f ca="1">K25*Inputs!$C$11</f>
        <v>29697.087213221901</v>
      </c>
      <c r="O25" s="313" t="s">
        <v>618</v>
      </c>
      <c r="P25" s="313"/>
      <c r="Q25" s="285">
        <f ca="1">Calcs!U11*$Q$13+SUM(Calcs!T17:U17)*$Q$14</f>
        <v>0.98585680409106391</v>
      </c>
      <c r="R25" s="312" t="s">
        <v>622</v>
      </c>
      <c r="S25" s="285">
        <f t="shared" ca="1" si="9"/>
        <v>0.98585680409106391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1.5419438320474319</v>
      </c>
      <c r="D26" s="269">
        <f t="shared" si="3"/>
        <v>2.3390136986301369</v>
      </c>
      <c r="E26" s="269">
        <f t="shared" si="8"/>
        <v>0.17843978321959053</v>
      </c>
      <c r="F26" s="269">
        <f t="shared" ca="1" si="5"/>
        <v>0.30610928285513322</v>
      </c>
      <c r="G26" s="269">
        <f t="shared" ca="1" si="5"/>
        <v>0.47147199376226018</v>
      </c>
      <c r="H26" s="269">
        <f>Calcs!H751</f>
        <v>2.4079028571428571</v>
      </c>
      <c r="I26" s="269">
        <f>IF(Inputs!$C$66=2,0,Outputs!I9)</f>
        <v>0</v>
      </c>
      <c r="J26" s="269">
        <f t="shared" si="6"/>
        <v>0</v>
      </c>
      <c r="K26" s="381">
        <f t="shared" ca="1" si="7"/>
        <v>7.2448814476574102</v>
      </c>
      <c r="L26" s="379">
        <f ca="1">K26*Inputs!$C$11</f>
        <v>36093.99937222922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2.0642283600983804</v>
      </c>
      <c r="D27" s="269">
        <f t="shared" si="3"/>
        <v>2.2635616438356165</v>
      </c>
      <c r="E27" s="269">
        <f t="shared" si="8"/>
        <v>0.17268366118024892</v>
      </c>
      <c r="F27" s="269">
        <f t="shared" ca="1" si="5"/>
        <v>0.38278500766156554</v>
      </c>
      <c r="G27" s="269">
        <f t="shared" ca="1" si="5"/>
        <v>0.63103492500303915</v>
      </c>
      <c r="H27" s="269">
        <f>Calcs!H752</f>
        <v>2.3302285714285711</v>
      </c>
      <c r="I27" s="269">
        <f>IF(Inputs!$C$66=2,0,Outputs!I10)</f>
        <v>0</v>
      </c>
      <c r="J27" s="269">
        <f t="shared" si="6"/>
        <v>0</v>
      </c>
      <c r="K27" s="381">
        <f t="shared" ca="1" si="7"/>
        <v>7.8445221692074218</v>
      </c>
      <c r="L27" s="379">
        <f ca="1">K27*Inputs!$C$11</f>
        <v>39081.409446991376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2.4523425925133329</v>
      </c>
      <c r="D28" s="269">
        <f t="shared" si="3"/>
        <v>2.3390136986301369</v>
      </c>
      <c r="E28" s="269">
        <f t="shared" si="8"/>
        <v>0.17843978321959053</v>
      </c>
      <c r="F28" s="269">
        <f t="shared" ca="1" si="5"/>
        <v>0.44620419758292162</v>
      </c>
      <c r="G28" s="269">
        <f t="shared" ca="1" si="5"/>
        <v>0.74968150513863485</v>
      </c>
      <c r="H28" s="269">
        <f>Calcs!H753</f>
        <v>2.4079028571428571</v>
      </c>
      <c r="I28" s="269">
        <f>IF(Inputs!$C$66=2,0,Outputs!I11)</f>
        <v>0</v>
      </c>
      <c r="J28" s="269">
        <f t="shared" si="6"/>
        <v>0</v>
      </c>
      <c r="K28" s="381">
        <f t="shared" ca="1" si="7"/>
        <v>8.5735846342274726</v>
      </c>
      <c r="L28" s="379">
        <f ca="1">K28*Inputs!$C$11</f>
        <v>42713.598647721272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2.1050608821468701</v>
      </c>
      <c r="D29" s="269">
        <f t="shared" si="3"/>
        <v>2.3390136986301369</v>
      </c>
      <c r="E29" s="269">
        <f t="shared" si="8"/>
        <v>0.17843978321959053</v>
      </c>
      <c r="F29" s="269">
        <f t="shared" ca="1" si="5"/>
        <v>0.39002020490574074</v>
      </c>
      <c r="G29" s="269">
        <f t="shared" ca="1" si="5"/>
        <v>0.64351743323062971</v>
      </c>
      <c r="H29" s="269">
        <f>Calcs!H754</f>
        <v>2.4079028571428571</v>
      </c>
      <c r="I29" s="269">
        <f>IF(Inputs!$C$66=2,0,Outputs!I12)</f>
        <v>0</v>
      </c>
      <c r="J29" s="269">
        <f t="shared" si="6"/>
        <v>0</v>
      </c>
      <c r="K29" s="381">
        <f t="shared" ca="1" si="7"/>
        <v>8.0639548592758246</v>
      </c>
      <c r="L29" s="379">
        <f ca="1">K29*Inputs!$C$11</f>
        <v>40174.623108912157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1.6092042804915934</v>
      </c>
      <c r="D30" s="269">
        <f t="shared" si="3"/>
        <v>2.2635616438356165</v>
      </c>
      <c r="E30" s="269">
        <f t="shared" si="8"/>
        <v>0.17268366118024892</v>
      </c>
      <c r="F30" s="269">
        <f t="shared" ca="1" si="5"/>
        <v>0.31138892577424815</v>
      </c>
      <c r="G30" s="269">
        <f t="shared" ca="1" si="5"/>
        <v>0.49193611415490845</v>
      </c>
      <c r="H30" s="269">
        <f>Calcs!H755</f>
        <v>2.3302285714285711</v>
      </c>
      <c r="I30" s="269">
        <f>IF(Inputs!$C$66=2,0,Outputs!I13)</f>
        <v>0</v>
      </c>
      <c r="J30" s="269">
        <f t="shared" si="6"/>
        <v>0</v>
      </c>
      <c r="K30" s="381">
        <f t="shared" ca="1" si="7"/>
        <v>7.1790031968651871</v>
      </c>
      <c r="L30" s="379">
        <f ca="1">K30*Inputs!$C$11</f>
        <v>35765.79392678236</v>
      </c>
      <c r="O30" s="313" t="s">
        <v>696</v>
      </c>
      <c r="P30" s="313"/>
      <c r="Q30" s="325">
        <f>Calcs!C821</f>
        <v>431.08371498201171</v>
      </c>
      <c r="R30" s="312" t="s">
        <v>589</v>
      </c>
      <c r="S30" s="325">
        <f>Q30*Calcs!$N$23/Calcs!$N$20</f>
        <v>136.65281800659628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0.79659093523283531</v>
      </c>
      <c r="D31" s="269">
        <f t="shared" si="3"/>
        <v>2.3390136986301369</v>
      </c>
      <c r="E31" s="269">
        <f t="shared" si="8"/>
        <v>0.17843978321959053</v>
      </c>
      <c r="F31" s="269">
        <f t="shared" ca="1" si="5"/>
        <v>0.16180726302236462</v>
      </c>
      <c r="G31" s="269">
        <f t="shared" ca="1" si="5"/>
        <v>0.24757230179208745</v>
      </c>
      <c r="H31" s="269">
        <f>Calcs!H756</f>
        <v>2.4079028571428571</v>
      </c>
      <c r="I31" s="269">
        <f>IF(Inputs!$C$66=2,0,Outputs!I14)</f>
        <v>0</v>
      </c>
      <c r="J31" s="269">
        <f t="shared" si="6"/>
        <v>0</v>
      </c>
      <c r="K31" s="381">
        <f t="shared" ca="1" si="7"/>
        <v>6.1313268390398719</v>
      </c>
      <c r="L31" s="379">
        <f ca="1">K31*Inputs!$C$11</f>
        <v>30546.27031209664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0.23328741371063269</v>
      </c>
      <c r="D32" s="269">
        <f t="shared" si="3"/>
        <v>2.2635616438356165</v>
      </c>
      <c r="E32" s="269">
        <f t="shared" si="8"/>
        <v>0.17268366118024892</v>
      </c>
      <c r="F32" s="269">
        <f t="shared" ca="1" si="5"/>
        <v>7.259185060659426E-2</v>
      </c>
      <c r="G32" s="269">
        <f t="shared" ca="1" si="5"/>
        <v>0.11947404001755803</v>
      </c>
      <c r="H32" s="269">
        <f>Calcs!H757</f>
        <v>2.3302285714285711</v>
      </c>
      <c r="I32" s="269">
        <f>IF(Inputs!$C$66=2,0,Outputs!I15)</f>
        <v>0</v>
      </c>
      <c r="J32" s="269">
        <f t="shared" si="6"/>
        <v>0</v>
      </c>
      <c r="K32" s="381">
        <f t="shared" ca="1" si="7"/>
        <v>5.1918271807792209</v>
      </c>
      <c r="L32" s="379">
        <f ca="1">K32*Inputs!$C$11</f>
        <v>25865.68301464208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6.1994507043190025E-2</v>
      </c>
      <c r="D33" s="269">
        <f t="shared" si="3"/>
        <v>2.3390136986301369</v>
      </c>
      <c r="E33" s="269">
        <f t="shared" si="8"/>
        <v>0.17843978321959053</v>
      </c>
      <c r="F33" s="269">
        <f t="shared" ca="1" si="5"/>
        <v>0.12748801613517702</v>
      </c>
      <c r="G33" s="269">
        <f t="shared" ca="1" si="5"/>
        <v>0.24488295540207991</v>
      </c>
      <c r="H33" s="269">
        <f>Calcs!H758</f>
        <v>2.4079028571428571</v>
      </c>
      <c r="I33" s="269">
        <f>IF(Inputs!$C$66=2,0,Outputs!I16)</f>
        <v>0</v>
      </c>
      <c r="J33" s="269">
        <f t="shared" si="6"/>
        <v>0</v>
      </c>
      <c r="K33" s="381">
        <f t="shared" ca="1" si="7"/>
        <v>5.359721817573031</v>
      </c>
      <c r="L33" s="379">
        <f ca="1">K33*Inputs!$C$11</f>
        <v>26702.134095148842</v>
      </c>
      <c r="O33" s="314" t="s">
        <v>693</v>
      </c>
      <c r="P33" s="313"/>
      <c r="Q33" s="285">
        <f ca="1">Q6/Q28</f>
        <v>0.49591324024369937</v>
      </c>
      <c r="R33" s="313"/>
      <c r="S33" s="285">
        <f ca="1">Q33</f>
        <v>0.49591324024369937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12.158251551740737</v>
      </c>
      <c r="D34" s="272">
        <f>SUM(D22:D33)</f>
        <v>27.539999999999996</v>
      </c>
      <c r="E34" s="272">
        <f t="shared" si="10"/>
        <v>2.1009845443596951</v>
      </c>
      <c r="F34" s="272">
        <f ca="1">SUM(F22:F33)</f>
        <v>2.6815339931258526</v>
      </c>
      <c r="G34" s="272">
        <f ca="1">SUM(G22:G33)</f>
        <v>4.4320000000000013</v>
      </c>
      <c r="H34" s="272">
        <f t="shared" si="10"/>
        <v>28.351114285714285</v>
      </c>
      <c r="I34" s="272">
        <f t="shared" si="10"/>
        <v>0</v>
      </c>
      <c r="J34" s="272">
        <f>SUM(J22:J33)</f>
        <v>0</v>
      </c>
      <c r="K34" s="382">
        <f ca="1">SUM(K22:K33)</f>
        <v>77.263884374940559</v>
      </c>
      <c r="L34" s="383">
        <f ca="1">K34*Inputs!$C$11</f>
        <v>384928.67195595388</v>
      </c>
      <c r="O34" s="314" t="s">
        <v>691</v>
      </c>
      <c r="P34" s="313"/>
      <c r="Q34" s="285">
        <f ca="1">Q9/Q29</f>
        <v>0.46934806138843355</v>
      </c>
      <c r="R34" s="313"/>
      <c r="S34" s="285">
        <f t="shared" ref="S34:S35" ca="1" si="11">Q34</f>
        <v>0.46934806138843355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0.64517961622159503</v>
      </c>
      <c r="R35" s="313"/>
      <c r="S35" s="285">
        <f t="shared" ca="1" si="11"/>
        <v>0.64517961622159503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4.3001246140941785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0.33062521240850629</v>
      </c>
      <c r="J39" s="269"/>
      <c r="K39" s="381">
        <f t="shared" ref="K39:K50" ca="1" si="13">SUM(B39:I39)-J39</f>
        <v>4.6307498265026847</v>
      </c>
      <c r="L39" s="379">
        <f ca="1">K39*Inputs!$C$11</f>
        <v>23070.395635636374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2.5960546056270344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0.29862922411090881</v>
      </c>
      <c r="J40" s="269"/>
      <c r="K40" s="381">
        <f t="shared" ca="1" si="13"/>
        <v>2.8946838297379434</v>
      </c>
      <c r="L40" s="379">
        <f ca="1">K40*Inputs!$C$11</f>
        <v>14421.314839754434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0.7737983619706259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0.33062521240850629</v>
      </c>
      <c r="J41" s="269"/>
      <c r="K41" s="381">
        <f t="shared" ca="1" si="13"/>
        <v>1.1044235743791322</v>
      </c>
      <c r="L41" s="379">
        <f ca="1">K41*Inputs!$C$11</f>
        <v>5502.2382475568365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9.7159723577917897E-2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0.31995988297597378</v>
      </c>
      <c r="J42" s="269"/>
      <c r="K42" s="381">
        <f t="shared" ca="1" si="13"/>
        <v>0.41711960655389169</v>
      </c>
      <c r="L42" s="379">
        <f ca="1">K42*Inputs!$C$11</f>
        <v>2078.0898798514886</v>
      </c>
    </row>
    <row r="43" spans="1:20" ht="13.5" customHeight="1" x14ac:dyDescent="0.2">
      <c r="A43" s="9" t="s">
        <v>118</v>
      </c>
      <c r="B43" s="269">
        <f ca="1">Calcs!F562/Calcs!$C$2/Calcs!$N$22</f>
        <v>1.7691009536056415E-3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0.33062521240850629</v>
      </c>
      <c r="J43" s="269"/>
      <c r="K43" s="381">
        <f t="shared" ca="1" si="13"/>
        <v>0.33239431336211195</v>
      </c>
      <c r="L43" s="379">
        <f ca="1">K43*Inputs!$C$11</f>
        <v>1655.9884691700418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0.31995988297597378</v>
      </c>
      <c r="J44" s="269"/>
      <c r="K44" s="381">
        <f t="shared" ca="1" si="13"/>
        <v>0.31995988297597378</v>
      </c>
      <c r="L44" s="379">
        <f ca="1">K44*Inputs!$C$11</f>
        <v>1594.0401369863014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0.33062521240850629</v>
      </c>
      <c r="J45" s="269"/>
      <c r="K45" s="381">
        <f t="shared" ca="1" si="13"/>
        <v>0.33062521240850629</v>
      </c>
      <c r="L45" s="379">
        <f ca="1">K45*Inputs!$C$11</f>
        <v>1647.1748082191784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0.33062521240850629</v>
      </c>
      <c r="J46" s="269"/>
      <c r="K46" s="381">
        <f t="shared" ca="1" si="13"/>
        <v>0.33062521240850629</v>
      </c>
      <c r="L46" s="379">
        <f ca="1">K46*Inputs!$C$11</f>
        <v>1647.1748082191784</v>
      </c>
    </row>
    <row r="47" spans="1:20" ht="13.5" customHeight="1" x14ac:dyDescent="0.2">
      <c r="A47" s="9" t="s">
        <v>122</v>
      </c>
      <c r="B47" s="269">
        <f ca="1">Calcs!F566/Calcs!$C$2/Calcs!$N$22</f>
        <v>3.7678865942648595E-5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0.31995988297597378</v>
      </c>
      <c r="J47" s="269"/>
      <c r="K47" s="381">
        <f t="shared" ca="1" si="13"/>
        <v>0.31999756184191641</v>
      </c>
      <c r="L47" s="379">
        <f ca="1">K47*Inputs!$C$11</f>
        <v>1594.2278530964275</v>
      </c>
    </row>
    <row r="48" spans="1:20" ht="13.5" customHeight="1" x14ac:dyDescent="0.2">
      <c r="A48" s="9" t="s">
        <v>123</v>
      </c>
      <c r="B48" s="269">
        <f ca="1">Calcs!F567/Calcs!$C$2/Calcs!$N$22</f>
        <v>7.2064806001297707E-2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0.33062521240850629</v>
      </c>
      <c r="J48" s="269"/>
      <c r="K48" s="381">
        <f t="shared" ca="1" si="13"/>
        <v>0.40269001840980401</v>
      </c>
      <c r="L48" s="379">
        <f ca="1">K48*Inputs!$C$11</f>
        <v>2006.2016717176436</v>
      </c>
    </row>
    <row r="49" spans="1:12" ht="13.5" customHeight="1" x14ac:dyDescent="0.2">
      <c r="A49" s="9" t="s">
        <v>124</v>
      </c>
      <c r="B49" s="269">
        <f ca="1">Calcs!F568/Calcs!$C$2/Calcs!$N$22</f>
        <v>0.85599813548006143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0.31995988297597378</v>
      </c>
      <c r="J49" s="269"/>
      <c r="K49" s="381">
        <f t="shared" ca="1" si="13"/>
        <v>1.1759580184560352</v>
      </c>
      <c r="L49" s="379">
        <f ca="1">K49*Inputs!$C$11</f>
        <v>5858.6228479479678</v>
      </c>
    </row>
    <row r="50" spans="1:12" ht="13.5" customHeight="1" x14ac:dyDescent="0.2">
      <c r="A50" s="9" t="s">
        <v>125</v>
      </c>
      <c r="B50" s="269">
        <f ca="1">Calcs!F569/Calcs!$C$2/Calcs!$N$22</f>
        <v>4.0158756333011327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0.33062521240850629</v>
      </c>
      <c r="J50" s="269"/>
      <c r="K50" s="381">
        <f t="shared" ca="1" si="13"/>
        <v>4.346500845709639</v>
      </c>
      <c r="L50" s="379">
        <f ca="1">K50*Inputs!$C$11</f>
        <v>21654.26721332542</v>
      </c>
    </row>
    <row r="51" spans="1:12" ht="13.5" customHeight="1" x14ac:dyDescent="0.2">
      <c r="A51" s="9" t="s">
        <v>178</v>
      </c>
      <c r="B51" s="272">
        <f ca="1">SUM(B39:B50)</f>
        <v>12.712882659871799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3.8928452428743485</v>
      </c>
      <c r="J51" s="272">
        <f t="shared" si="14"/>
        <v>0</v>
      </c>
      <c r="K51" s="382">
        <f ca="1">SUM(K39:K50)</f>
        <v>16.605727902746143</v>
      </c>
      <c r="L51" s="383">
        <f ca="1">K51*Inputs!$C$11</f>
        <v>82729.736411481281</v>
      </c>
    </row>
  </sheetData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4982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0.79714285714285715</v>
      </c>
      <c r="AB5" s="569">
        <f>O5*$F$18</f>
        <v>0.89279999999999993</v>
      </c>
      <c r="AC5" s="569">
        <f>O5*$G$18</f>
        <v>0.31885714285714284</v>
      </c>
      <c r="AD5" s="569">
        <f>O5*$H$18</f>
        <v>0.66959999999999997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-3.289032258064517</v>
      </c>
      <c r="CS5" s="584">
        <f t="shared" ref="CS5:CS16" ca="1" si="1">SUMPRODUCT($BP$19:$CM$19,AR5:BO5)/SUM($BP$19:$CM$19)</f>
        <v>-5.616328725038402</v>
      </c>
      <c r="CT5" s="510"/>
      <c r="CU5" s="584">
        <f t="shared" ref="CU5:CU16" ca="1" si="2">SUMPRODUCT($BP$18:$CM$18,BP5:CM5)/SUM($BP$18:$CM$18)</f>
        <v>176.39677419354837</v>
      </c>
      <c r="CV5" s="584">
        <f t="shared" ref="CV5:CV16" ca="1" si="3">SUMPRODUCT($BP$19:$CM$19,BP5:CM5)/SUM($BP$19:$CM$19)</f>
        <v>0</v>
      </c>
      <c r="CW5" s="584">
        <f t="shared" ref="CW5:CW16" ca="1" si="4">$CU5*AA5</f>
        <v>140.61342857142856</v>
      </c>
      <c r="CX5" s="584">
        <f t="shared" ref="CX5:CX16" ca="1" si="5">$CV5*AB5</f>
        <v>0</v>
      </c>
      <c r="CY5" s="584">
        <f t="shared" ref="CY5:CY16" ca="1" si="6">$CU5*AC5</f>
        <v>56.245371428571417</v>
      </c>
      <c r="CZ5" s="584">
        <f t="shared" ref="CZ5:CZ16" ca="1" si="7">$CV5*AD5</f>
        <v>0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0.7142857142857143</v>
      </c>
      <c r="DD5" s="569">
        <f t="shared" ref="DD5:DD16" ca="1" si="10">CX5/$DA5</f>
        <v>0</v>
      </c>
      <c r="DE5" s="569">
        <f t="shared" ref="DE5:DE16" ca="1" si="11">CY5/$DA5</f>
        <v>0.2857142857142857</v>
      </c>
      <c r="DF5" s="569">
        <f t="shared" ref="DF5:DF16" ca="1" si="12">CZ5/$DA5</f>
        <v>0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8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0.72</v>
      </c>
      <c r="AB6" s="569">
        <f t="shared" ref="AB6:AB16" si="14">O6*$F$18</f>
        <v>0.80640000000000001</v>
      </c>
      <c r="AC6" s="569">
        <f t="shared" ref="AC6:AC16" si="15">O6*$G$18</f>
        <v>0.28799999999999998</v>
      </c>
      <c r="AD6" s="569">
        <f t="shared" ref="AD6:AD16" si="16">O6*$H$18</f>
        <v>0.6048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-1.0332142857142856</v>
      </c>
      <c r="CS6" s="584">
        <f t="shared" ca="1" si="1"/>
        <v>-3.5977040816326533</v>
      </c>
      <c r="CT6" s="510"/>
      <c r="CU6" s="584">
        <f t="shared" ca="1" si="2"/>
        <v>248.26785714285717</v>
      </c>
      <c r="CV6" s="584">
        <f t="shared" ca="1" si="3"/>
        <v>0.76275510204081631</v>
      </c>
      <c r="CW6" s="584">
        <f t="shared" ca="1" si="4"/>
        <v>178.75285714285715</v>
      </c>
      <c r="CX6" s="584">
        <f t="shared" ca="1" si="5"/>
        <v>0.61508571428571424</v>
      </c>
      <c r="CY6" s="584">
        <f t="shared" ca="1" si="6"/>
        <v>71.501142857142852</v>
      </c>
      <c r="CZ6" s="584">
        <f t="shared" ca="1" si="7"/>
        <v>0.46131428571428573</v>
      </c>
      <c r="DA6" s="691">
        <f t="shared" ca="1" si="8"/>
        <v>251.33040000000003</v>
      </c>
      <c r="DB6" s="539"/>
      <c r="DC6" s="569">
        <f t="shared" ca="1" si="9"/>
        <v>0.71122656528162587</v>
      </c>
      <c r="DD6" s="569">
        <f t="shared" ca="1" si="10"/>
        <v>2.4473192032707313E-3</v>
      </c>
      <c r="DE6" s="569">
        <f t="shared" ca="1" si="11"/>
        <v>0.2844906261126503</v>
      </c>
      <c r="DF6" s="569">
        <f t="shared" ca="1" si="12"/>
        <v>1.8354894024530486E-3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5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0.79714285714285715</v>
      </c>
      <c r="AB7" s="569">
        <f t="shared" si="14"/>
        <v>0.89279999999999993</v>
      </c>
      <c r="AC7" s="569">
        <f t="shared" si="15"/>
        <v>0.31885714285714284</v>
      </c>
      <c r="AD7" s="569">
        <f t="shared" si="16"/>
        <v>0.66959999999999997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5.9145161290322577</v>
      </c>
      <c r="CS7" s="584">
        <f t="shared" ca="1" si="1"/>
        <v>2.3324884792626728</v>
      </c>
      <c r="CT7" s="510"/>
      <c r="CU7" s="584">
        <f t="shared" ca="1" si="2"/>
        <v>337.41290322580642</v>
      </c>
      <c r="CV7" s="584">
        <f t="shared" ca="1" si="3"/>
        <v>4.7165898617511521</v>
      </c>
      <c r="CW7" s="584">
        <f t="shared" ca="1" si="4"/>
        <v>268.96628571428568</v>
      </c>
      <c r="CX7" s="584">
        <f t="shared" ca="1" si="5"/>
        <v>4.2109714285714279</v>
      </c>
      <c r="CY7" s="584">
        <f t="shared" ca="1" si="6"/>
        <v>107.58651428571427</v>
      </c>
      <c r="CZ7" s="584">
        <f t="shared" ca="1" si="7"/>
        <v>3.1582285714285714</v>
      </c>
      <c r="DA7" s="691">
        <f t="shared" ca="1" si="8"/>
        <v>383.92199999999997</v>
      </c>
      <c r="DB7" s="539"/>
      <c r="DC7" s="569">
        <f t="shared" ca="1" si="9"/>
        <v>0.70057534008023947</v>
      </c>
      <c r="DD7" s="569">
        <f t="shared" ca="1" si="10"/>
        <v>1.0968299364379817E-2</v>
      </c>
      <c r="DE7" s="569">
        <f t="shared" ca="1" si="11"/>
        <v>0.28023013603209579</v>
      </c>
      <c r="DF7" s="569">
        <f t="shared" ca="1" si="12"/>
        <v>8.2262245232848641E-3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10</v>
      </c>
      <c r="E8" s="510"/>
      <c r="F8" s="531" t="s">
        <v>93</v>
      </c>
      <c r="G8" s="532">
        <f>IF(G7-G6&lt;0,7+(G7-G6),G7-G6)</f>
        <v>5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0.77142857142857146</v>
      </c>
      <c r="AB8" s="569">
        <f t="shared" si="14"/>
        <v>0.86399999999999999</v>
      </c>
      <c r="AC8" s="569">
        <f t="shared" si="15"/>
        <v>0.30857142857142855</v>
      </c>
      <c r="AD8" s="569">
        <f t="shared" si="16"/>
        <v>0.64800000000000002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11.860666666666669</v>
      </c>
      <c r="CS8" s="584">
        <f t="shared" ca="1" si="1"/>
        <v>8.5657142857142876</v>
      </c>
      <c r="CT8" s="510"/>
      <c r="CU8" s="584">
        <f t="shared" ca="1" si="2"/>
        <v>415.03666666666669</v>
      </c>
      <c r="CV8" s="584">
        <f t="shared" ca="1" si="3"/>
        <v>17.411904761904761</v>
      </c>
      <c r="CW8" s="584">
        <f t="shared" ca="1" si="4"/>
        <v>320.17114285714291</v>
      </c>
      <c r="CX8" s="584">
        <f t="shared" ca="1" si="5"/>
        <v>15.043885714285713</v>
      </c>
      <c r="CY8" s="584">
        <f t="shared" ca="1" si="6"/>
        <v>128.06845714285714</v>
      </c>
      <c r="CZ8" s="584">
        <f t="shared" ca="1" si="7"/>
        <v>11.282914285714286</v>
      </c>
      <c r="DA8" s="691">
        <f t="shared" ca="1" si="8"/>
        <v>474.56640000000004</v>
      </c>
      <c r="DB8" s="539"/>
      <c r="DC8" s="569">
        <f t="shared" ca="1" si="9"/>
        <v>0.67466036967038312</v>
      </c>
      <c r="DD8" s="569">
        <f t="shared" ca="1" si="10"/>
        <v>3.1700275692265002E-2</v>
      </c>
      <c r="DE8" s="569">
        <f t="shared" ca="1" si="11"/>
        <v>0.26986414786815316</v>
      </c>
      <c r="DF8" s="569">
        <f t="shared" ca="1" si="12"/>
        <v>2.3775206769198757E-2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0.79714285714285715</v>
      </c>
      <c r="AB9" s="569">
        <f t="shared" si="14"/>
        <v>0.89279999999999993</v>
      </c>
      <c r="AC9" s="569">
        <f t="shared" si="15"/>
        <v>0.31885714285714284</v>
      </c>
      <c r="AD9" s="569">
        <f t="shared" si="16"/>
        <v>0.66959999999999997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19.395806451612902</v>
      </c>
      <c r="CS9" s="584">
        <f t="shared" ca="1" si="1"/>
        <v>12.36958525345622</v>
      </c>
      <c r="CT9" s="510"/>
      <c r="CU9" s="584">
        <f t="shared" ca="1" si="2"/>
        <v>552.45806451612896</v>
      </c>
      <c r="CV9" s="584">
        <f t="shared" ca="1" si="3"/>
        <v>32.235023041474655</v>
      </c>
      <c r="CW9" s="584">
        <f t="shared" ca="1" si="4"/>
        <v>440.38799999999992</v>
      </c>
      <c r="CX9" s="584">
        <f t="shared" ca="1" si="5"/>
        <v>28.779428571428568</v>
      </c>
      <c r="CY9" s="584">
        <f t="shared" ca="1" si="6"/>
        <v>176.15519999999998</v>
      </c>
      <c r="CZ9" s="584">
        <f t="shared" ca="1" si="7"/>
        <v>21.584571428571429</v>
      </c>
      <c r="DA9" s="691">
        <f t="shared" ca="1" si="8"/>
        <v>666.90719999999988</v>
      </c>
      <c r="DB9" s="539"/>
      <c r="DC9" s="569">
        <f t="shared" ca="1" si="9"/>
        <v>0.66034374797573037</v>
      </c>
      <c r="DD9" s="569">
        <f t="shared" ca="1" si="10"/>
        <v>4.3153573047987143E-2</v>
      </c>
      <c r="DE9" s="569">
        <f t="shared" ca="1" si="11"/>
        <v>0.26413749919029217</v>
      </c>
      <c r="DF9" s="569">
        <f t="shared" ca="1" si="12"/>
        <v>3.2365179785990364E-2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24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0.77142857142857146</v>
      </c>
      <c r="AB10" s="569">
        <f t="shared" si="14"/>
        <v>0.86399999999999999</v>
      </c>
      <c r="AC10" s="569">
        <f t="shared" si="15"/>
        <v>0.30857142857142855</v>
      </c>
      <c r="AD10" s="569">
        <f t="shared" si="16"/>
        <v>0.64800000000000002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24.256333333333334</v>
      </c>
      <c r="CS10" s="584">
        <f t="shared" ca="1" si="1"/>
        <v>18.862619047619042</v>
      </c>
      <c r="CT10" s="510"/>
      <c r="CU10" s="584">
        <f t="shared" ca="1" si="2"/>
        <v>569.6099999999999</v>
      </c>
      <c r="CV10" s="584">
        <f t="shared" ca="1" si="3"/>
        <v>42.671428571428571</v>
      </c>
      <c r="CW10" s="584">
        <f t="shared" ca="1" si="4"/>
        <v>439.41342857142854</v>
      </c>
      <c r="CX10" s="584">
        <f t="shared" ca="1" si="5"/>
        <v>36.868114285714285</v>
      </c>
      <c r="CY10" s="584">
        <f t="shared" ca="1" si="6"/>
        <v>175.7653714285714</v>
      </c>
      <c r="CZ10" s="584">
        <f t="shared" ca="1" si="7"/>
        <v>27.651085714285713</v>
      </c>
      <c r="DA10" s="691">
        <f t="shared" ca="1" si="8"/>
        <v>679.69799999999998</v>
      </c>
      <c r="DB10" s="539"/>
      <c r="DC10" s="569">
        <f t="shared" ca="1" si="9"/>
        <v>0.64648333314417372</v>
      </c>
      <c r="DD10" s="569">
        <f t="shared" ca="1" si="10"/>
        <v>5.4241904913232476E-2</v>
      </c>
      <c r="DE10" s="569">
        <f t="shared" ca="1" si="11"/>
        <v>0.25859333325766942</v>
      </c>
      <c r="DF10" s="569">
        <f t="shared" ca="1" si="12"/>
        <v>4.0681428684924352E-2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207.58333333333334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0.79714285714285715</v>
      </c>
      <c r="AB11" s="569">
        <f t="shared" si="14"/>
        <v>0.89279999999999993</v>
      </c>
      <c r="AC11" s="569">
        <f t="shared" si="15"/>
        <v>0.31885714285714284</v>
      </c>
      <c r="AD11" s="569">
        <f t="shared" si="16"/>
        <v>0.66959999999999997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27.045806451612901</v>
      </c>
      <c r="CS11" s="584">
        <f t="shared" ca="1" si="1"/>
        <v>22.046543778801841</v>
      </c>
      <c r="CT11" s="510"/>
      <c r="CU11" s="584">
        <f t="shared" ca="1" si="2"/>
        <v>566.37741935483859</v>
      </c>
      <c r="CV11" s="584">
        <f t="shared" ca="1" si="3"/>
        <v>36.642857142857146</v>
      </c>
      <c r="CW11" s="584">
        <f t="shared" ca="1" si="4"/>
        <v>451.4837142857142</v>
      </c>
      <c r="CX11" s="584">
        <f t="shared" ca="1" si="5"/>
        <v>32.714742857142859</v>
      </c>
      <c r="CY11" s="584">
        <f t="shared" ca="1" si="6"/>
        <v>180.59348571428566</v>
      </c>
      <c r="CZ11" s="584">
        <f t="shared" ca="1" si="7"/>
        <v>24.536057142857143</v>
      </c>
      <c r="DA11" s="691">
        <f t="shared" ca="1" si="8"/>
        <v>689.32799999999986</v>
      </c>
      <c r="DB11" s="539"/>
      <c r="DC11" s="569">
        <f t="shared" ca="1" si="9"/>
        <v>0.65496209973439967</v>
      </c>
      <c r="DD11" s="569">
        <f t="shared" ca="1" si="10"/>
        <v>4.7458891641051673E-2</v>
      </c>
      <c r="DE11" s="569">
        <f t="shared" ca="1" si="11"/>
        <v>0.26198483989375987</v>
      </c>
      <c r="DF11" s="569">
        <f t="shared" ca="1" si="12"/>
        <v>3.5594168730788751E-2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0.79714285714285715</v>
      </c>
      <c r="AB12" s="569">
        <f t="shared" si="14"/>
        <v>0.89279999999999993</v>
      </c>
      <c r="AC12" s="569">
        <f t="shared" si="15"/>
        <v>0.31885714285714284</v>
      </c>
      <c r="AD12" s="569">
        <f t="shared" si="16"/>
        <v>0.66959999999999997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24.696774193548386</v>
      </c>
      <c r="CS12" s="584">
        <f t="shared" ca="1" si="1"/>
        <v>19.697235023041479</v>
      </c>
      <c r="CT12" s="510"/>
      <c r="CU12" s="584">
        <f t="shared" ca="1" si="2"/>
        <v>484.89677419354837</v>
      </c>
      <c r="CV12" s="584">
        <f t="shared" ca="1" si="3"/>
        <v>22.317972350230413</v>
      </c>
      <c r="CW12" s="584">
        <f t="shared" ca="1" si="4"/>
        <v>386.53199999999998</v>
      </c>
      <c r="CX12" s="584">
        <f t="shared" ca="1" si="5"/>
        <v>19.92548571428571</v>
      </c>
      <c r="CY12" s="584">
        <f t="shared" ca="1" si="6"/>
        <v>154.61279999999999</v>
      </c>
      <c r="CZ12" s="584">
        <f t="shared" ca="1" si="7"/>
        <v>14.944114285714283</v>
      </c>
      <c r="DA12" s="691">
        <f t="shared" ca="1" si="8"/>
        <v>576.01439999999991</v>
      </c>
      <c r="DB12" s="539"/>
      <c r="DC12" s="569">
        <f t="shared" ca="1" si="9"/>
        <v>0.67104572385690364</v>
      </c>
      <c r="DD12" s="569">
        <f t="shared" ca="1" si="10"/>
        <v>3.4591992343048564E-2</v>
      </c>
      <c r="DE12" s="569">
        <f t="shared" ca="1" si="11"/>
        <v>0.26841828954276148</v>
      </c>
      <c r="DF12" s="569">
        <f t="shared" ca="1" si="12"/>
        <v>2.5943994257286426E-2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0.77142857142857146</v>
      </c>
      <c r="AB13" s="569">
        <f t="shared" si="14"/>
        <v>0.86399999999999999</v>
      </c>
      <c r="AC13" s="569">
        <f t="shared" si="15"/>
        <v>0.30857142857142855</v>
      </c>
      <c r="AD13" s="569">
        <f t="shared" si="16"/>
        <v>0.64800000000000002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21.40666666666667</v>
      </c>
      <c r="CS13" s="584">
        <f t="shared" ca="1" si="1"/>
        <v>15.810238095238095</v>
      </c>
      <c r="CT13" s="510"/>
      <c r="CU13" s="584">
        <f t="shared" ca="1" si="2"/>
        <v>405.19333333333333</v>
      </c>
      <c r="CV13" s="584">
        <f t="shared" ca="1" si="3"/>
        <v>10.050000000000001</v>
      </c>
      <c r="CW13" s="584">
        <f t="shared" ca="1" si="4"/>
        <v>312.57771428571431</v>
      </c>
      <c r="CX13" s="584">
        <f t="shared" ca="1" si="5"/>
        <v>8.6832000000000011</v>
      </c>
      <c r="CY13" s="584">
        <f t="shared" ca="1" si="6"/>
        <v>125.03108571428571</v>
      </c>
      <c r="CZ13" s="584">
        <f t="shared" ca="1" si="7"/>
        <v>6.5124000000000004</v>
      </c>
      <c r="DA13" s="691">
        <f t="shared" ca="1" si="8"/>
        <v>452.80440000000004</v>
      </c>
      <c r="DB13" s="539"/>
      <c r="DC13" s="569">
        <f t="shared" ca="1" si="9"/>
        <v>0.69031509915918277</v>
      </c>
      <c r="DD13" s="569">
        <f t="shared" ca="1" si="10"/>
        <v>1.9176492101225167E-2</v>
      </c>
      <c r="DE13" s="569">
        <f t="shared" ca="1" si="11"/>
        <v>0.27612603966367311</v>
      </c>
      <c r="DF13" s="569">
        <f t="shared" ca="1" si="12"/>
        <v>1.4382369075918873E-2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0.79714285714285715</v>
      </c>
      <c r="AB14" s="569">
        <f t="shared" si="14"/>
        <v>0.89279999999999993</v>
      </c>
      <c r="AC14" s="569">
        <f t="shared" si="15"/>
        <v>0.31885714285714284</v>
      </c>
      <c r="AD14" s="569">
        <f t="shared" si="16"/>
        <v>0.66959999999999997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13.800322580645162</v>
      </c>
      <c r="CS14" s="584">
        <f t="shared" ca="1" si="1"/>
        <v>8.9709677419354854</v>
      </c>
      <c r="CT14" s="510"/>
      <c r="CU14" s="584">
        <f t="shared" ca="1" si="2"/>
        <v>290.3741935483871</v>
      </c>
      <c r="CV14" s="584">
        <f t="shared" ca="1" si="3"/>
        <v>2.6751152073732718</v>
      </c>
      <c r="CW14" s="584">
        <f t="shared" ca="1" si="4"/>
        <v>231.46971428571428</v>
      </c>
      <c r="CX14" s="584">
        <f t="shared" ca="1" si="5"/>
        <v>2.3883428571428569</v>
      </c>
      <c r="CY14" s="584">
        <f t="shared" ca="1" si="6"/>
        <v>92.587885714285704</v>
      </c>
      <c r="CZ14" s="584">
        <f t="shared" ca="1" si="7"/>
        <v>1.7912571428571427</v>
      </c>
      <c r="DA14" s="691">
        <f t="shared" ca="1" si="8"/>
        <v>328.23719999999997</v>
      </c>
      <c r="DB14" s="539"/>
      <c r="DC14" s="569">
        <f t="shared" ca="1" si="9"/>
        <v>0.70519037539229035</v>
      </c>
      <c r="DD14" s="569">
        <f t="shared" ca="1" si="10"/>
        <v>7.2762711147391496E-3</v>
      </c>
      <c r="DE14" s="569">
        <f t="shared" ca="1" si="11"/>
        <v>0.28207615015691612</v>
      </c>
      <c r="DF14" s="569">
        <f t="shared" ca="1" si="12"/>
        <v>5.4572033360543622E-3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5</v>
      </c>
      <c r="F15" s="508">
        <f>E15-1</f>
        <v>4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0.77142857142857146</v>
      </c>
      <c r="AB15" s="569">
        <f t="shared" si="14"/>
        <v>0.86399999999999999</v>
      </c>
      <c r="AC15" s="569">
        <f t="shared" si="15"/>
        <v>0.30857142857142855</v>
      </c>
      <c r="AD15" s="569">
        <f t="shared" si="16"/>
        <v>0.64800000000000002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6.1126666666666658</v>
      </c>
      <c r="CS15" s="584">
        <f t="shared" ca="1" si="1"/>
        <v>3.7583333333333329</v>
      </c>
      <c r="CT15" s="510"/>
      <c r="CU15" s="584">
        <f t="shared" ca="1" si="2"/>
        <v>181.39</v>
      </c>
      <c r="CV15" s="584">
        <f t="shared" ca="1" si="3"/>
        <v>0.33809523809523812</v>
      </c>
      <c r="CW15" s="584">
        <f t="shared" ca="1" si="4"/>
        <v>139.92942857142856</v>
      </c>
      <c r="CX15" s="584">
        <f t="shared" ca="1" si="5"/>
        <v>0.29211428571428572</v>
      </c>
      <c r="CY15" s="584">
        <f t="shared" ca="1" si="6"/>
        <v>55.971771428571422</v>
      </c>
      <c r="CZ15" s="584">
        <f t="shared" ca="1" si="7"/>
        <v>0.2190857142857143</v>
      </c>
      <c r="DA15" s="691">
        <f t="shared" ca="1" si="8"/>
        <v>196.41239999999999</v>
      </c>
      <c r="DB15" s="539"/>
      <c r="DC15" s="569">
        <f t="shared" ca="1" si="9"/>
        <v>0.71242665214328915</v>
      </c>
      <c r="DD15" s="569">
        <f t="shared" ca="1" si="10"/>
        <v>1.4872497139400858E-3</v>
      </c>
      <c r="DE15" s="569">
        <f t="shared" ca="1" si="11"/>
        <v>0.28497066085731565</v>
      </c>
      <c r="DF15" s="569">
        <f t="shared" ca="1" si="12"/>
        <v>1.1154372854550645E-3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10</v>
      </c>
      <c r="F16" s="511">
        <f>24-E16</f>
        <v>14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0.79714285714285715</v>
      </c>
      <c r="AB16" s="569">
        <f t="shared" si="14"/>
        <v>0.89279999999999993</v>
      </c>
      <c r="AC16" s="569">
        <f t="shared" si="15"/>
        <v>0.31885714285714284</v>
      </c>
      <c r="AD16" s="569">
        <f t="shared" si="16"/>
        <v>0.66959999999999997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-2.2890322580645157</v>
      </c>
      <c r="CS16" s="584">
        <f t="shared" ca="1" si="1"/>
        <v>-4.6660138248847929</v>
      </c>
      <c r="CT16" s="510"/>
      <c r="CU16" s="584">
        <f t="shared" ca="1" si="2"/>
        <v>150.39999999999998</v>
      </c>
      <c r="CV16" s="584">
        <f t="shared" ca="1" si="3"/>
        <v>0</v>
      </c>
      <c r="CW16" s="584">
        <f t="shared" ca="1" si="4"/>
        <v>119.8902857142857</v>
      </c>
      <c r="CX16" s="584">
        <f t="shared" ca="1" si="5"/>
        <v>0</v>
      </c>
      <c r="CY16" s="584">
        <f t="shared" ca="1" si="6"/>
        <v>47.956114285714278</v>
      </c>
      <c r="CZ16" s="584">
        <f t="shared" ca="1" si="7"/>
        <v>0</v>
      </c>
      <c r="DA16" s="691">
        <f t="shared" ca="1" si="8"/>
        <v>167.84639999999996</v>
      </c>
      <c r="DB16" s="539"/>
      <c r="DC16" s="569">
        <f t="shared" ca="1" si="9"/>
        <v>0.7142857142857143</v>
      </c>
      <c r="DD16" s="569">
        <f t="shared" ca="1" si="10"/>
        <v>0</v>
      </c>
      <c r="DE16" s="569">
        <f t="shared" ca="1" si="11"/>
        <v>0.28571428571428575</v>
      </c>
      <c r="DF16" s="569">
        <f t="shared" ca="1" si="12"/>
        <v>0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50</v>
      </c>
      <c r="F17" s="511">
        <f>F16*F15</f>
        <v>56</v>
      </c>
      <c r="G17" s="513">
        <f>(7-E15)*E16</f>
        <v>20</v>
      </c>
      <c r="H17" s="513">
        <f>I17-G17</f>
        <v>42</v>
      </c>
      <c r="I17" s="513">
        <f>D17-E17-F17</f>
        <v>62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0.29761904761904762</v>
      </c>
      <c r="F18" s="517">
        <f>F17/D17</f>
        <v>0.33333333333333331</v>
      </c>
      <c r="G18" s="517">
        <f>G17/D17</f>
        <v>0.11904761904761904</v>
      </c>
      <c r="H18" s="517">
        <f>H17/D17</f>
        <v>0.25</v>
      </c>
      <c r="I18" s="517">
        <f>I17/D17</f>
        <v>0.36904761904761907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1.0416666666666667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1.0033333333333334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7.18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3000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107312.28</v>
      </c>
      <c r="E47" s="536">
        <f>D34*C2</f>
        <v>29892</v>
      </c>
      <c r="F47" s="536">
        <f>D47+E47</f>
        <v>137204.28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9114.1936438356151</v>
      </c>
      <c r="E48" s="536">
        <f t="shared" si="18"/>
        <v>2538.7726027397262</v>
      </c>
      <c r="F48" s="536">
        <f t="shared" ref="F48:F59" si="19">D48+E48</f>
        <v>11652.966246575341</v>
      </c>
      <c r="G48" s="539"/>
      <c r="H48" s="536">
        <f t="shared" ref="H48:H59" si="20">D48*$N$22</f>
        <v>32903.2261510311</v>
      </c>
      <c r="I48" s="536">
        <f t="shared" ref="I48:I59" si="21">E48*$N$22</f>
        <v>9165.2440532120072</v>
      </c>
      <c r="J48" s="750">
        <f t="shared" ref="J48:J59" si="22">H48+I48</f>
        <v>42068.470204243109</v>
      </c>
      <c r="K48" s="548"/>
      <c r="L48" s="555"/>
      <c r="M48" s="539" t="s">
        <v>671</v>
      </c>
      <c r="N48" s="558">
        <f>Inputs!C35</f>
        <v>2607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0.17843978321959053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8232.1749041095882</v>
      </c>
      <c r="E49" s="536">
        <f t="shared" si="18"/>
        <v>2293.0849315068494</v>
      </c>
      <c r="F49" s="536">
        <f t="shared" si="19"/>
        <v>10525.259835616438</v>
      </c>
      <c r="G49" s="539"/>
      <c r="H49" s="536">
        <f t="shared" si="20"/>
        <v>29719.042975124867</v>
      </c>
      <c r="I49" s="536">
        <f t="shared" si="21"/>
        <v>8278.284951288264</v>
      </c>
      <c r="J49" s="750">
        <f t="shared" si="22"/>
        <v>37997.327926413127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0.16117141710156563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9114.1936438356151</v>
      </c>
      <c r="E50" s="536">
        <f t="shared" si="18"/>
        <v>2538.7726027397262</v>
      </c>
      <c r="F50" s="536">
        <f t="shared" si="19"/>
        <v>11652.966246575341</v>
      </c>
      <c r="G50" s="539"/>
      <c r="H50" s="536">
        <f t="shared" si="20"/>
        <v>32903.2261510311</v>
      </c>
      <c r="I50" s="536">
        <f t="shared" si="21"/>
        <v>9165.2440532120072</v>
      </c>
      <c r="J50" s="750">
        <f t="shared" si="22"/>
        <v>42068.470204243109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0.17843978321959053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8820.1873972602734</v>
      </c>
      <c r="E51" s="536">
        <f t="shared" si="18"/>
        <v>2456.8767123287671</v>
      </c>
      <c r="F51" s="536">
        <f t="shared" si="19"/>
        <v>11277.064109589041</v>
      </c>
      <c r="G51" s="539"/>
      <c r="H51" s="536">
        <f t="shared" si="20"/>
        <v>31841.831759062356</v>
      </c>
      <c r="I51" s="536">
        <f t="shared" si="21"/>
        <v>8869.5910192374267</v>
      </c>
      <c r="J51" s="750">
        <f t="shared" si="22"/>
        <v>40711.422778299784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0.17268366118024892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9114.1936438356151</v>
      </c>
      <c r="E52" s="536">
        <f t="shared" si="18"/>
        <v>2538.7726027397262</v>
      </c>
      <c r="F52" s="536">
        <f t="shared" si="19"/>
        <v>11652.966246575341</v>
      </c>
      <c r="G52" s="539"/>
      <c r="H52" s="536">
        <f t="shared" si="20"/>
        <v>32903.2261510311</v>
      </c>
      <c r="I52" s="536">
        <f t="shared" si="21"/>
        <v>9165.2440532120072</v>
      </c>
      <c r="J52" s="750">
        <f t="shared" si="22"/>
        <v>42068.470204243109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0.17843978321959053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8820.1873972602734</v>
      </c>
      <c r="E53" s="536">
        <f t="shared" si="18"/>
        <v>2456.8767123287671</v>
      </c>
      <c r="F53" s="536">
        <f t="shared" si="19"/>
        <v>11277.064109589041</v>
      </c>
      <c r="G53" s="539"/>
      <c r="H53" s="536">
        <f t="shared" si="20"/>
        <v>31841.831759062356</v>
      </c>
      <c r="I53" s="536">
        <f t="shared" si="21"/>
        <v>8869.5910192374267</v>
      </c>
      <c r="J53" s="750">
        <f t="shared" si="22"/>
        <v>40711.422778299784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0.17268366118024892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9114.1936438356151</v>
      </c>
      <c r="E54" s="536">
        <f t="shared" si="18"/>
        <v>2538.7726027397262</v>
      </c>
      <c r="F54" s="536">
        <f t="shared" si="19"/>
        <v>11652.966246575341</v>
      </c>
      <c r="G54" s="539"/>
      <c r="H54" s="536">
        <f t="shared" si="20"/>
        <v>32903.2261510311</v>
      </c>
      <c r="I54" s="536">
        <f t="shared" si="21"/>
        <v>9165.2440532120072</v>
      </c>
      <c r="J54" s="750">
        <f t="shared" si="22"/>
        <v>42068.470204243109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0.17843978321959053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9114.1936438356151</v>
      </c>
      <c r="E55" s="536">
        <f t="shared" si="18"/>
        <v>2538.7726027397262</v>
      </c>
      <c r="F55" s="536">
        <f t="shared" si="19"/>
        <v>11652.966246575341</v>
      </c>
      <c r="G55" s="539"/>
      <c r="H55" s="536">
        <f t="shared" si="20"/>
        <v>32903.2261510311</v>
      </c>
      <c r="I55" s="536">
        <f t="shared" si="21"/>
        <v>9165.2440532120072</v>
      </c>
      <c r="J55" s="750">
        <f t="shared" si="22"/>
        <v>42068.470204243109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0.17843978321959053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8820.1873972602734</v>
      </c>
      <c r="E56" s="536">
        <f t="shared" si="18"/>
        <v>2456.8767123287671</v>
      </c>
      <c r="F56" s="536">
        <f t="shared" si="19"/>
        <v>11277.064109589041</v>
      </c>
      <c r="G56" s="539"/>
      <c r="H56" s="536">
        <f t="shared" si="20"/>
        <v>31841.831759062356</v>
      </c>
      <c r="I56" s="536">
        <f t="shared" si="21"/>
        <v>8869.5910192374267</v>
      </c>
      <c r="J56" s="750">
        <f t="shared" si="22"/>
        <v>40711.422778299784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0.17268366118024892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9114.1936438356151</v>
      </c>
      <c r="E57" s="536">
        <f t="shared" si="18"/>
        <v>2538.7726027397262</v>
      </c>
      <c r="F57" s="536">
        <f t="shared" si="19"/>
        <v>11652.966246575341</v>
      </c>
      <c r="G57" s="539"/>
      <c r="H57" s="536">
        <f t="shared" si="20"/>
        <v>32903.2261510311</v>
      </c>
      <c r="I57" s="536">
        <f t="shared" si="21"/>
        <v>9165.2440532120072</v>
      </c>
      <c r="J57" s="750">
        <f t="shared" si="22"/>
        <v>42068.470204243109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0.17843978321959053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8820.1873972602734</v>
      </c>
      <c r="E58" s="536">
        <f t="shared" si="18"/>
        <v>2456.8767123287671</v>
      </c>
      <c r="F58" s="536">
        <f t="shared" si="19"/>
        <v>11277.064109589041</v>
      </c>
      <c r="G58" s="539"/>
      <c r="H58" s="536">
        <f t="shared" si="20"/>
        <v>31841.831759062356</v>
      </c>
      <c r="I58" s="536">
        <f t="shared" si="21"/>
        <v>8869.5910192374267</v>
      </c>
      <c r="J58" s="750">
        <f t="shared" si="22"/>
        <v>40711.422778299784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0.17268366118024892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9114.1936438356151</v>
      </c>
      <c r="E59" s="536">
        <f t="shared" si="18"/>
        <v>2538.7726027397262</v>
      </c>
      <c r="F59" s="536">
        <f t="shared" si="19"/>
        <v>11652.966246575341</v>
      </c>
      <c r="G59" s="539"/>
      <c r="H59" s="536">
        <f t="shared" si="20"/>
        <v>32903.2261510311</v>
      </c>
      <c r="I59" s="536">
        <f t="shared" si="21"/>
        <v>9165.2440532120072</v>
      </c>
      <c r="J59" s="750">
        <f t="shared" si="22"/>
        <v>42068.470204243109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0.17843978321959053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2.1009845443596951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397.47</v>
      </c>
      <c r="E67" s="558">
        <f>Inputs!D78</f>
        <v>0</v>
      </c>
      <c r="F67" s="558">
        <f>Inputs!E78</f>
        <v>264.99</v>
      </c>
      <c r="G67" s="558">
        <f>Inputs!F78</f>
        <v>0</v>
      </c>
      <c r="H67" s="558">
        <f>Inputs!G78</f>
        <v>397.47</v>
      </c>
      <c r="I67" s="558">
        <f>Inputs!H78</f>
        <v>0</v>
      </c>
      <c r="J67" s="558">
        <f>Inputs!I78</f>
        <v>264.99</v>
      </c>
      <c r="K67" s="558">
        <f>Inputs!J78</f>
        <v>0</v>
      </c>
      <c r="L67" s="558">
        <f>Inputs!K78</f>
        <v>1660.73</v>
      </c>
      <c r="M67" s="342">
        <f>SUM(D67:L67)</f>
        <v>2985.65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195.84</v>
      </c>
      <c r="E68" s="558">
        <f>Inputs!D83</f>
        <v>0</v>
      </c>
      <c r="F68" s="558">
        <f>Inputs!E83</f>
        <v>130.56</v>
      </c>
      <c r="G68" s="558">
        <f>Inputs!F83</f>
        <v>0</v>
      </c>
      <c r="H68" s="558">
        <f>Inputs!G83</f>
        <v>195.84</v>
      </c>
      <c r="I68" s="558">
        <f>Inputs!H83</f>
        <v>0</v>
      </c>
      <c r="J68" s="558">
        <f>Inputs!I83</f>
        <v>130.56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0.36299999999999999</v>
      </c>
      <c r="E73" s="539">
        <f>Inputs!D79</f>
        <v>0.36299999999999999</v>
      </c>
      <c r="F73" s="539">
        <f>Inputs!E79</f>
        <v>0.36299999999999999</v>
      </c>
      <c r="G73" s="539">
        <f>Inputs!F79</f>
        <v>0.36299999999999999</v>
      </c>
      <c r="H73" s="539">
        <f>Inputs!G79</f>
        <v>0.36299999999999999</v>
      </c>
      <c r="I73" s="539">
        <f>Inputs!H79</f>
        <v>0.36299999999999999</v>
      </c>
      <c r="J73" s="539">
        <f>Inputs!I79</f>
        <v>0.36299999999999999</v>
      </c>
      <c r="K73" s="570">
        <f>Inputs!J79</f>
        <v>0.36299999999999999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144.28161</v>
      </c>
      <c r="E78" s="599">
        <f t="shared" si="25"/>
        <v>0</v>
      </c>
      <c r="F78" s="599">
        <f t="shared" si="25"/>
        <v>96.191370000000006</v>
      </c>
      <c r="G78" s="599">
        <f t="shared" si="25"/>
        <v>0</v>
      </c>
      <c r="H78" s="599">
        <f t="shared" si="25"/>
        <v>144.28161</v>
      </c>
      <c r="I78" s="599">
        <f t="shared" si="25"/>
        <v>0</v>
      </c>
      <c r="J78" s="599">
        <f t="shared" si="25"/>
        <v>96.191370000000006</v>
      </c>
      <c r="K78" s="599">
        <f t="shared" si="25"/>
        <v>0</v>
      </c>
      <c r="L78" s="599">
        <f t="shared" si="25"/>
        <v>448.39710000000002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519.56352000000004</v>
      </c>
      <c r="E79" s="599">
        <f t="shared" si="26"/>
        <v>0</v>
      </c>
      <c r="F79" s="599">
        <f t="shared" si="26"/>
        <v>346.37567999999999</v>
      </c>
      <c r="G79" s="599">
        <f t="shared" si="26"/>
        <v>0</v>
      </c>
      <c r="H79" s="599">
        <f t="shared" si="26"/>
        <v>519.56352000000004</v>
      </c>
      <c r="I79" s="599">
        <f t="shared" si="26"/>
        <v>0</v>
      </c>
      <c r="J79" s="599">
        <f t="shared" si="26"/>
        <v>346.37567999999999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663.84513000000004</v>
      </c>
      <c r="E81" s="595">
        <f t="shared" si="27"/>
        <v>0</v>
      </c>
      <c r="F81" s="595">
        <f t="shared" si="27"/>
        <v>442.56704999999999</v>
      </c>
      <c r="G81" s="595">
        <f t="shared" si="27"/>
        <v>0</v>
      </c>
      <c r="H81" s="595">
        <f t="shared" si="27"/>
        <v>663.84513000000004</v>
      </c>
      <c r="I81" s="595">
        <f t="shared" si="27"/>
        <v>0</v>
      </c>
      <c r="J81" s="595">
        <f t="shared" si="27"/>
        <v>442.56704999999999</v>
      </c>
      <c r="K81" s="595">
        <f t="shared" si="27"/>
        <v>0</v>
      </c>
      <c r="L81" s="595">
        <f t="shared" si="27"/>
        <v>448.39710000000002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2661.2214600000002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195.84</v>
      </c>
      <c r="E116" s="631">
        <f>Calcs!E68</f>
        <v>0</v>
      </c>
      <c r="F116" s="631">
        <f>Calcs!F68</f>
        <v>130.56</v>
      </c>
      <c r="G116" s="631">
        <f>Calcs!G68</f>
        <v>0</v>
      </c>
      <c r="H116" s="631">
        <f>Calcs!H68</f>
        <v>195.84</v>
      </c>
      <c r="I116" s="631">
        <f>Calcs!I68</f>
        <v>0</v>
      </c>
      <c r="J116" s="631">
        <f>Calcs!J68</f>
        <v>130.56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397.47</v>
      </c>
      <c r="AC116" s="631">
        <f>Calcs!E67</f>
        <v>0</v>
      </c>
      <c r="AD116" s="631">
        <f>Calcs!F67</f>
        <v>264.99</v>
      </c>
      <c r="AE116" s="631">
        <f>Calcs!G67</f>
        <v>0</v>
      </c>
      <c r="AF116" s="631">
        <f>Calcs!H67</f>
        <v>397.47</v>
      </c>
      <c r="AG116" s="631">
        <f>Calcs!I67</f>
        <v>0</v>
      </c>
      <c r="AH116" s="631">
        <f>Calcs!J67</f>
        <v>264.99</v>
      </c>
      <c r="AI116" s="631">
        <f>Calcs!K67</f>
        <v>0</v>
      </c>
      <c r="AJ116" s="631">
        <f>Calcs!L67</f>
        <v>1660.73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0.36299999999999999</v>
      </c>
      <c r="AC117" s="664">
        <f>Calcs!E73</f>
        <v>0.36299999999999999</v>
      </c>
      <c r="AD117" s="664">
        <f>Calcs!F73</f>
        <v>0.36299999999999999</v>
      </c>
      <c r="AE117" s="664">
        <f>Calcs!G73</f>
        <v>0.36299999999999999</v>
      </c>
      <c r="AF117" s="664">
        <f>Calcs!H73</f>
        <v>0.36299999999999999</v>
      </c>
      <c r="AG117" s="664">
        <f>Calcs!I73</f>
        <v>0.36299999999999999</v>
      </c>
      <c r="AH117" s="664">
        <f>Calcs!J73</f>
        <v>0.36299999999999999</v>
      </c>
      <c r="AI117" s="664">
        <f>Calcs!K73</f>
        <v>0.36299999999999999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56.313792000000007</v>
      </c>
      <c r="E135" s="678">
        <f t="shared" si="38"/>
        <v>0</v>
      </c>
      <c r="F135" s="678">
        <f t="shared" si="38"/>
        <v>37.542528000000004</v>
      </c>
      <c r="G135" s="678">
        <f t="shared" si="38"/>
        <v>0</v>
      </c>
      <c r="H135" s="678">
        <f t="shared" si="38"/>
        <v>56.313792000000007</v>
      </c>
      <c r="I135" s="678">
        <f t="shared" si="38"/>
        <v>0</v>
      </c>
      <c r="J135" s="678">
        <f t="shared" si="38"/>
        <v>37.542528000000004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4.3911794347826092</v>
      </c>
      <c r="AC135" s="669">
        <f t="shared" si="40"/>
        <v>0</v>
      </c>
      <c r="AD135" s="669">
        <f t="shared" si="40"/>
        <v>2.9275634347826083</v>
      </c>
      <c r="AE135" s="669">
        <f t="shared" si="40"/>
        <v>0</v>
      </c>
      <c r="AF135" s="669">
        <f t="shared" si="40"/>
        <v>4.3911794347826092</v>
      </c>
      <c r="AG135" s="669">
        <f t="shared" si="40"/>
        <v>0</v>
      </c>
      <c r="AH135" s="669">
        <f t="shared" si="40"/>
        <v>2.9275634347826083</v>
      </c>
      <c r="AI135" s="669">
        <f t="shared" si="40"/>
        <v>0</v>
      </c>
      <c r="AJ135" s="669">
        <f t="shared" si="40"/>
        <v>13.646868260869566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310.519117173913</v>
      </c>
      <c r="AC140" s="632">
        <f t="shared" si="42"/>
        <v>0</v>
      </c>
      <c r="AD140" s="632">
        <f t="shared" si="42"/>
        <v>207.02055717391303</v>
      </c>
      <c r="AE140" s="632">
        <f t="shared" si="42"/>
        <v>0</v>
      </c>
      <c r="AF140" s="632">
        <f t="shared" si="42"/>
        <v>310.519117173913</v>
      </c>
      <c r="AG140" s="632">
        <f t="shared" si="42"/>
        <v>0</v>
      </c>
      <c r="AH140" s="632">
        <f t="shared" si="42"/>
        <v>207.02055717391303</v>
      </c>
      <c r="AI140" s="632">
        <f t="shared" si="42"/>
        <v>0</v>
      </c>
      <c r="AJ140" s="632">
        <f t="shared" si="42"/>
        <v>965.02854130434787</v>
      </c>
      <c r="AK140" s="649">
        <f>SUM(AB140:AJ140)</f>
        <v>2000.1078899999998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18898.917864558578</v>
      </c>
      <c r="E144" s="632">
        <f ca="1">(E$118*E$119*E$135*Calcs!AJ5)*Calcs!$O5</f>
        <v>0</v>
      </c>
      <c r="F144" s="632">
        <f ca="1">(F$118*F$119*F$135*Calcs!AK5)*Calcs!$O5</f>
        <v>4326.3575292707601</v>
      </c>
      <c r="G144" s="632">
        <f ca="1">(G$118*G$119*G$135*Calcs!AL5)*Calcs!$O5</f>
        <v>0</v>
      </c>
      <c r="H144" s="632">
        <f ca="1">(H$118*H$119*H$135*Calcs!AM5)*Calcs!$O5</f>
        <v>3471.0650290013587</v>
      </c>
      <c r="I144" s="632">
        <f ca="1">(I$118*I$119*I$135*Calcs!AN5)*Calcs!$O5</f>
        <v>0</v>
      </c>
      <c r="J144" s="632">
        <f ca="1">(J$118*J$119*J$135*Calcs!AO5)*Calcs!$O5</f>
        <v>5914.3896595425895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32610.730082373288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1057.8333393903281</v>
      </c>
      <c r="AC144" s="632">
        <f ca="1">(AC$135*Calcs!AJ5-AC$140*AC$122)*Calcs!$O5</f>
        <v>0</v>
      </c>
      <c r="AD144" s="632">
        <f ca="1">(AD$135*Calcs!AK5-AD$140*AD$122)*Calcs!$O5</f>
        <v>60.127095927302392</v>
      </c>
      <c r="AE144" s="632">
        <f ca="1">(AE$135*Calcs!AL5-AE$140*AE$122)*Calcs!$O5</f>
        <v>0</v>
      </c>
      <c r="AF144" s="632">
        <f ca="1">(AF$135*Calcs!AM5-AF$140*AF$122)*Calcs!$O5</f>
        <v>-145.18403323397362</v>
      </c>
      <c r="AG144" s="632">
        <f ca="1">(AG$135*Calcs!AN5-AG$140*AG$122)*Calcs!$O5</f>
        <v>0</v>
      </c>
      <c r="AH144" s="632">
        <f ca="1">(AH$135*Calcs!AO5-AH$140*AH$122)*Calcs!$O5</f>
        <v>183.96171883398938</v>
      </c>
      <c r="AI144" s="632">
        <f ca="1">(AI$135*Calcs!AP5-AI$140*AI$122)*Calcs!$O5</f>
        <v>0</v>
      </c>
      <c r="AJ144" s="632">
        <f ca="1">(AJ$135*Calcs!AQ5-AJ$140*AJ$122)*Calcs!$O5</f>
        <v>105.3894197579109</v>
      </c>
      <c r="AK144" s="682">
        <f t="shared" ref="AK144:AK155" ca="1" si="47">SUM(AB144:AJ144)</f>
        <v>1262.1275406755572</v>
      </c>
      <c r="AL144" s="510"/>
      <c r="AM144" s="685">
        <f t="shared" ref="AM144:AM155" ca="1" si="48">M144+Y144+AK144</f>
        <v>33872.857623048847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19519.577508221762</v>
      </c>
      <c r="E145" s="632">
        <f ca="1">(E$118*E$119*E$135*Calcs!AJ6)*Calcs!$O6</f>
        <v>0</v>
      </c>
      <c r="F145" s="632">
        <f ca="1">(F$118*F$119*F$135*Calcs!AK6)*Calcs!$O6</f>
        <v>5489.4212410338323</v>
      </c>
      <c r="G145" s="632">
        <f ca="1">(G$118*G$119*G$135*Calcs!AL6)*Calcs!$O6</f>
        <v>0</v>
      </c>
      <c r="H145" s="632">
        <f ca="1">(H$118*H$119*H$135*Calcs!AM6)*Calcs!$O6</f>
        <v>4372.9326413625295</v>
      </c>
      <c r="I145" s="632">
        <f ca="1">(I$118*I$119*I$135*Calcs!AN6)*Calcs!$O6</f>
        <v>0</v>
      </c>
      <c r="J145" s="632">
        <f ca="1">(J$118*J$119*J$135*Calcs!AO6)*Calcs!$O6</f>
        <v>7220.3574584480111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36602.288849066135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1146.4737816218662</v>
      </c>
      <c r="AC145" s="632">
        <f ca="1">(AC$135*Calcs!AJ6-AC$140*AC$122)*Calcs!$O6</f>
        <v>0</v>
      </c>
      <c r="AD145" s="632">
        <f ca="1">(AD$135*Calcs!AK6-AD$140*AD$122)*Calcs!$O6</f>
        <v>177.65257858021374</v>
      </c>
      <c r="AE145" s="632">
        <f ca="1">(AE$135*Calcs!AL6-AE$140*AE$122)*Calcs!$O6</f>
        <v>0</v>
      </c>
      <c r="AF145" s="632">
        <f ca="1">(AF$135*Calcs!AM6-AF$140*AF$122)*Calcs!$O6</f>
        <v>-34.615842840074315</v>
      </c>
      <c r="AG145" s="632">
        <f ca="1">(AG$135*Calcs!AN6-AG$140*AG$122)*Calcs!$O6</f>
        <v>0</v>
      </c>
      <c r="AH145" s="632">
        <f ca="1">(AH$135*Calcs!AO6-AH$140*AH$122)*Calcs!$O6</f>
        <v>312.63085116864119</v>
      </c>
      <c r="AI145" s="632">
        <f ca="1">(AI$135*Calcs!AP6-AI$140*AI$122)*Calcs!$O6</f>
        <v>0</v>
      </c>
      <c r="AJ145" s="632">
        <f ca="1">(AJ$135*Calcs!AQ6-AJ$140*AJ$122)*Calcs!$O6</f>
        <v>1095.2758116281739</v>
      </c>
      <c r="AK145" s="682">
        <f t="shared" ca="1" si="47"/>
        <v>2697.4171801588209</v>
      </c>
      <c r="AL145" s="510"/>
      <c r="AM145" s="685">
        <f t="shared" ca="1" si="48"/>
        <v>39299.706029224959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22052.310960568433</v>
      </c>
      <c r="E146" s="632">
        <f ca="1">(E$118*E$119*E$135*Calcs!AJ7)*Calcs!$O7</f>
        <v>0</v>
      </c>
      <c r="F146" s="632">
        <f ca="1">(F$118*F$119*F$135*Calcs!AK7)*Calcs!$O7</f>
        <v>8522.3908123736619</v>
      </c>
      <c r="G146" s="632">
        <f ca="1">(G$118*G$119*G$135*Calcs!AL7)*Calcs!$O7</f>
        <v>0</v>
      </c>
      <c r="H146" s="632">
        <f ca="1">(H$118*H$119*H$135*Calcs!AM7)*Calcs!$O7</f>
        <v>6459.1313549762663</v>
      </c>
      <c r="I146" s="632">
        <f ca="1">(I$118*I$119*I$135*Calcs!AN7)*Calcs!$O7</f>
        <v>0</v>
      </c>
      <c r="J146" s="632">
        <f ca="1">(J$118*J$119*J$135*Calcs!AO7)*Calcs!$O7</f>
        <v>10050.945843530246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47084.778971448606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1303.7254098973885</v>
      </c>
      <c r="AC146" s="632">
        <f ca="1">(AC$135*Calcs!AJ7-AC$140*AC$122)*Calcs!$O7</f>
        <v>0</v>
      </c>
      <c r="AD146" s="632">
        <f ca="1">(AD$135*Calcs!AK7-AD$140*AD$122)*Calcs!$O7</f>
        <v>387.33344736807038</v>
      </c>
      <c r="AE146" s="632">
        <f ca="1">(AE$135*Calcs!AL7-AE$140*AE$122)*Calcs!$O7</f>
        <v>0</v>
      </c>
      <c r="AF146" s="632">
        <f ca="1">(AF$135*Calcs!AM7-AF$140*AF$122)*Calcs!$O7</f>
        <v>87.816355025929766</v>
      </c>
      <c r="AG146" s="632">
        <f ca="1">(AG$135*Calcs!AN7-AG$140*AG$122)*Calcs!$O7</f>
        <v>0</v>
      </c>
      <c r="AH146" s="632">
        <f ca="1">(AH$135*Calcs!AO7-AH$140*AH$122)*Calcs!$O7</f>
        <v>506.53005067797557</v>
      </c>
      <c r="AI146" s="632">
        <f ca="1">(AI$135*Calcs!AP7-AI$140*AI$122)*Calcs!$O7</f>
        <v>0</v>
      </c>
      <c r="AJ146" s="632">
        <f ca="1">(AJ$135*Calcs!AQ7-AJ$140*AJ$122)*Calcs!$O7</f>
        <v>2654.6005114200002</v>
      </c>
      <c r="AK146" s="682">
        <f t="shared" ca="1" si="47"/>
        <v>4940.0057743893649</v>
      </c>
      <c r="AL146" s="510"/>
      <c r="AM146" s="685">
        <f t="shared" ca="1" si="48"/>
        <v>52024.784745837969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18909.186100468225</v>
      </c>
      <c r="E147" s="632">
        <f ca="1">(E$118*E$119*E$135*Calcs!AJ8)*Calcs!$O8</f>
        <v>0</v>
      </c>
      <c r="F147" s="632">
        <f ca="1">(F$118*F$119*F$135*Calcs!AK8)*Calcs!$O8</f>
        <v>10209.027816790098</v>
      </c>
      <c r="G147" s="632">
        <f ca="1">(G$118*G$119*G$135*Calcs!AL8)*Calcs!$O8</f>
        <v>0</v>
      </c>
      <c r="H147" s="632">
        <f ca="1">(H$118*H$119*H$135*Calcs!AM8)*Calcs!$O8</f>
        <v>7900.1539673561529</v>
      </c>
      <c r="I147" s="632">
        <f ca="1">(I$118*I$119*I$135*Calcs!AN8)*Calcs!$O8</f>
        <v>0</v>
      </c>
      <c r="J147" s="632">
        <f ca="1">(J$118*J$119*J$135*Calcs!AO8)*Calcs!$O8</f>
        <v>12129.238025580917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49147.605910195394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1072.0484512788175</v>
      </c>
      <c r="AC147" s="632">
        <f ca="1">(AC$135*Calcs!AJ8-AC$140*AC$122)*Calcs!$O8</f>
        <v>0</v>
      </c>
      <c r="AD147" s="632">
        <f ca="1">(AD$135*Calcs!AK8-AD$140*AD$122)*Calcs!$O8</f>
        <v>527.80055881718761</v>
      </c>
      <c r="AE147" s="632">
        <f ca="1">(AE$135*Calcs!AL8-AE$140*AE$122)*Calcs!$O8</f>
        <v>0</v>
      </c>
      <c r="AF147" s="632">
        <f ca="1">(AF$135*Calcs!AM8-AF$140*AF$122)*Calcs!$O8</f>
        <v>213.59737237113814</v>
      </c>
      <c r="AG147" s="632">
        <f ca="1">(AG$135*Calcs!AN8-AG$140*AG$122)*Calcs!$O8</f>
        <v>0</v>
      </c>
      <c r="AH147" s="632">
        <f ca="1">(AH$135*Calcs!AO8-AH$140*AH$122)*Calcs!$O8</f>
        <v>677.5384026393267</v>
      </c>
      <c r="AI147" s="632">
        <f ca="1">(AI$135*Calcs!AP8-AI$140*AI$122)*Calcs!$O8</f>
        <v>0</v>
      </c>
      <c r="AJ147" s="632">
        <f ca="1">(AJ$135*Calcs!AQ8-AJ$140*AJ$122)*Calcs!$O8</f>
        <v>3974.9911627742617</v>
      </c>
      <c r="AK147" s="682">
        <f t="shared" ca="1" si="47"/>
        <v>6465.9759478807318</v>
      </c>
      <c r="AL147" s="510"/>
      <c r="AM147" s="685">
        <f t="shared" ca="1" si="48"/>
        <v>55613.581858076126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19937.662981445937</v>
      </c>
      <c r="E148" s="632">
        <f ca="1">(E$118*E$119*E$135*Calcs!AJ9)*Calcs!$O9</f>
        <v>0</v>
      </c>
      <c r="F148" s="632">
        <f ca="1">(F$118*F$119*F$135*Calcs!AK9)*Calcs!$O9</f>
        <v>13871.225907133045</v>
      </c>
      <c r="G148" s="632">
        <f ca="1">(G$118*G$119*G$135*Calcs!AL9)*Calcs!$O9</f>
        <v>0</v>
      </c>
      <c r="H148" s="632">
        <f ca="1">(H$118*H$119*H$135*Calcs!AM9)*Calcs!$O9</f>
        <v>11547.688713408081</v>
      </c>
      <c r="I148" s="632">
        <f ca="1">(I$118*I$119*I$135*Calcs!AN9)*Calcs!$O9</f>
        <v>0</v>
      </c>
      <c r="J148" s="632">
        <f ca="1">(J$118*J$119*J$135*Calcs!AO9)*Calcs!$O9</f>
        <v>15972.407093505652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61328.984695492712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1138.8315466369052</v>
      </c>
      <c r="AC148" s="632">
        <f ca="1">(AC$135*Calcs!AJ9-AC$140*AC$122)*Calcs!$O9</f>
        <v>0</v>
      </c>
      <c r="AD148" s="632">
        <f ca="1">(AD$135*Calcs!AK9-AD$140*AD$122)*Calcs!$O9</f>
        <v>804.4351950740197</v>
      </c>
      <c r="AE148" s="632">
        <f ca="1">(AE$135*Calcs!AL9-AE$140*AE$122)*Calcs!$O9</f>
        <v>0</v>
      </c>
      <c r="AF148" s="632">
        <f ca="1">(AF$135*Calcs!AM9-AF$140*AF$122)*Calcs!$O9</f>
        <v>484.60669059874118</v>
      </c>
      <c r="AG148" s="632">
        <f ca="1">(AG$135*Calcs!AN9-AG$140*AG$122)*Calcs!$O9</f>
        <v>0</v>
      </c>
      <c r="AH148" s="632">
        <f ca="1">(AH$135*Calcs!AO9-AH$140*AH$122)*Calcs!$O9</f>
        <v>968.28514175522287</v>
      </c>
      <c r="AI148" s="632">
        <f ca="1">(AI$135*Calcs!AP9-AI$140*AI$122)*Calcs!$O9</f>
        <v>0</v>
      </c>
      <c r="AJ148" s="632">
        <f ca="1">(AJ$135*Calcs!AQ9-AJ$140*AJ$122)*Calcs!$O9</f>
        <v>6516.4622555958258</v>
      </c>
      <c r="AK148" s="682">
        <f t="shared" ca="1" si="47"/>
        <v>9912.6208296607147</v>
      </c>
      <c r="AL148" s="510"/>
      <c r="AM148" s="685">
        <f t="shared" ca="1" si="48"/>
        <v>71241.605525153427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17673.430354890635</v>
      </c>
      <c r="E149" s="632">
        <f ca="1">(E$118*E$119*E$135*Calcs!AJ10)*Calcs!$O10</f>
        <v>0</v>
      </c>
      <c r="F149" s="632">
        <f ca="1">(F$118*F$119*F$135*Calcs!AK10)*Calcs!$O10</f>
        <v>14410.106370556363</v>
      </c>
      <c r="G149" s="632">
        <f ca="1">(G$118*G$119*G$135*Calcs!AL10)*Calcs!$O10</f>
        <v>0</v>
      </c>
      <c r="H149" s="632">
        <f ca="1">(H$118*H$119*H$135*Calcs!AM10)*Calcs!$O10</f>
        <v>12840.33408235481</v>
      </c>
      <c r="I149" s="632">
        <f ca="1">(I$118*I$119*I$135*Calcs!AN10)*Calcs!$O10</f>
        <v>0</v>
      </c>
      <c r="J149" s="632">
        <f ca="1">(J$118*J$119*J$135*Calcs!AO10)*Calcs!$O10</f>
        <v>16032.503014093647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60956.373821895453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975.68795017111813</v>
      </c>
      <c r="AC149" s="632">
        <f ca="1">(AC$135*Calcs!AJ10-AC$140*AC$122)*Calcs!$O10</f>
        <v>0</v>
      </c>
      <c r="AD149" s="632">
        <f ca="1">(AD$135*Calcs!AK10-AD$140*AD$122)*Calcs!$O10</f>
        <v>855.40034007473957</v>
      </c>
      <c r="AE149" s="632">
        <f ca="1">(AE$135*Calcs!AL10-AE$140*AE$122)*Calcs!$O10</f>
        <v>0</v>
      </c>
      <c r="AF149" s="632">
        <f ca="1">(AF$135*Calcs!AM10-AF$140*AF$122)*Calcs!$O10</f>
        <v>598.81769859431415</v>
      </c>
      <c r="AG149" s="632">
        <f ca="1">(AG$135*Calcs!AN10-AG$140*AG$122)*Calcs!$O10</f>
        <v>0</v>
      </c>
      <c r="AH149" s="632">
        <f ca="1">(AH$135*Calcs!AO10-AH$140*AH$122)*Calcs!$O10</f>
        <v>981.91470507258373</v>
      </c>
      <c r="AI149" s="632">
        <f ca="1">(AI$135*Calcs!AP10-AI$140*AI$122)*Calcs!$O10</f>
        <v>0</v>
      </c>
      <c r="AJ149" s="632">
        <f ca="1">(AJ$135*Calcs!AQ10-AJ$140*AJ$122)*Calcs!$O10</f>
        <v>6774.3950841156529</v>
      </c>
      <c r="AK149" s="682">
        <f t="shared" ca="1" si="47"/>
        <v>10186.215778028409</v>
      </c>
      <c r="AL149" s="510"/>
      <c r="AM149" s="685">
        <f t="shared" ca="1" si="48"/>
        <v>71142.589599923856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19627.519572012217</v>
      </c>
      <c r="E150" s="632">
        <f ca="1">(E$118*E$119*E$135*Calcs!AJ11)*Calcs!$O11</f>
        <v>0</v>
      </c>
      <c r="F150" s="632">
        <f ca="1">(F$118*F$119*F$135*Calcs!AK11)*Calcs!$O11</f>
        <v>14149.886684009865</v>
      </c>
      <c r="G150" s="632">
        <f ca="1">(G$118*G$119*G$135*Calcs!AL11)*Calcs!$O11</f>
        <v>0</v>
      </c>
      <c r="H150" s="632">
        <f ca="1">(H$118*H$119*H$135*Calcs!AM11)*Calcs!$O11</f>
        <v>12829.608820698586</v>
      </c>
      <c r="I150" s="632">
        <f ca="1">(I$118*I$119*I$135*Calcs!AN11)*Calcs!$O11</f>
        <v>0</v>
      </c>
      <c r="J150" s="632">
        <f ca="1">(J$118*J$119*J$135*Calcs!AO11)*Calcs!$O11</f>
        <v>16706.77455698359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63313.789633704262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1114.6475001898339</v>
      </c>
      <c r="AC150" s="632">
        <f ca="1">(AC$135*Calcs!AJ11-AC$140*AC$122)*Calcs!$O11</f>
        <v>0</v>
      </c>
      <c r="AD150" s="632">
        <f ca="1">(AD$135*Calcs!AK11-AD$140*AD$122)*Calcs!$O11</f>
        <v>826.16514093948444</v>
      </c>
      <c r="AE150" s="632">
        <f ca="1">(AE$135*Calcs!AL11-AE$140*AE$122)*Calcs!$O11</f>
        <v>0</v>
      </c>
      <c r="AF150" s="632">
        <f ca="1">(AF$135*Calcs!AM11-AF$140*AF$122)*Calcs!$O11</f>
        <v>584.56694921830592</v>
      </c>
      <c r="AG150" s="632">
        <f ca="1">(AG$135*Calcs!AN11-AG$140*AG$122)*Calcs!$O11</f>
        <v>0</v>
      </c>
      <c r="AH150" s="632">
        <f ca="1">(AH$135*Calcs!AO11-AH$140*AH$122)*Calcs!$O11</f>
        <v>1025.5510598567444</v>
      </c>
      <c r="AI150" s="632">
        <f ca="1">(AI$135*Calcs!AP11-AI$140*AI$122)*Calcs!$O11</f>
        <v>0</v>
      </c>
      <c r="AJ150" s="632">
        <f ca="1">(AJ$135*Calcs!AQ11-AJ$140*AJ$122)*Calcs!$O11</f>
        <v>6822.4359594991311</v>
      </c>
      <c r="AK150" s="682">
        <f t="shared" ca="1" si="47"/>
        <v>10373.3666097035</v>
      </c>
      <c r="AL150" s="510"/>
      <c r="AM150" s="685">
        <f t="shared" ca="1" si="48"/>
        <v>73687.156243407764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20527.288018053649</v>
      </c>
      <c r="E151" s="632">
        <f ca="1">(E$118*E$119*E$135*Calcs!AJ12)*Calcs!$O12</f>
        <v>0</v>
      </c>
      <c r="F151" s="632">
        <f ca="1">(F$118*F$119*F$135*Calcs!AK12)*Calcs!$O12</f>
        <v>12442.950652670703</v>
      </c>
      <c r="G151" s="632">
        <f ca="1">(G$118*G$119*G$135*Calcs!AL12)*Calcs!$O12</f>
        <v>0</v>
      </c>
      <c r="H151" s="632">
        <f ca="1">(H$118*H$119*H$135*Calcs!AM12)*Calcs!$O12</f>
        <v>9993.4992092736502</v>
      </c>
      <c r="I151" s="632">
        <f ca="1">(I$118*I$119*I$135*Calcs!AN12)*Calcs!$O12</f>
        <v>0</v>
      </c>
      <c r="J151" s="632">
        <f ca="1">(J$118*J$119*J$135*Calcs!AO12)*Calcs!$O12</f>
        <v>14415.835269754079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57379.573149752076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1184.808726347778</v>
      </c>
      <c r="AC151" s="632">
        <f ca="1">(AC$135*Calcs!AJ12-AC$140*AC$122)*Calcs!$O12</f>
        <v>0</v>
      </c>
      <c r="AD151" s="632">
        <f ca="1">(AD$135*Calcs!AK12-AD$140*AD$122)*Calcs!$O12</f>
        <v>693.05840100813305</v>
      </c>
      <c r="AE151" s="632">
        <f ca="1">(AE$135*Calcs!AL12-AE$140*AE$122)*Calcs!$O12</f>
        <v>0</v>
      </c>
      <c r="AF151" s="632">
        <f ca="1">(AF$135*Calcs!AM12-AF$140*AF$122)*Calcs!$O12</f>
        <v>363.41568665586891</v>
      </c>
      <c r="AG151" s="632">
        <f ca="1">(AG$135*Calcs!AN12-AG$140*AG$122)*Calcs!$O12</f>
        <v>0</v>
      </c>
      <c r="AH151" s="632">
        <f ca="1">(AH$135*Calcs!AO12-AH$140*AH$122)*Calcs!$O12</f>
        <v>846.90379112193659</v>
      </c>
      <c r="AI151" s="632">
        <f ca="1">(AI$135*Calcs!AP12-AI$140*AI$122)*Calcs!$O12</f>
        <v>0</v>
      </c>
      <c r="AJ151" s="632">
        <f ca="1">(AJ$135*Calcs!AQ12-AJ$140*AJ$122)*Calcs!$O12</f>
        <v>5276.06018813426</v>
      </c>
      <c r="AK151" s="682">
        <f t="shared" ca="1" si="47"/>
        <v>8364.2467932679756</v>
      </c>
      <c r="AL151" s="510"/>
      <c r="AM151" s="685">
        <f t="shared" ca="1" si="48"/>
        <v>65743.819943020048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22377.27580239129</v>
      </c>
      <c r="E152" s="632">
        <f ca="1">(E$118*E$119*E$135*Calcs!AJ13)*Calcs!$O13</f>
        <v>0</v>
      </c>
      <c r="F152" s="632">
        <f ca="1">(F$118*F$119*F$135*Calcs!AK13)*Calcs!$O13</f>
        <v>10023.898625558628</v>
      </c>
      <c r="G152" s="632">
        <f ca="1">(G$118*G$119*G$135*Calcs!AL13)*Calcs!$O13</f>
        <v>0</v>
      </c>
      <c r="H152" s="632">
        <f ca="1">(H$118*H$119*H$135*Calcs!AM13)*Calcs!$O13</f>
        <v>6982.1772422089316</v>
      </c>
      <c r="I152" s="632">
        <f ca="1">(I$118*I$119*I$135*Calcs!AN13)*Calcs!$O13</f>
        <v>0</v>
      </c>
      <c r="J152" s="632">
        <f ca="1">(J$118*J$119*J$135*Calcs!AO13)*Calcs!$O13</f>
        <v>11569.911390820345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50953.263060979196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1342.4796127439504</v>
      </c>
      <c r="AC152" s="632">
        <f ca="1">(AC$135*Calcs!AJ13-AC$140*AC$122)*Calcs!$O13</f>
        <v>0</v>
      </c>
      <c r="AD152" s="632">
        <f ca="1">(AD$135*Calcs!AK13-AD$140*AD$122)*Calcs!$O13</f>
        <v>513.36419877877654</v>
      </c>
      <c r="AE152" s="632">
        <f ca="1">(AE$135*Calcs!AL13-AE$140*AE$122)*Calcs!$O13</f>
        <v>0</v>
      </c>
      <c r="AF152" s="632">
        <f ca="1">(AF$135*Calcs!AM13-AF$140*AF$122)*Calcs!$O13</f>
        <v>142.01631959679176</v>
      </c>
      <c r="AG152" s="632">
        <f ca="1">(AG$135*Calcs!AN13-AG$140*AG$122)*Calcs!$O13</f>
        <v>0</v>
      </c>
      <c r="AH152" s="632">
        <f ca="1">(AH$135*Calcs!AO13-AH$140*AH$122)*Calcs!$O13</f>
        <v>633.92215484628889</v>
      </c>
      <c r="AI152" s="632">
        <f ca="1">(AI$135*Calcs!AP13-AI$140*AI$122)*Calcs!$O13</f>
        <v>0</v>
      </c>
      <c r="AJ152" s="632">
        <f ca="1">(AJ$135*Calcs!AQ13-AJ$140*AJ$122)*Calcs!$O13</f>
        <v>3678.0080156812178</v>
      </c>
      <c r="AK152" s="682">
        <f t="shared" ca="1" si="47"/>
        <v>6309.7903016470254</v>
      </c>
      <c r="AL152" s="510"/>
      <c r="AM152" s="685">
        <f t="shared" ca="1" si="48"/>
        <v>57263.053362626219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23087.608679002522</v>
      </c>
      <c r="E153" s="632">
        <f ca="1">(E$118*E$119*E$135*Calcs!AJ14)*Calcs!$O14</f>
        <v>0</v>
      </c>
      <c r="F153" s="632">
        <f ca="1">(F$118*F$119*F$135*Calcs!AK14)*Calcs!$O14</f>
        <v>7458.4340177159565</v>
      </c>
      <c r="G153" s="632">
        <f ca="1">(G$118*G$119*G$135*Calcs!AL14)*Calcs!$O14</f>
        <v>0</v>
      </c>
      <c r="H153" s="632">
        <f ca="1">(H$118*H$119*H$135*Calcs!AM14)*Calcs!$O14</f>
        <v>5211.4923973764735</v>
      </c>
      <c r="I153" s="632">
        <f ca="1">(I$118*I$119*I$135*Calcs!AN14)*Calcs!$O14</f>
        <v>0</v>
      </c>
      <c r="J153" s="632">
        <f ca="1">(J$118*J$119*J$135*Calcs!AO14)*Calcs!$O14</f>
        <v>8826.7078617577117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44584.242955852664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1384.4547994235838</v>
      </c>
      <c r="AC153" s="632">
        <f ca="1">(AC$135*Calcs!AJ14-AC$140*AC$122)*Calcs!$O14</f>
        <v>0</v>
      </c>
      <c r="AD153" s="632">
        <f ca="1">(AD$135*Calcs!AK14-AD$140*AD$122)*Calcs!$O14</f>
        <v>304.36617866873274</v>
      </c>
      <c r="AE153" s="632">
        <f ca="1">(AE$135*Calcs!AL14-AE$140*AE$122)*Calcs!$O14</f>
        <v>0</v>
      </c>
      <c r="AF153" s="632">
        <f ca="1">(AF$135*Calcs!AM14-AF$140*AF$122)*Calcs!$O14</f>
        <v>-9.4707630684407995</v>
      </c>
      <c r="AG153" s="632">
        <f ca="1">(AG$135*Calcs!AN14-AG$140*AG$122)*Calcs!$O14</f>
        <v>0</v>
      </c>
      <c r="AH153" s="632">
        <f ca="1">(AH$135*Calcs!AO14-AH$140*AH$122)*Calcs!$O14</f>
        <v>411.06406738272887</v>
      </c>
      <c r="AI153" s="632">
        <f ca="1">(AI$135*Calcs!AP14-AI$140*AI$122)*Calcs!$O14</f>
        <v>0</v>
      </c>
      <c r="AJ153" s="632">
        <f ca="1">(AJ$135*Calcs!AQ14-AJ$140*AJ$122)*Calcs!$O14</f>
        <v>1894.6773816871303</v>
      </c>
      <c r="AK153" s="682">
        <f t="shared" ca="1" si="47"/>
        <v>3985.0916640937348</v>
      </c>
      <c r="AL153" s="510"/>
      <c r="AM153" s="685">
        <f t="shared" ca="1" si="48"/>
        <v>48569.334619946399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16771.802373914994</v>
      </c>
      <c r="E154" s="632">
        <f ca="1">(E$118*E$119*E$135*Calcs!AJ15)*Calcs!$O15</f>
        <v>0</v>
      </c>
      <c r="F154" s="632">
        <f ca="1">(F$118*F$119*F$135*Calcs!AK15)*Calcs!$O15</f>
        <v>4403.4403499394821</v>
      </c>
      <c r="G154" s="632">
        <f ca="1">(G$118*G$119*G$135*Calcs!AL15)*Calcs!$O15</f>
        <v>0</v>
      </c>
      <c r="H154" s="632">
        <f ca="1">(H$118*H$119*H$135*Calcs!AM15)*Calcs!$O15</f>
        <v>3739.8094372756045</v>
      </c>
      <c r="I154" s="632">
        <f ca="1">(I$118*I$119*I$135*Calcs!AN15)*Calcs!$O15</f>
        <v>0</v>
      </c>
      <c r="J154" s="632">
        <f ca="1">(J$118*J$119*J$135*Calcs!AO15)*Calcs!$O15</f>
        <v>5423.8102935029365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30338.862454633017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905.38172309472441</v>
      </c>
      <c r="AC154" s="632">
        <f ca="1">(AC$135*Calcs!AJ15-AC$140*AC$122)*Calcs!$O15</f>
        <v>0</v>
      </c>
      <c r="AD154" s="632">
        <f ca="1">(AD$135*Calcs!AK15-AD$140*AD$122)*Calcs!$O15</f>
        <v>75.081296401400238</v>
      </c>
      <c r="AE154" s="632">
        <f ca="1">(AE$135*Calcs!AL15-AE$140*AE$122)*Calcs!$O15</f>
        <v>0</v>
      </c>
      <c r="AF154" s="632">
        <f ca="1">(AF$135*Calcs!AM15-AF$140*AF$122)*Calcs!$O15</f>
        <v>-110.81373001209363</v>
      </c>
      <c r="AG154" s="632">
        <f ca="1">(AG$135*Calcs!AN15-AG$140*AG$122)*Calcs!$O15</f>
        <v>0</v>
      </c>
      <c r="AH154" s="632">
        <f ca="1">(AH$135*Calcs!AO15-AH$140*AH$122)*Calcs!$O15</f>
        <v>154.64966581774763</v>
      </c>
      <c r="AI154" s="632">
        <f ca="1">(AI$135*Calcs!AP15-AI$140*AI$122)*Calcs!$O15</f>
        <v>0</v>
      </c>
      <c r="AJ154" s="632">
        <f ca="1">(AJ$135*Calcs!AQ15-AJ$140*AJ$122)*Calcs!$O15</f>
        <v>179.06016854034758</v>
      </c>
      <c r="AK154" s="682">
        <f t="shared" ca="1" si="47"/>
        <v>1203.3591238421263</v>
      </c>
      <c r="AL154" s="510"/>
      <c r="AM154" s="685">
        <f t="shared" ca="1" si="48"/>
        <v>31542.221578475142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17474.698379660105</v>
      </c>
      <c r="E155" s="632">
        <f ca="1">(E$118*E$119*E$135*Calcs!AJ16)*Calcs!$O16</f>
        <v>0</v>
      </c>
      <c r="F155" s="632">
        <f ca="1">(F$118*F$119*F$135*Calcs!AK16)*Calcs!$O16</f>
        <v>3928.7129700679438</v>
      </c>
      <c r="G155" s="632">
        <f ca="1">(G$118*G$119*G$135*Calcs!AL16)*Calcs!$O16</f>
        <v>0</v>
      </c>
      <c r="H155" s="632">
        <f ca="1">(H$118*H$119*H$135*Calcs!AM16)*Calcs!$O16</f>
        <v>2906.470377843616</v>
      </c>
      <c r="I155" s="632">
        <f ca="1">(I$118*I$119*I$135*Calcs!AN16)*Calcs!$O16</f>
        <v>0</v>
      </c>
      <c r="J155" s="632">
        <f ca="1">(J$118*J$119*J$135*Calcs!AO16)*Calcs!$O16</f>
        <v>4936.8286222057041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29246.710349777368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946.77700504326685</v>
      </c>
      <c r="AC155" s="632">
        <f ca="1">(AC$135*Calcs!AJ16-AC$140*AC$122)*Calcs!$O16</f>
        <v>0</v>
      </c>
      <c r="AD155" s="632">
        <f ca="1">(AD$135*Calcs!AK16-AD$140*AD$122)*Calcs!$O16</f>
        <v>29.118803902790557</v>
      </c>
      <c r="AE155" s="632">
        <f ca="1">(AE$135*Calcs!AL16-AE$140*AE$122)*Calcs!$O16</f>
        <v>0</v>
      </c>
      <c r="AF155" s="632">
        <f ca="1">(AF$135*Calcs!AM16-AF$140*AF$122)*Calcs!$O16</f>
        <v>-189.20941907821123</v>
      </c>
      <c r="AG155" s="632">
        <f ca="1">(AG$135*Calcs!AN16-AG$140*AG$122)*Calcs!$O16</f>
        <v>0</v>
      </c>
      <c r="AH155" s="632">
        <f ca="1">(AH$135*Calcs!AO16-AH$140*AH$122)*Calcs!$O16</f>
        <v>107.73158461991564</v>
      </c>
      <c r="AI155" s="632">
        <f ca="1">(AI$135*Calcs!AP16-AI$140*AI$122)*Calcs!$O16</f>
        <v>0</v>
      </c>
      <c r="AJ155" s="632">
        <f ca="1">(AJ$135*Calcs!AQ16-AJ$140*AJ$122)*Calcs!$O16</f>
        <v>-297.22933711983956</v>
      </c>
      <c r="AK155" s="682">
        <f t="shared" ca="1" si="47"/>
        <v>597.1886373679223</v>
      </c>
      <c r="AL155" s="510"/>
      <c r="AM155" s="685">
        <f t="shared" ca="1" si="48"/>
        <v>29843.89898714529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236857.27859518837</v>
      </c>
      <c r="E156" s="672">
        <f t="shared" ca="1" si="49"/>
        <v>0</v>
      </c>
      <c r="F156" s="672">
        <f t="shared" ca="1" si="49"/>
        <v>109235.85297712036</v>
      </c>
      <c r="G156" s="672">
        <f t="shared" ca="1" si="49"/>
        <v>0</v>
      </c>
      <c r="H156" s="672">
        <f t="shared" ca="1" si="49"/>
        <v>88254.363273136056</v>
      </c>
      <c r="I156" s="672">
        <f t="shared" ca="1" si="49"/>
        <v>0</v>
      </c>
      <c r="J156" s="672">
        <f t="shared" ca="1" si="49"/>
        <v>129199.70908972541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563547.2039351702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13573.149845839558</v>
      </c>
      <c r="AC156" s="677">
        <f t="shared" ca="1" si="51"/>
        <v>0</v>
      </c>
      <c r="AD156" s="677">
        <f t="shared" ca="1" si="51"/>
        <v>5253.9032355408508</v>
      </c>
      <c r="AE156" s="677">
        <f t="shared" ca="1" si="51"/>
        <v>0</v>
      </c>
      <c r="AF156" s="677">
        <f t="shared" ca="1" si="51"/>
        <v>1985.5432838282964</v>
      </c>
      <c r="AG156" s="677">
        <f t="shared" ca="1" si="51"/>
        <v>0</v>
      </c>
      <c r="AH156" s="677">
        <f t="shared" ca="1" si="51"/>
        <v>6810.683193793102</v>
      </c>
      <c r="AI156" s="677">
        <f t="shared" ca="1" si="51"/>
        <v>0</v>
      </c>
      <c r="AJ156" s="677">
        <f t="shared" ca="1" si="51"/>
        <v>38674.126621714073</v>
      </c>
      <c r="AK156" s="677">
        <f t="shared" ca="1" si="51"/>
        <v>66297.406180715872</v>
      </c>
      <c r="AL156" s="645"/>
      <c r="AM156" s="683">
        <f ca="1">SUM(AM144:AM155)</f>
        <v>629844.61011588597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5</v>
      </c>
      <c r="E175" s="569">
        <f>Inputs!C18/PeoDUnocc</f>
        <v>0.34914169333721268</v>
      </c>
      <c r="F175" s="569">
        <f>D175*$E$18+E175*(1-$E$18)</f>
        <v>1.7333257131773281</v>
      </c>
      <c r="G175" s="569">
        <f t="shared" ref="G175:I177" si="53">$D175*$F$19</f>
        <v>0.55554999999999999</v>
      </c>
      <c r="H175" s="569">
        <f t="shared" si="53"/>
        <v>0.55554999999999999</v>
      </c>
      <c r="I175" s="569">
        <f t="shared" si="53"/>
        <v>0.55554999999999999</v>
      </c>
      <c r="J175" s="633" t="s">
        <v>516</v>
      </c>
      <c r="K175" s="740">
        <f>Calcs!F175*Calcs!C2</f>
        <v>8635.4287030494488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6.06</v>
      </c>
      <c r="E176" s="569">
        <f>Inputs!C28+Inputs!C30</f>
        <v>2.04</v>
      </c>
      <c r="F176" s="569">
        <f>D176*$E$18+E176*(1-$E$18)</f>
        <v>3.2364285714285712</v>
      </c>
      <c r="G176" s="569">
        <f t="shared" si="53"/>
        <v>0.6733266</v>
      </c>
      <c r="H176" s="569">
        <f t="shared" si="53"/>
        <v>0.6733266</v>
      </c>
      <c r="I176" s="569">
        <f t="shared" si="53"/>
        <v>0.6733266</v>
      </c>
      <c r="J176" s="633" t="s">
        <v>517</v>
      </c>
      <c r="K176" s="741">
        <f>Calcs!F176*Calcs!C2</f>
        <v>16123.887142857142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8.3688192381364352</v>
      </c>
      <c r="E177" s="510"/>
      <c r="F177" s="602">
        <f>F47/C2/8760*1000</f>
        <v>3.1438356164383561</v>
      </c>
      <c r="G177" s="569">
        <f t="shared" si="53"/>
        <v>0.92985950554933927</v>
      </c>
      <c r="H177" s="569">
        <f t="shared" si="53"/>
        <v>0.92985950554933927</v>
      </c>
      <c r="I177" s="569">
        <f t="shared" si="53"/>
        <v>0.92985950554933927</v>
      </c>
      <c r="J177" s="633" t="s">
        <v>518</v>
      </c>
      <c r="K177" s="740">
        <f>Calcs!F177*Calcs!C2</f>
        <v>15662.589041095889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19.428819238136434</v>
      </c>
      <c r="E178" s="509"/>
      <c r="F178" s="687">
        <f>SUM(D175:D177)</f>
        <v>19.428819238136434</v>
      </c>
      <c r="G178" s="687">
        <f>SUM(G175:G177)</f>
        <v>2.1587361055493393</v>
      </c>
      <c r="H178" s="687">
        <f>SUM(H175:H177)</f>
        <v>2.1587361055493393</v>
      </c>
      <c r="I178" s="687">
        <f>SUM(I175:I177)</f>
        <v>2.1587361055493393</v>
      </c>
      <c r="J178" s="633" t="s">
        <v>519</v>
      </c>
      <c r="K178" s="740">
        <f>SUM(K175:K177)</f>
        <v>40421.904887002478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9601.90622246163</v>
      </c>
      <c r="D188" s="599">
        <f>$C$2*H$178*AC5</f>
        <v>3429.2522223077249</v>
      </c>
      <c r="E188" s="599">
        <f>$C$2*I$178*AD5</f>
        <v>7201.4296668462221</v>
      </c>
      <c r="F188" s="510"/>
      <c r="G188" s="688">
        <f t="shared" ref="G188:G199" ca="1" si="54">$AM144*DD5</f>
        <v>0</v>
      </c>
      <c r="H188" s="688">
        <f t="shared" ref="H188:H199" ca="1" si="55">$AM144*DE5</f>
        <v>9677.9593208710994</v>
      </c>
      <c r="I188" s="688">
        <f t="shared" ref="I188:I199" ca="1" si="56">$AM144*DF5</f>
        <v>0</v>
      </c>
      <c r="J188" s="510"/>
      <c r="K188" s="599">
        <f t="shared" ref="K188:K199" ca="1" si="57">(C188+G188)/AB5</f>
        <v>10754.823277846808</v>
      </c>
      <c r="L188" s="599">
        <f t="shared" ref="L188:L199" ca="1" si="58">IF(AC5=0,0,(D188+H188)/AC5)</f>
        <v>41106.846237568003</v>
      </c>
      <c r="M188" s="599">
        <f t="shared" ref="M188:M199" ca="1" si="59">(E188+I188)/AD5</f>
        <v>10754.823277846808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8672.6894912556654</v>
      </c>
      <c r="D189" s="599">
        <f t="shared" ref="D189:D199" si="61">$C$2*H$178*AC6</f>
        <v>3097.3891040198805</v>
      </c>
      <c r="E189" s="599">
        <f t="shared" ref="E189:E199" si="62">$C$2*I$178*AD6</f>
        <v>6504.5171184417495</v>
      </c>
      <c r="F189" s="510"/>
      <c r="G189" s="688">
        <f t="shared" ca="1" si="54"/>
        <v>96.178925248216785</v>
      </c>
      <c r="H189" s="688">
        <f t="shared" ca="1" si="55"/>
        <v>11180.397974297306</v>
      </c>
      <c r="I189" s="688">
        <f t="shared" ca="1" si="56"/>
        <v>72.134193936162589</v>
      </c>
      <c r="J189" s="510"/>
      <c r="K189" s="599">
        <f t="shared" ca="1" si="57"/>
        <v>10874.092778402633</v>
      </c>
      <c r="L189" s="599">
        <f t="shared" ca="1" si="58"/>
        <v>49575.649577490229</v>
      </c>
      <c r="M189" s="599">
        <f t="shared" ca="1" si="59"/>
        <v>10874.092778402633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9601.90622246163</v>
      </c>
      <c r="D190" s="599">
        <f t="shared" si="61"/>
        <v>3429.2522223077249</v>
      </c>
      <c r="E190" s="599">
        <f t="shared" si="62"/>
        <v>7201.4296668462221</v>
      </c>
      <c r="F190" s="510"/>
      <c r="G190" s="688">
        <f t="shared" ca="1" si="54"/>
        <v>570.62341345977143</v>
      </c>
      <c r="H190" s="688">
        <f t="shared" ca="1" si="55"/>
        <v>14578.912506366676</v>
      </c>
      <c r="I190" s="688">
        <f t="shared" ca="1" si="56"/>
        <v>427.96756009482863</v>
      </c>
      <c r="J190" s="510"/>
      <c r="K190" s="599">
        <f t="shared" ca="1" si="57"/>
        <v>11393.962405825943</v>
      </c>
      <c r="L190" s="599">
        <f t="shared" ca="1" si="58"/>
        <v>56477.219131147322</v>
      </c>
      <c r="M190" s="599">
        <f t="shared" ca="1" si="59"/>
        <v>11393.962405825941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9292.1673120596424</v>
      </c>
      <c r="D191" s="599">
        <f t="shared" si="61"/>
        <v>3318.6311828784433</v>
      </c>
      <c r="E191" s="599">
        <f t="shared" si="62"/>
        <v>6969.1254840447318</v>
      </c>
      <c r="F191" s="510"/>
      <c r="G191" s="688">
        <f t="shared" ca="1" si="54"/>
        <v>1762.9658771353606</v>
      </c>
      <c r="H191" s="688">
        <f t="shared" ca="1" si="55"/>
        <v>15008.111878025496</v>
      </c>
      <c r="I191" s="688">
        <f t="shared" ca="1" si="56"/>
        <v>1322.2244078515207</v>
      </c>
      <c r="J191" s="510"/>
      <c r="K191" s="599">
        <f t="shared" ca="1" si="57"/>
        <v>12795.293043049773</v>
      </c>
      <c r="L191" s="599">
        <f t="shared" ca="1" si="58"/>
        <v>59392.222882559072</v>
      </c>
      <c r="M191" s="599">
        <f t="shared" ca="1" si="59"/>
        <v>12795.293043049771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9601.90622246163</v>
      </c>
      <c r="D192" s="599">
        <f t="shared" si="61"/>
        <v>3429.2522223077249</v>
      </c>
      <c r="E192" s="599">
        <f t="shared" si="62"/>
        <v>7201.4296668462221</v>
      </c>
      <c r="F192" s="510"/>
      <c r="G192" s="688">
        <f t="shared" ca="1" si="54"/>
        <v>3074.3298280855929</v>
      </c>
      <c r="H192" s="688">
        <f t="shared" ca="1" si="55"/>
        <v>18817.579521715328</v>
      </c>
      <c r="I192" s="688">
        <f t="shared" ca="1" si="56"/>
        <v>2305.7473710641952</v>
      </c>
      <c r="J192" s="510"/>
      <c r="K192" s="599">
        <f t="shared" ca="1" si="57"/>
        <v>14198.293067369203</v>
      </c>
      <c r="L192" s="599">
        <f t="shared" ca="1" si="58"/>
        <v>69770.529663154739</v>
      </c>
      <c r="M192" s="599">
        <f t="shared" ca="1" si="59"/>
        <v>14198.293067369201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9292.1673120596424</v>
      </c>
      <c r="D193" s="599">
        <f t="shared" si="61"/>
        <v>3318.6311828784433</v>
      </c>
      <c r="E193" s="599">
        <f t="shared" si="62"/>
        <v>6969.1254840447318</v>
      </c>
      <c r="F193" s="510"/>
      <c r="G193" s="688">
        <f t="shared" ca="1" si="54"/>
        <v>3858.9095803601913</v>
      </c>
      <c r="H193" s="688">
        <f t="shared" ca="1" si="55"/>
        <v>18396.999381226717</v>
      </c>
      <c r="I193" s="688">
        <f t="shared" ca="1" si="56"/>
        <v>2894.1821852701432</v>
      </c>
      <c r="J193" s="510"/>
      <c r="K193" s="599">
        <f t="shared" ca="1" si="57"/>
        <v>15221.153810671105</v>
      </c>
      <c r="L193" s="599">
        <f t="shared" ca="1" si="58"/>
        <v>70374.728679970431</v>
      </c>
      <c r="M193" s="599">
        <f t="shared" ca="1" si="59"/>
        <v>15221.153810671105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9601.90622246163</v>
      </c>
      <c r="D194" s="599">
        <f t="shared" si="61"/>
        <v>3429.2522223077249</v>
      </c>
      <c r="E194" s="599">
        <f t="shared" si="62"/>
        <v>7201.4296668462221</v>
      </c>
      <c r="F194" s="510"/>
      <c r="G194" s="688">
        <f t="shared" ca="1" si="54"/>
        <v>3497.1107634931332</v>
      </c>
      <c r="H194" s="688">
        <f t="shared" ca="1" si="55"/>
        <v>19304.91783065565</v>
      </c>
      <c r="I194" s="688">
        <f t="shared" ca="1" si="56"/>
        <v>2622.8330726198496</v>
      </c>
      <c r="J194" s="510"/>
      <c r="K194" s="599">
        <f t="shared" ca="1" si="57"/>
        <v>14671.838021902739</v>
      </c>
      <c r="L194" s="599">
        <f t="shared" ca="1" si="58"/>
        <v>71298.920416999841</v>
      </c>
      <c r="M194" s="599">
        <f t="shared" ca="1" si="59"/>
        <v>14671.838021902737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9601.90622246163</v>
      </c>
      <c r="D195" s="599">
        <f t="shared" si="61"/>
        <v>3429.2522223077249</v>
      </c>
      <c r="E195" s="599">
        <f t="shared" si="62"/>
        <v>7201.4296668462221</v>
      </c>
      <c r="F195" s="510"/>
      <c r="G195" s="688">
        <f t="shared" ca="1" si="54"/>
        <v>2274.209716071713</v>
      </c>
      <c r="H195" s="688">
        <f t="shared" ca="1" si="55"/>
        <v>17646.84369711273</v>
      </c>
      <c r="I195" s="688">
        <f t="shared" ca="1" si="56"/>
        <v>1705.657287053785</v>
      </c>
      <c r="J195" s="510"/>
      <c r="K195" s="599">
        <f t="shared" ca="1" si="57"/>
        <v>13302.101185633226</v>
      </c>
      <c r="L195" s="599">
        <f t="shared" ca="1" si="58"/>
        <v>66098.867130798928</v>
      </c>
      <c r="M195" s="599">
        <f t="shared" ca="1" si="59"/>
        <v>13302.101185633224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9292.1673120596424</v>
      </c>
      <c r="D196" s="599">
        <f t="shared" si="61"/>
        <v>3318.6311828784433</v>
      </c>
      <c r="E196" s="599">
        <f t="shared" si="62"/>
        <v>6969.1254840447318</v>
      </c>
      <c r="F196" s="510"/>
      <c r="G196" s="688">
        <f t="shared" ca="1" si="54"/>
        <v>1098.1044905004369</v>
      </c>
      <c r="H196" s="688">
        <f t="shared" ca="1" si="55"/>
        <v>15811.820144071557</v>
      </c>
      <c r="I196" s="688">
        <f t="shared" ca="1" si="56"/>
        <v>823.57836787532756</v>
      </c>
      <c r="J196" s="510"/>
      <c r="K196" s="599">
        <f t="shared" ca="1" si="57"/>
        <v>12025.77754925935</v>
      </c>
      <c r="L196" s="599">
        <f t="shared" ca="1" si="58"/>
        <v>61996.833004004628</v>
      </c>
      <c r="M196" s="599">
        <f t="shared" ca="1" si="59"/>
        <v>12025.77754925935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9601.90622246163</v>
      </c>
      <c r="D197" s="599">
        <f t="shared" si="61"/>
        <v>3429.2522223077249</v>
      </c>
      <c r="E197" s="599">
        <f t="shared" si="62"/>
        <v>7201.4296668462221</v>
      </c>
      <c r="F197" s="510"/>
      <c r="G197" s="688">
        <f t="shared" ca="1" si="54"/>
        <v>353.40364655721618</v>
      </c>
      <c r="H197" s="688">
        <f t="shared" ca="1" si="55"/>
        <v>13700.250925277505</v>
      </c>
      <c r="I197" s="688">
        <f t="shared" ca="1" si="56"/>
        <v>265.05273491791212</v>
      </c>
      <c r="J197" s="510"/>
      <c r="K197" s="599">
        <f t="shared" ca="1" si="57"/>
        <v>11150.660695585626</v>
      </c>
      <c r="L197" s="599">
        <f t="shared" ca="1" si="58"/>
        <v>53721.56005067053</v>
      </c>
      <c r="M197" s="599">
        <f t="shared" ca="1" si="59"/>
        <v>11150.660695585624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9292.1673120596424</v>
      </c>
      <c r="D198" s="599">
        <f t="shared" si="61"/>
        <v>3318.6311828784433</v>
      </c>
      <c r="E198" s="599">
        <f t="shared" si="62"/>
        <v>6969.1254840447318</v>
      </c>
      <c r="F198" s="510"/>
      <c r="G198" s="688">
        <f t="shared" ca="1" si="54"/>
        <v>46.91116001962196</v>
      </c>
      <c r="H198" s="688">
        <f t="shared" ca="1" si="55"/>
        <v>8988.607728125944</v>
      </c>
      <c r="I198" s="688">
        <f t="shared" ca="1" si="56"/>
        <v>35.183370014716473</v>
      </c>
      <c r="J198" s="510"/>
      <c r="K198" s="599">
        <f t="shared" ca="1" si="57"/>
        <v>10809.118601943592</v>
      </c>
      <c r="L198" s="599">
        <f t="shared" ca="1" si="58"/>
        <v>39884.570544921633</v>
      </c>
      <c r="M198" s="599">
        <f t="shared" ca="1" si="59"/>
        <v>10809.118601943592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9601.90622246163</v>
      </c>
      <c r="D199" s="599">
        <f t="shared" si="61"/>
        <v>3429.2522223077249</v>
      </c>
      <c r="E199" s="599">
        <f t="shared" si="62"/>
        <v>7201.4296668462221</v>
      </c>
      <c r="F199" s="510"/>
      <c r="G199" s="688">
        <f t="shared" ca="1" si="54"/>
        <v>0</v>
      </c>
      <c r="H199" s="688">
        <f t="shared" ca="1" si="55"/>
        <v>8526.8282820415134</v>
      </c>
      <c r="I199" s="688">
        <f t="shared" ca="1" si="56"/>
        <v>0</v>
      </c>
      <c r="J199" s="510"/>
      <c r="K199" s="599">
        <f t="shared" ca="1" si="57"/>
        <v>10754.823277846808</v>
      </c>
      <c r="L199" s="599">
        <f t="shared" ca="1" si="58"/>
        <v>37496.668248407113</v>
      </c>
      <c r="M199" s="599">
        <f t="shared" ca="1" si="59"/>
        <v>10754.823277846808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</v>
      </c>
      <c r="E205" s="693">
        <f>Inputs!C22</f>
        <v>17.350000000000001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</v>
      </c>
      <c r="E206" s="693">
        <f>Inputs!C24</f>
        <v>25.84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488285820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38253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114210069.45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2661.2214600000002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2661.2214600000002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167359.96929166667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10</v>
      </c>
      <c r="G216" s="699">
        <f>$F$16</f>
        <v>14</v>
      </c>
      <c r="H216" s="699">
        <f>$E$16</f>
        <v>10</v>
      </c>
      <c r="I216" s="699">
        <f>$F$16</f>
        <v>14</v>
      </c>
      <c r="J216" s="699">
        <f>$E$16</f>
        <v>10</v>
      </c>
      <c r="K216" s="699">
        <f>$F$16</f>
        <v>14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</v>
      </c>
      <c r="E218" s="510"/>
      <c r="F218" s="569">
        <f>D218</f>
        <v>21</v>
      </c>
      <c r="G218" s="569">
        <f t="shared" ref="G218:G229" ca="1" si="64">(F218-$CS5-$K188/$D$211)*EXP(-$D$211/$D$212*G$216)+$CS5+$K188/$D$211</f>
        <v>16.494516434890748</v>
      </c>
      <c r="H218" s="569">
        <f t="shared" ref="H218:H229" ca="1" si="65">(G218-$CR5-$L188/$D$211)*EXP(-$D$211/$D$212*H$216)+$CR5+$L188/$D$211</f>
        <v>15.85692669232181</v>
      </c>
      <c r="I218" s="569">
        <f t="shared" ref="I218:I229" ca="1" si="66">(H218-$CS5-$M188/$D$211)*EXP(-$D$211/$D$212*I$216)+$CS5+$M188/$D$211</f>
        <v>12.377888928292503</v>
      </c>
      <c r="J218" s="569">
        <f t="shared" ref="J218:J229" ca="1" si="67">(I218-$CR5-$L188/$D$211)*EXP(-$D$211/$D$212*J$216)+$CR5+$L188/$D$211</f>
        <v>12.345499950290483</v>
      </c>
      <c r="K218" s="569">
        <f t="shared" ref="K218:K229" ca="1" si="68">(J218-$CS5-$M188/$D$211)*EXP(-$D$211/$D$212*K$216)+$CS5+$M188/$D$211</f>
        <v>9.5672667479571842</v>
      </c>
      <c r="L218" s="687"/>
      <c r="M218" s="687">
        <f t="shared" ref="M218:M229" ca="1" si="69">$D$212/G$216/$D$211*(F231-$CS5-$K188/$D$211)*(1-EXP(-$D$211/$D$212*G$216))+$CS5+$K188/$D$211</f>
        <v>18.663744235750713</v>
      </c>
      <c r="N218" s="687">
        <f t="shared" ref="N218:N229" ca="1" si="70">$D$212/H$216/$D$211*(G231-$CR5-$L188/$D$211)*(1-EXP(-$D$211/$D$212*H$216))+$CR5+$L188/$D$211</f>
        <v>16.958210233701131</v>
      </c>
      <c r="O218" s="687">
        <f t="shared" ref="O218:O229" ca="1" si="71">$D$212/I$216/$D$211*(H231-$CS5-$M188/$D$211)*(1-EXP(-$D$211/$D$212*I$216))+$CS5+$M188/$D$211</f>
        <v>15.391477427518758</v>
      </c>
      <c r="P218" s="687">
        <f t="shared" ref="P218:P229" ca="1" si="72">$D$212/J$216/$D$211*(I231-$CR5-$L188/$D$211)*(1-EXP(-$D$211/$D$212*J$216))+$CR5+$L188/$D$211</f>
        <v>16.958210233701131</v>
      </c>
      <c r="Q218" s="687">
        <f t="shared" ref="Q218:Q229" ca="1" si="73">$D$212/K$216/$D$211*(J231-$CS5-$M188/$D$211)*(1-EXP(-$D$211/$D$212*K$216))+$CS5+$M188/$D$211</f>
        <v>15.391477427518758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</v>
      </c>
      <c r="E219" s="510"/>
      <c r="F219" s="569">
        <f t="shared" ref="F219:F229" si="74">D219</f>
        <v>21</v>
      </c>
      <c r="G219" s="569">
        <f t="shared" ca="1" si="64"/>
        <v>16.906334714993225</v>
      </c>
      <c r="H219" s="569">
        <f t="shared" ca="1" si="65"/>
        <v>17.007679943447929</v>
      </c>
      <c r="I219" s="569">
        <f t="shared" ca="1" si="66"/>
        <v>13.710795087858186</v>
      </c>
      <c r="J219" s="569">
        <f t="shared" ca="1" si="67"/>
        <v>14.281928516106586</v>
      </c>
      <c r="K219" s="569">
        <f t="shared" ca="1" si="68"/>
        <v>11.529044482594418</v>
      </c>
      <c r="L219" s="687"/>
      <c r="M219" s="687">
        <f t="shared" ca="1" si="69"/>
        <v>18.877286870366738</v>
      </c>
      <c r="N219" s="687">
        <f t="shared" ca="1" si="70"/>
        <v>17.368538598555865</v>
      </c>
      <c r="O219" s="687">
        <f t="shared" ca="1" si="71"/>
        <v>15.605020062134782</v>
      </c>
      <c r="P219" s="687">
        <f t="shared" ca="1" si="72"/>
        <v>17.368538598555865</v>
      </c>
      <c r="Q219" s="687">
        <f t="shared" ca="1" si="73"/>
        <v>15.605020062134782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</v>
      </c>
      <c r="E220" s="510"/>
      <c r="F220" s="569">
        <f t="shared" si="74"/>
        <v>21</v>
      </c>
      <c r="G220" s="569">
        <f t="shared" ca="1" si="64"/>
        <v>18.128860055522235</v>
      </c>
      <c r="H220" s="569">
        <f t="shared" ca="1" si="65"/>
        <v>19.453152113746306</v>
      </c>
      <c r="I220" s="569">
        <f t="shared" ca="1" si="66"/>
        <v>16.890729432812904</v>
      </c>
      <c r="J220" s="569">
        <f t="shared" ca="1" si="67"/>
        <v>18.397043692048939</v>
      </c>
      <c r="K220" s="569">
        <f t="shared" ca="1" si="68"/>
        <v>16.045397329103864</v>
      </c>
      <c r="L220" s="687"/>
      <c r="M220" s="687">
        <f t="shared" ca="1" si="69"/>
        <v>19.511210362146798</v>
      </c>
      <c r="N220" s="687">
        <f t="shared" ca="1" si="70"/>
        <v>18.808546869108078</v>
      </c>
      <c r="O220" s="687">
        <f t="shared" ca="1" si="71"/>
        <v>18.124443514044955</v>
      </c>
      <c r="P220" s="687">
        <f t="shared" ca="1" si="72"/>
        <v>18.088455014729995</v>
      </c>
      <c r="Q220" s="687">
        <f t="shared" ca="1" si="73"/>
        <v>17.17763021699988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</v>
      </c>
      <c r="E221" s="510"/>
      <c r="F221" s="569">
        <f t="shared" si="74"/>
        <v>21</v>
      </c>
      <c r="G221" s="569">
        <f t="shared" ca="1" si="64"/>
        <v>19.477969420088215</v>
      </c>
      <c r="H221" s="569">
        <f t="shared" ca="1" si="65"/>
        <v>21.639123060856306</v>
      </c>
      <c r="I221" s="569">
        <f t="shared" ca="1" si="66"/>
        <v>19.989537390253915</v>
      </c>
      <c r="J221" s="569">
        <f t="shared" ca="1" si="67"/>
        <v>22.075483515604112</v>
      </c>
      <c r="K221" s="569">
        <f t="shared" ca="1" si="68"/>
        <v>20.338809769499367</v>
      </c>
      <c r="L221" s="687"/>
      <c r="M221" s="687">
        <f t="shared" ca="1" si="69"/>
        <v>20.210772236920505</v>
      </c>
      <c r="N221" s="687">
        <f t="shared" ca="1" si="70"/>
        <v>20.587171595424799</v>
      </c>
      <c r="O221" s="687">
        <f t="shared" ca="1" si="71"/>
        <v>20.78375338169193</v>
      </c>
      <c r="P221" s="687">
        <f t="shared" ca="1" si="72"/>
        <v>21.060139653890772</v>
      </c>
      <c r="Q221" s="687">
        <f t="shared" ca="1" si="73"/>
        <v>21.174955527581314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</v>
      </c>
      <c r="E222" s="510"/>
      <c r="F222" s="569">
        <f t="shared" si="74"/>
        <v>21</v>
      </c>
      <c r="G222" s="569">
        <f t="shared" ca="1" si="64"/>
        <v>20.342357484017555</v>
      </c>
      <c r="H222" s="569">
        <f t="shared" ca="1" si="65"/>
        <v>24.057531522440694</v>
      </c>
      <c r="I222" s="569">
        <f t="shared" ca="1" si="66"/>
        <v>22.789672078732675</v>
      </c>
      <c r="J222" s="569">
        <f t="shared" ca="1" si="67"/>
        <v>26.145057270221429</v>
      </c>
      <c r="K222" s="569">
        <f t="shared" ca="1" si="68"/>
        <v>24.460572997297604</v>
      </c>
      <c r="L222" s="687"/>
      <c r="M222" s="687">
        <f t="shared" ca="1" si="69"/>
        <v>20.658988630947956</v>
      </c>
      <c r="N222" s="687">
        <f t="shared" ca="1" si="70"/>
        <v>22.24915348752074</v>
      </c>
      <c r="O222" s="687">
        <f t="shared" ca="1" si="71"/>
        <v>23.400100662730317</v>
      </c>
      <c r="P222" s="687">
        <f t="shared" ca="1" si="72"/>
        <v>24.511808109824258</v>
      </c>
      <c r="Q222" s="687">
        <f t="shared" ca="1" si="73"/>
        <v>25.271591406783056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</v>
      </c>
      <c r="E223" s="510"/>
      <c r="F223" s="569">
        <f t="shared" si="74"/>
        <v>21</v>
      </c>
      <c r="G223" s="569">
        <f t="shared" ca="1" si="64"/>
        <v>21.714935535280617</v>
      </c>
      <c r="H223" s="569">
        <f t="shared" ca="1" si="65"/>
        <v>25.976263678565161</v>
      </c>
      <c r="I223" s="569">
        <f t="shared" ca="1" si="66"/>
        <v>25.698044994110237</v>
      </c>
      <c r="J223" s="569">
        <f t="shared" ca="1" si="67"/>
        <v>29.373801359046205</v>
      </c>
      <c r="K223" s="569">
        <f t="shared" ca="1" si="68"/>
        <v>28.417507897602537</v>
      </c>
      <c r="L223" s="687"/>
      <c r="M223" s="687">
        <f t="shared" ca="1" si="69"/>
        <v>21.370719866409168</v>
      </c>
      <c r="N223" s="687">
        <f t="shared" ca="1" si="70"/>
        <v>23.902042623453362</v>
      </c>
      <c r="O223" s="687">
        <f t="shared" ca="1" si="71"/>
        <v>25.831997253910274</v>
      </c>
      <c r="P223" s="687">
        <f t="shared" ca="1" si="72"/>
        <v>27.584610057825568</v>
      </c>
      <c r="Q223" s="687">
        <f t="shared" ca="1" si="73"/>
        <v>28.877928700911781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</v>
      </c>
      <c r="E224" s="510"/>
      <c r="F224" s="569">
        <f t="shared" si="74"/>
        <v>21</v>
      </c>
      <c r="G224" s="569">
        <f t="shared" ca="1" si="64"/>
        <v>22.309181868271519</v>
      </c>
      <c r="H224" s="569">
        <f t="shared" ca="1" si="65"/>
        <v>26.94429356931871</v>
      </c>
      <c r="I224" s="569">
        <f t="shared" ca="1" si="66"/>
        <v>27.0671234628858</v>
      </c>
      <c r="J224" s="569">
        <f t="shared" ca="1" si="67"/>
        <v>31.00275242321624</v>
      </c>
      <c r="K224" s="569">
        <f t="shared" ca="1" si="68"/>
        <v>30.315602018968082</v>
      </c>
      <c r="L224" s="687"/>
      <c r="M224" s="687">
        <f t="shared" ca="1" si="69"/>
        <v>21.678858027556878</v>
      </c>
      <c r="N224" s="687">
        <f t="shared" ca="1" si="70"/>
        <v>24.688131649880916</v>
      </c>
      <c r="O224" s="687">
        <f t="shared" ca="1" si="71"/>
        <v>27.00798530023312</v>
      </c>
      <c r="P224" s="687">
        <f t="shared" ca="1" si="72"/>
        <v>29.087066942038298</v>
      </c>
      <c r="Q224" s="687">
        <f t="shared" ca="1" si="73"/>
        <v>30.6464401495986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</v>
      </c>
      <c r="E225" s="510"/>
      <c r="F225" s="569">
        <f t="shared" si="74"/>
        <v>21</v>
      </c>
      <c r="G225" s="569">
        <f t="shared" ca="1" si="64"/>
        <v>21.737587423056564</v>
      </c>
      <c r="H225" s="569">
        <f t="shared" ca="1" si="65"/>
        <v>25.824125066267747</v>
      </c>
      <c r="I225" s="569">
        <f t="shared" ca="1" si="66"/>
        <v>25.598921834413261</v>
      </c>
      <c r="J225" s="569">
        <f t="shared" ca="1" si="67"/>
        <v>29.117790303219913</v>
      </c>
      <c r="K225" s="569">
        <f t="shared" ca="1" si="68"/>
        <v>28.235242979538988</v>
      </c>
      <c r="L225" s="687"/>
      <c r="M225" s="687">
        <f t="shared" ca="1" si="69"/>
        <v>21.38246568738996</v>
      </c>
      <c r="N225" s="687">
        <f t="shared" ca="1" si="70"/>
        <v>23.834984090252188</v>
      </c>
      <c r="O225" s="687">
        <f t="shared" ca="1" si="71"/>
        <v>25.707349066323587</v>
      </c>
      <c r="P225" s="687">
        <f t="shared" ca="1" si="72"/>
        <v>27.404964906360913</v>
      </c>
      <c r="Q225" s="687">
        <f t="shared" ca="1" si="73"/>
        <v>28.660157677914277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</v>
      </c>
      <c r="E226" s="510"/>
      <c r="F226" s="569">
        <f t="shared" si="74"/>
        <v>21</v>
      </c>
      <c r="G226" s="569">
        <f t="shared" ca="1" si="64"/>
        <v>20.866109317067412</v>
      </c>
      <c r="H226" s="569">
        <f t="shared" ca="1" si="65"/>
        <v>24.370466752486106</v>
      </c>
      <c r="I226" s="569">
        <f t="shared" ca="1" si="66"/>
        <v>23.563904062214249</v>
      </c>
      <c r="J226" s="569">
        <f t="shared" ca="1" si="67"/>
        <v>26.671648629504716</v>
      </c>
      <c r="K226" s="569">
        <f t="shared" ca="1" si="68"/>
        <v>25.405819984057636</v>
      </c>
      <c r="L226" s="687"/>
      <c r="M226" s="687">
        <f t="shared" ca="1" si="69"/>
        <v>20.930572850780568</v>
      </c>
      <c r="N226" s="687">
        <f t="shared" ca="1" si="70"/>
        <v>22.664704667808817</v>
      </c>
      <c r="O226" s="687">
        <f t="shared" ca="1" si="71"/>
        <v>23.952234900755812</v>
      </c>
      <c r="P226" s="687">
        <f t="shared" ca="1" si="72"/>
        <v>25.158939680877577</v>
      </c>
      <c r="Q226" s="687">
        <f t="shared" ca="1" si="73"/>
        <v>26.015270811953872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</v>
      </c>
      <c r="E227" s="510"/>
      <c r="F227" s="569">
        <f t="shared" si="74"/>
        <v>21</v>
      </c>
      <c r="G227" s="569">
        <f t="shared" ca="1" si="64"/>
        <v>19.435510016242358</v>
      </c>
      <c r="H227" s="569">
        <f t="shared" ca="1" si="65"/>
        <v>21.574797667221588</v>
      </c>
      <c r="I227" s="569">
        <f t="shared" ca="1" si="66"/>
        <v>19.895590545151077</v>
      </c>
      <c r="J227" s="569">
        <f t="shared" ca="1" si="67"/>
        <v>21.96724004149727</v>
      </c>
      <c r="K227" s="569">
        <f t="shared" ca="1" si="68"/>
        <v>20.209709939538499</v>
      </c>
      <c r="L227" s="687"/>
      <c r="M227" s="687">
        <f t="shared" ca="1" si="69"/>
        <v>20.188755504299472</v>
      </c>
      <c r="N227" s="687">
        <f t="shared" ca="1" si="70"/>
        <v>20.533489572796931</v>
      </c>
      <c r="O227" s="687">
        <f t="shared" ca="1" si="71"/>
        <v>20.704068196874367</v>
      </c>
      <c r="P227" s="687">
        <f t="shared" ca="1" si="72"/>
        <v>20.958855129646537</v>
      </c>
      <c r="Q227" s="687">
        <f t="shared" ca="1" si="73"/>
        <v>21.055897280569177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</v>
      </c>
      <c r="E228" s="510"/>
      <c r="F228" s="569">
        <f t="shared" si="74"/>
        <v>21</v>
      </c>
      <c r="G228" s="569">
        <f t="shared" ca="1" si="64"/>
        <v>18.369567381034081</v>
      </c>
      <c r="H228" s="569">
        <f t="shared" ca="1" si="65"/>
        <v>18.770976114147036</v>
      </c>
      <c r="I228" s="569">
        <f t="shared" ca="1" si="66"/>
        <v>16.585408281519065</v>
      </c>
      <c r="J228" s="569">
        <f t="shared" ca="1" si="67"/>
        <v>17.249112898679051</v>
      </c>
      <c r="K228" s="569">
        <f t="shared" ca="1" si="68"/>
        <v>15.36727593160243</v>
      </c>
      <c r="L228" s="687"/>
      <c r="M228" s="687">
        <f t="shared" ca="1" si="69"/>
        <v>19.636025793963924</v>
      </c>
      <c r="N228" s="687">
        <f t="shared" ca="1" si="70"/>
        <v>18.575588568777931</v>
      </c>
      <c r="O228" s="687">
        <f t="shared" ca="1" si="71"/>
        <v>17.637680348365876</v>
      </c>
      <c r="P228" s="687">
        <f t="shared" ca="1" si="72"/>
        <v>17.632951748637041</v>
      </c>
      <c r="Q228" s="687">
        <f t="shared" ca="1" si="73"/>
        <v>16.36375898573197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</v>
      </c>
      <c r="E229" s="510"/>
      <c r="F229" s="569">
        <f t="shared" si="74"/>
        <v>21</v>
      </c>
      <c r="G229" s="569">
        <f t="shared" ca="1" si="64"/>
        <v>16.684178662242267</v>
      </c>
      <c r="H229" s="569">
        <f t="shared" ca="1" si="65"/>
        <v>15.966282808003664</v>
      </c>
      <c r="I229" s="569">
        <f t="shared" ca="1" si="66"/>
        <v>12.655082164225711</v>
      </c>
      <c r="J229" s="569">
        <f t="shared" ca="1" si="67"/>
        <v>12.529518814495992</v>
      </c>
      <c r="K229" s="569">
        <f t="shared" ca="1" si="68"/>
        <v>9.9042216683742339</v>
      </c>
      <c r="L229" s="687"/>
      <c r="M229" s="687">
        <f t="shared" ca="1" si="69"/>
        <v>18.762090942715027</v>
      </c>
      <c r="N229" s="687">
        <f t="shared" ca="1" si="70"/>
        <v>16.931304287622027</v>
      </c>
      <c r="O229" s="687">
        <f t="shared" ca="1" si="71"/>
        <v>15.489824134483072</v>
      </c>
      <c r="P229" s="687">
        <f t="shared" ca="1" si="72"/>
        <v>16.931304287622027</v>
      </c>
      <c r="Q229" s="687">
        <f t="shared" ca="1" si="73"/>
        <v>15.489824134483072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</v>
      </c>
      <c r="G231" s="569">
        <f t="shared" ca="1" si="75"/>
        <v>17.350000000000001</v>
      </c>
      <c r="H231" s="569">
        <f t="shared" ca="1" si="75"/>
        <v>17.350000000000001</v>
      </c>
      <c r="I231" s="569">
        <f t="shared" ca="1" si="75"/>
        <v>17.350000000000001</v>
      </c>
      <c r="J231" s="569">
        <f t="shared" ca="1" si="75"/>
        <v>17.350000000000001</v>
      </c>
      <c r="K231" s="569">
        <f t="shared" ca="1" si="75"/>
        <v>17.350000000000001</v>
      </c>
      <c r="L231" s="687"/>
      <c r="M231" s="569">
        <f t="shared" ref="M231:Q242" ca="1" si="76">IF(AND($G$205=1,M218&lt;=$E$205),$E$205,M218)</f>
        <v>18.663744235750713</v>
      </c>
      <c r="N231" s="569">
        <f t="shared" ca="1" si="76"/>
        <v>17.350000000000001</v>
      </c>
      <c r="O231" s="569">
        <f t="shared" ca="1" si="76"/>
        <v>17.350000000000001</v>
      </c>
      <c r="P231" s="569">
        <f t="shared" ca="1" si="76"/>
        <v>17.350000000000001</v>
      </c>
      <c r="Q231" s="569">
        <f t="shared" ca="1" si="76"/>
        <v>17.350000000000001</v>
      </c>
      <c r="R231" s="687"/>
      <c r="S231" s="687">
        <f ca="1">AVERAGE(M231:Q231)</f>
        <v>17.61274884715014</v>
      </c>
      <c r="T231" s="510"/>
      <c r="U231" s="570">
        <f ca="1">IF($G$205=1,M231,D218)</f>
        <v>18.663744235750713</v>
      </c>
      <c r="V231" s="570">
        <f t="shared" ref="V231:V242" ca="1" si="77">IF($G$205=1,S231,D218)</f>
        <v>17.61274884715014</v>
      </c>
      <c r="W231" s="510"/>
      <c r="X231" s="569">
        <f t="shared" ref="X231:X242" ca="1" si="78">D218*$E$18+U231*$F$18+V231*$I$18</f>
        <v>18.971191105508026</v>
      </c>
      <c r="Y231" s="510"/>
      <c r="Z231" s="704">
        <f ca="1">IF($D$205&gt;X231,X231,$D$205)</f>
        <v>18.971191105508026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</v>
      </c>
      <c r="G232" s="569">
        <f t="shared" ca="1" si="75"/>
        <v>17.350000000000001</v>
      </c>
      <c r="H232" s="569">
        <f t="shared" ca="1" si="75"/>
        <v>17.350000000000001</v>
      </c>
      <c r="I232" s="569">
        <f t="shared" ca="1" si="75"/>
        <v>17.350000000000001</v>
      </c>
      <c r="J232" s="569">
        <f t="shared" ca="1" si="75"/>
        <v>17.350000000000001</v>
      </c>
      <c r="K232" s="569">
        <f t="shared" ca="1" si="75"/>
        <v>17.350000000000001</v>
      </c>
      <c r="L232" s="687"/>
      <c r="M232" s="569">
        <f t="shared" ca="1" si="76"/>
        <v>18.877286870366738</v>
      </c>
      <c r="N232" s="569">
        <f t="shared" ca="1" si="76"/>
        <v>17.368538598555865</v>
      </c>
      <c r="O232" s="569">
        <f t="shared" ca="1" si="76"/>
        <v>17.350000000000001</v>
      </c>
      <c r="P232" s="569">
        <f t="shared" ca="1" si="76"/>
        <v>17.368538598555865</v>
      </c>
      <c r="Q232" s="569">
        <f t="shared" ca="1" si="76"/>
        <v>17.350000000000001</v>
      </c>
      <c r="R232" s="687"/>
      <c r="S232" s="687">
        <f t="shared" ref="S232:S242" ca="1" si="79">AVERAGE(M232:Q232)</f>
        <v>17.662872813495692</v>
      </c>
      <c r="T232" s="510"/>
      <c r="U232" s="570">
        <f t="shared" ref="U232:U242" ca="1" si="80">IF($G$205=1,M232,D219)</f>
        <v>18.877286870366738</v>
      </c>
      <c r="V232" s="570">
        <f t="shared" ca="1" si="77"/>
        <v>17.662872813495692</v>
      </c>
      <c r="W232" s="510"/>
      <c r="X232" s="569">
        <f t="shared" ca="1" si="78"/>
        <v>19.060870114150418</v>
      </c>
      <c r="Y232" s="510"/>
      <c r="Z232" s="704">
        <f t="shared" ref="Z232:Z242" ca="1" si="81">IF($D$205&gt;X232,X232,$D$205)</f>
        <v>19.060870114150418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</v>
      </c>
      <c r="G233" s="569">
        <f t="shared" ca="1" si="75"/>
        <v>18.128860055522235</v>
      </c>
      <c r="H233" s="569">
        <f t="shared" ca="1" si="75"/>
        <v>19.453152113746306</v>
      </c>
      <c r="I233" s="569">
        <f t="shared" ca="1" si="75"/>
        <v>17.350000000000001</v>
      </c>
      <c r="J233" s="569">
        <f t="shared" ca="1" si="75"/>
        <v>18.397043692048939</v>
      </c>
      <c r="K233" s="569">
        <f t="shared" ca="1" si="75"/>
        <v>17.350000000000001</v>
      </c>
      <c r="L233" s="687"/>
      <c r="M233" s="569">
        <f t="shared" ca="1" si="76"/>
        <v>19.511210362146798</v>
      </c>
      <c r="N233" s="569">
        <f t="shared" ca="1" si="76"/>
        <v>18.808546869108078</v>
      </c>
      <c r="O233" s="569">
        <f t="shared" ca="1" si="76"/>
        <v>18.124443514044955</v>
      </c>
      <c r="P233" s="569">
        <f t="shared" ca="1" si="76"/>
        <v>18.088455014729995</v>
      </c>
      <c r="Q233" s="569">
        <f t="shared" ca="1" si="76"/>
        <v>17.350000000000001</v>
      </c>
      <c r="R233" s="687"/>
      <c r="S233" s="687">
        <f t="shared" ca="1" si="79"/>
        <v>18.376531152005963</v>
      </c>
      <c r="T233" s="510"/>
      <c r="U233" s="570">
        <f t="shared" ca="1" si="80"/>
        <v>19.511210362146798</v>
      </c>
      <c r="V233" s="570">
        <f t="shared" ca="1" si="77"/>
        <v>18.376531152005963</v>
      </c>
      <c r="W233" s="510"/>
      <c r="X233" s="569">
        <f t="shared" ca="1" si="78"/>
        <v>19.535551855384469</v>
      </c>
      <c r="Y233" s="510"/>
      <c r="Z233" s="704">
        <f t="shared" ca="1" si="81"/>
        <v>19.535551855384469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</v>
      </c>
      <c r="G234" s="569">
        <f t="shared" ca="1" si="75"/>
        <v>19.477969420088215</v>
      </c>
      <c r="H234" s="569">
        <f t="shared" ca="1" si="75"/>
        <v>21.639123060856306</v>
      </c>
      <c r="I234" s="569">
        <f t="shared" ca="1" si="75"/>
        <v>19.989537390253915</v>
      </c>
      <c r="J234" s="569">
        <f t="shared" ca="1" si="75"/>
        <v>22.075483515604112</v>
      </c>
      <c r="K234" s="569">
        <f t="shared" ca="1" si="75"/>
        <v>20.338809769499367</v>
      </c>
      <c r="L234" s="687"/>
      <c r="M234" s="569">
        <f t="shared" ca="1" si="76"/>
        <v>20.210772236920505</v>
      </c>
      <c r="N234" s="569">
        <f t="shared" ca="1" si="76"/>
        <v>20.587171595424799</v>
      </c>
      <c r="O234" s="569">
        <f t="shared" ca="1" si="76"/>
        <v>20.78375338169193</v>
      </c>
      <c r="P234" s="569">
        <f t="shared" ca="1" si="76"/>
        <v>21.060139653890772</v>
      </c>
      <c r="Q234" s="569">
        <f t="shared" ca="1" si="76"/>
        <v>21.174955527581314</v>
      </c>
      <c r="R234" s="687"/>
      <c r="S234" s="687">
        <f t="shared" ca="1" si="79"/>
        <v>20.763358479101864</v>
      </c>
      <c r="T234" s="510"/>
      <c r="U234" s="570">
        <f t="shared" ca="1" si="80"/>
        <v>20.210772236920505</v>
      </c>
      <c r="V234" s="570">
        <f t="shared" ca="1" si="77"/>
        <v>20.763358479101864</v>
      </c>
      <c r="W234" s="510"/>
      <c r="X234" s="569">
        <f t="shared" ca="1" si="78"/>
        <v>20.649592089118237</v>
      </c>
      <c r="Y234" s="510"/>
      <c r="Z234" s="704">
        <f t="shared" ca="1" si="81"/>
        <v>20.649592089118237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</v>
      </c>
      <c r="G235" s="569">
        <f t="shared" ca="1" si="75"/>
        <v>20.342357484017555</v>
      </c>
      <c r="H235" s="569">
        <f t="shared" ca="1" si="75"/>
        <v>24.057531522440694</v>
      </c>
      <c r="I235" s="569">
        <f t="shared" ca="1" si="75"/>
        <v>22.789672078732675</v>
      </c>
      <c r="J235" s="569">
        <f t="shared" ca="1" si="75"/>
        <v>26.145057270221429</v>
      </c>
      <c r="K235" s="569">
        <f t="shared" ca="1" si="75"/>
        <v>24.460572997297604</v>
      </c>
      <c r="L235" s="687"/>
      <c r="M235" s="569">
        <f t="shared" ca="1" si="76"/>
        <v>20.658988630947956</v>
      </c>
      <c r="N235" s="569">
        <f t="shared" ca="1" si="76"/>
        <v>22.24915348752074</v>
      </c>
      <c r="O235" s="569">
        <f t="shared" ca="1" si="76"/>
        <v>23.400100662730317</v>
      </c>
      <c r="P235" s="569">
        <f t="shared" ca="1" si="76"/>
        <v>24.511808109824258</v>
      </c>
      <c r="Q235" s="569">
        <f t="shared" ca="1" si="76"/>
        <v>25.271591406783056</v>
      </c>
      <c r="R235" s="687"/>
      <c r="S235" s="687">
        <f t="shared" ca="1" si="79"/>
        <v>23.218328459561267</v>
      </c>
      <c r="T235" s="510"/>
      <c r="U235" s="570">
        <f t="shared" ca="1" si="80"/>
        <v>20.658988630947956</v>
      </c>
      <c r="V235" s="570">
        <f t="shared" ca="1" si="77"/>
        <v>23.218328459561267</v>
      </c>
      <c r="W235" s="510"/>
      <c r="X235" s="569">
        <f t="shared" ca="1" si="78"/>
        <v>21.704998379915978</v>
      </c>
      <c r="Y235" s="510"/>
      <c r="Z235" s="704">
        <f t="shared" ca="1" si="81"/>
        <v>21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</v>
      </c>
      <c r="G236" s="569">
        <f t="shared" ca="1" si="75"/>
        <v>21.714935535280617</v>
      </c>
      <c r="H236" s="569">
        <f t="shared" ca="1" si="75"/>
        <v>25.976263678565161</v>
      </c>
      <c r="I236" s="569">
        <f t="shared" ca="1" si="75"/>
        <v>25.698044994110237</v>
      </c>
      <c r="J236" s="569">
        <f t="shared" ca="1" si="75"/>
        <v>29.373801359046205</v>
      </c>
      <c r="K236" s="569">
        <f t="shared" ca="1" si="75"/>
        <v>28.417507897602537</v>
      </c>
      <c r="L236" s="687"/>
      <c r="M236" s="569">
        <f t="shared" ca="1" si="76"/>
        <v>21.370719866409168</v>
      </c>
      <c r="N236" s="569">
        <f t="shared" ca="1" si="76"/>
        <v>23.902042623453362</v>
      </c>
      <c r="O236" s="569">
        <f t="shared" ca="1" si="76"/>
        <v>25.831997253910274</v>
      </c>
      <c r="P236" s="569">
        <f t="shared" ca="1" si="76"/>
        <v>27.584610057825568</v>
      </c>
      <c r="Q236" s="569">
        <f t="shared" ca="1" si="76"/>
        <v>28.877928700911781</v>
      </c>
      <c r="R236" s="687"/>
      <c r="S236" s="687">
        <f t="shared" ca="1" si="79"/>
        <v>25.513459700502032</v>
      </c>
      <c r="T236" s="510"/>
      <c r="U236" s="570">
        <f t="shared" ca="1" si="80"/>
        <v>21.370719866409168</v>
      </c>
      <c r="V236" s="570">
        <f t="shared" ca="1" si="77"/>
        <v>25.513459700502032</v>
      </c>
      <c r="W236" s="510"/>
      <c r="X236" s="569">
        <f t="shared" ca="1" si="78"/>
        <v>22.789254844940711</v>
      </c>
      <c r="Y236" s="510"/>
      <c r="Z236" s="704">
        <f t="shared" ca="1" si="81"/>
        <v>21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</v>
      </c>
      <c r="G237" s="569">
        <f t="shared" ca="1" si="75"/>
        <v>22.309181868271519</v>
      </c>
      <c r="H237" s="569">
        <f t="shared" ca="1" si="75"/>
        <v>26.94429356931871</v>
      </c>
      <c r="I237" s="569">
        <f t="shared" ca="1" si="75"/>
        <v>27.0671234628858</v>
      </c>
      <c r="J237" s="569">
        <f t="shared" ca="1" si="75"/>
        <v>31.00275242321624</v>
      </c>
      <c r="K237" s="569">
        <f t="shared" ca="1" si="75"/>
        <v>30.315602018968082</v>
      </c>
      <c r="L237" s="687"/>
      <c r="M237" s="569">
        <f t="shared" ca="1" si="76"/>
        <v>21.678858027556878</v>
      </c>
      <c r="N237" s="569">
        <f t="shared" ca="1" si="76"/>
        <v>24.688131649880916</v>
      </c>
      <c r="O237" s="569">
        <f t="shared" ca="1" si="76"/>
        <v>27.00798530023312</v>
      </c>
      <c r="P237" s="569">
        <f t="shared" ca="1" si="76"/>
        <v>29.087066942038298</v>
      </c>
      <c r="Q237" s="569">
        <f t="shared" ca="1" si="76"/>
        <v>30.6464401495986</v>
      </c>
      <c r="R237" s="687"/>
      <c r="S237" s="687">
        <f t="shared" ca="1" si="79"/>
        <v>26.62169641386156</v>
      </c>
      <c r="T237" s="510"/>
      <c r="U237" s="570">
        <f t="shared" ca="1" si="80"/>
        <v>21.678858027556878</v>
      </c>
      <c r="V237" s="570">
        <f t="shared" ca="1" si="77"/>
        <v>26.62169641386156</v>
      </c>
      <c r="W237" s="510"/>
      <c r="X237" s="569">
        <f t="shared" ca="1" si="78"/>
        <v>23.300959685729772</v>
      </c>
      <c r="Y237" s="510"/>
      <c r="Z237" s="704">
        <f t="shared" ca="1" si="81"/>
        <v>21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</v>
      </c>
      <c r="G238" s="569">
        <f t="shared" ca="1" si="75"/>
        <v>21.737587423056564</v>
      </c>
      <c r="H238" s="569">
        <f t="shared" ca="1" si="75"/>
        <v>25.824125066267747</v>
      </c>
      <c r="I238" s="569">
        <f t="shared" ca="1" si="75"/>
        <v>25.598921834413261</v>
      </c>
      <c r="J238" s="569">
        <f t="shared" ca="1" si="75"/>
        <v>29.117790303219913</v>
      </c>
      <c r="K238" s="569">
        <f t="shared" ca="1" si="75"/>
        <v>28.235242979538988</v>
      </c>
      <c r="L238" s="687"/>
      <c r="M238" s="569">
        <f t="shared" ca="1" si="76"/>
        <v>21.38246568738996</v>
      </c>
      <c r="N238" s="569">
        <f t="shared" ca="1" si="76"/>
        <v>23.834984090252188</v>
      </c>
      <c r="O238" s="569">
        <f t="shared" ca="1" si="76"/>
        <v>25.707349066323587</v>
      </c>
      <c r="P238" s="569">
        <f t="shared" ca="1" si="76"/>
        <v>27.404964906360913</v>
      </c>
      <c r="Q238" s="569">
        <f t="shared" ca="1" si="76"/>
        <v>28.660157677914277</v>
      </c>
      <c r="R238" s="687"/>
      <c r="S238" s="687">
        <f t="shared" ca="1" si="79"/>
        <v>25.397984285648185</v>
      </c>
      <c r="T238" s="510"/>
      <c r="U238" s="570">
        <f t="shared" ca="1" si="80"/>
        <v>21.38246568738996</v>
      </c>
      <c r="V238" s="570">
        <f t="shared" ca="1" si="77"/>
        <v>25.397984285648185</v>
      </c>
      <c r="W238" s="510"/>
      <c r="X238" s="569">
        <f t="shared" ca="1" si="78"/>
        <v>22.750554191690625</v>
      </c>
      <c r="Y238" s="510"/>
      <c r="Z238" s="704">
        <f t="shared" ca="1" si="81"/>
        <v>21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</v>
      </c>
      <c r="G239" s="569">
        <f t="shared" ca="1" si="75"/>
        <v>20.866109317067412</v>
      </c>
      <c r="H239" s="569">
        <f t="shared" ca="1" si="75"/>
        <v>24.370466752486106</v>
      </c>
      <c r="I239" s="569">
        <f t="shared" ca="1" si="75"/>
        <v>23.563904062214249</v>
      </c>
      <c r="J239" s="569">
        <f t="shared" ca="1" si="75"/>
        <v>26.671648629504716</v>
      </c>
      <c r="K239" s="569">
        <f t="shared" ca="1" si="75"/>
        <v>25.405819984057636</v>
      </c>
      <c r="L239" s="687"/>
      <c r="M239" s="569">
        <f t="shared" ca="1" si="76"/>
        <v>20.930572850780568</v>
      </c>
      <c r="N239" s="569">
        <f t="shared" ca="1" si="76"/>
        <v>22.664704667808817</v>
      </c>
      <c r="O239" s="569">
        <f t="shared" ca="1" si="76"/>
        <v>23.952234900755812</v>
      </c>
      <c r="P239" s="569">
        <f t="shared" ca="1" si="76"/>
        <v>25.158939680877577</v>
      </c>
      <c r="Q239" s="569">
        <f t="shared" ca="1" si="76"/>
        <v>26.015270811953872</v>
      </c>
      <c r="R239" s="687"/>
      <c r="S239" s="687">
        <f t="shared" ca="1" si="79"/>
        <v>23.744344582435328</v>
      </c>
      <c r="T239" s="510"/>
      <c r="U239" s="570">
        <f t="shared" ca="1" si="80"/>
        <v>20.930572850780568</v>
      </c>
      <c r="V239" s="570">
        <f t="shared" ca="1" si="77"/>
        <v>23.744344582435328</v>
      </c>
      <c r="W239" s="510"/>
      <c r="X239" s="569">
        <f t="shared" ca="1" si="78"/>
        <v>21.989651450920846</v>
      </c>
      <c r="Y239" s="510"/>
      <c r="Z239" s="704">
        <f t="shared" ca="1" si="81"/>
        <v>21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</v>
      </c>
      <c r="G240" s="569">
        <f t="shared" ca="1" si="75"/>
        <v>19.435510016242358</v>
      </c>
      <c r="H240" s="569">
        <f t="shared" ca="1" si="75"/>
        <v>21.574797667221588</v>
      </c>
      <c r="I240" s="569">
        <f t="shared" ca="1" si="75"/>
        <v>19.895590545151077</v>
      </c>
      <c r="J240" s="569">
        <f t="shared" ca="1" si="75"/>
        <v>21.96724004149727</v>
      </c>
      <c r="K240" s="569">
        <f t="shared" ca="1" si="75"/>
        <v>20.209709939538499</v>
      </c>
      <c r="L240" s="687"/>
      <c r="M240" s="569">
        <f t="shared" ca="1" si="76"/>
        <v>20.188755504299472</v>
      </c>
      <c r="N240" s="569">
        <f t="shared" ca="1" si="76"/>
        <v>20.533489572796931</v>
      </c>
      <c r="O240" s="569">
        <f t="shared" ca="1" si="76"/>
        <v>20.704068196874367</v>
      </c>
      <c r="P240" s="569">
        <f t="shared" ca="1" si="76"/>
        <v>20.958855129646537</v>
      </c>
      <c r="Q240" s="569">
        <f t="shared" ca="1" si="76"/>
        <v>21.055897280569177</v>
      </c>
      <c r="R240" s="687"/>
      <c r="S240" s="687">
        <f t="shared" ca="1" si="79"/>
        <v>20.688213136837298</v>
      </c>
      <c r="T240" s="510"/>
      <c r="U240" s="570">
        <f t="shared" ca="1" si="80"/>
        <v>20.188755504299472</v>
      </c>
      <c r="V240" s="570">
        <f t="shared" ca="1" si="77"/>
        <v>20.688213136837298</v>
      </c>
      <c r="W240" s="510"/>
      <c r="X240" s="569">
        <f t="shared" ca="1" si="78"/>
        <v>20.614520968599304</v>
      </c>
      <c r="Y240" s="510"/>
      <c r="Z240" s="704">
        <f t="shared" ca="1" si="81"/>
        <v>20.614520968599304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</v>
      </c>
      <c r="G241" s="569">
        <f t="shared" ca="1" si="75"/>
        <v>18.369567381034081</v>
      </c>
      <c r="H241" s="569">
        <f t="shared" ca="1" si="75"/>
        <v>18.770976114147036</v>
      </c>
      <c r="I241" s="569">
        <f t="shared" ca="1" si="75"/>
        <v>17.350000000000001</v>
      </c>
      <c r="J241" s="569">
        <f t="shared" ca="1" si="75"/>
        <v>17.350000000000001</v>
      </c>
      <c r="K241" s="569">
        <f t="shared" ca="1" si="75"/>
        <v>17.350000000000001</v>
      </c>
      <c r="L241" s="687"/>
      <c r="M241" s="569">
        <f t="shared" ca="1" si="76"/>
        <v>19.636025793963924</v>
      </c>
      <c r="N241" s="569">
        <f t="shared" ca="1" si="76"/>
        <v>18.575588568777931</v>
      </c>
      <c r="O241" s="569">
        <f t="shared" ca="1" si="76"/>
        <v>17.637680348365876</v>
      </c>
      <c r="P241" s="569">
        <f t="shared" ca="1" si="76"/>
        <v>17.632951748637041</v>
      </c>
      <c r="Q241" s="569">
        <f t="shared" ca="1" si="76"/>
        <v>17.350000000000001</v>
      </c>
      <c r="R241" s="687"/>
      <c r="S241" s="687">
        <f t="shared" ca="1" si="79"/>
        <v>18.166449291948954</v>
      </c>
      <c r="T241" s="510"/>
      <c r="U241" s="570">
        <f t="shared" ca="1" si="80"/>
        <v>19.636025793963924</v>
      </c>
      <c r="V241" s="570">
        <f t="shared" ca="1" si="77"/>
        <v>18.166449291948954</v>
      </c>
      <c r="W241" s="510"/>
      <c r="X241" s="569">
        <f t="shared" ca="1" si="78"/>
        <v>19.499626789064372</v>
      </c>
      <c r="Y241" s="510"/>
      <c r="Z241" s="704">
        <f t="shared" ca="1" si="81"/>
        <v>19.499626789064372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</v>
      </c>
      <c r="G242" s="569">
        <f t="shared" ca="1" si="75"/>
        <v>17.350000000000001</v>
      </c>
      <c r="H242" s="569">
        <f t="shared" ca="1" si="75"/>
        <v>17.350000000000001</v>
      </c>
      <c r="I242" s="569">
        <f t="shared" ca="1" si="75"/>
        <v>17.350000000000001</v>
      </c>
      <c r="J242" s="569">
        <f t="shared" ca="1" si="75"/>
        <v>17.350000000000001</v>
      </c>
      <c r="K242" s="569">
        <f t="shared" ca="1" si="75"/>
        <v>17.350000000000001</v>
      </c>
      <c r="L242" s="687"/>
      <c r="M242" s="569">
        <f t="shared" ca="1" si="76"/>
        <v>18.762090942715027</v>
      </c>
      <c r="N242" s="569">
        <f t="shared" ca="1" si="76"/>
        <v>17.350000000000001</v>
      </c>
      <c r="O242" s="569">
        <f t="shared" ca="1" si="76"/>
        <v>17.350000000000001</v>
      </c>
      <c r="P242" s="569">
        <f t="shared" ca="1" si="76"/>
        <v>17.350000000000001</v>
      </c>
      <c r="Q242" s="569">
        <f t="shared" ca="1" si="76"/>
        <v>17.350000000000001</v>
      </c>
      <c r="R242" s="687"/>
      <c r="S242" s="687">
        <f t="shared" ca="1" si="79"/>
        <v>17.632418188543006</v>
      </c>
      <c r="T242" s="510"/>
      <c r="U242" s="570">
        <f t="shared" ca="1" si="80"/>
        <v>18.762090942715027</v>
      </c>
      <c r="V242" s="570">
        <f t="shared" ca="1" si="77"/>
        <v>17.632418188543006</v>
      </c>
      <c r="W242" s="510"/>
      <c r="X242" s="569">
        <f t="shared" ca="1" si="78"/>
        <v>19.011232264772072</v>
      </c>
      <c r="Y242" s="510"/>
      <c r="Z242" s="704">
        <f t="shared" ca="1" si="81"/>
        <v>19.011232264772072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</v>
      </c>
      <c r="E246" s="510"/>
      <c r="F246" s="569">
        <f t="shared" ref="F246:F257" si="83">D246</f>
        <v>24</v>
      </c>
      <c r="G246" s="569">
        <f t="shared" ref="G246:G257" ca="1" si="84">(F246-$CS5-$K188/$D$211)*EXP(-$D$211/$D$212*G$216)+$CS5+$K188/$D$211</f>
        <v>18.895781550314513</v>
      </c>
      <c r="H246" s="569">
        <f t="shared" ref="H246:H257" ca="1" si="85">(G246-$CR5-$L188/$D$211)*EXP(-$D$211/$D$212*H$216)+$CR5+$L188/$D$211</f>
        <v>17.905172866524147</v>
      </c>
      <c r="I246" s="569">
        <f t="shared" ref="I246:I257" ca="1" si="86">(H246-$CS5-$M188/$D$211)*EXP(-$D$211/$D$212*I$216)+$CS5+$M188/$D$211</f>
        <v>14.017349623596587</v>
      </c>
      <c r="J246" s="569">
        <f t="shared" ref="J246:J257" ca="1" si="87">(I246-$CR5-$L188/$D$211)*EXP(-$D$211/$D$212*J$216)+$CR5+$L188/$D$211</f>
        <v>13.743937413668649</v>
      </c>
      <c r="K246" s="569">
        <f t="shared" ref="K246:K257" ca="1" si="88">(J246-$CS5-$M188/$D$211)*EXP(-$D$211/$D$212*K$216)+$CS5+$M188/$D$211</f>
        <v>10.686606446927748</v>
      </c>
      <c r="L246" s="510"/>
      <c r="M246" s="687">
        <f t="shared" ref="M246:M257" ca="1" si="89">$D$212/G$216/$D$211*(F259-$CS5-$K188/$D$211)*(1-EXP(-$D$211/$D$212*G$216))+$CS5+$K188/$D$211</f>
        <v>21.35327859868109</v>
      </c>
      <c r="N246" s="687">
        <f t="shared" ref="N246:N257" ca="1" si="90">$D$212/H$216/$D$211*(G259-$CR5-$L188/$D$211)*(1-EXP(-$D$211/$D$212*H$216))+$CR5+$L188/$D$211</f>
        <v>18.387356195337404</v>
      </c>
      <c r="O246" s="687">
        <f t="shared" ref="O246:O257" ca="1" si="91">$D$212/I$216/$D$211*(H259-$CS5-$M188/$D$211)*(1-EXP(-$D$211/$D$212*I$216))+$CS5+$M188/$D$211</f>
        <v>15.889196261479839</v>
      </c>
      <c r="P246" s="687">
        <f t="shared" ref="P246:P257" ca="1" si="92">$D$212/J$216/$D$211*(I259-$CR5-$L188/$D$211)*(1-EXP(-$D$211/$D$212*J$216))+$CR5+$L188/$D$211</f>
        <v>13.877022063216444</v>
      </c>
      <c r="Q246" s="687">
        <f t="shared" ref="Q246:Q257" ca="1" si="93">$D$212/K$216/$D$211*(J259-$CS5-$M188/$D$211)*(1-EXP(-$D$211/$D$212*K$216))+$CS5+$M188/$D$211</f>
        <v>12.158601013913504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</v>
      </c>
      <c r="E247" s="510"/>
      <c r="F247" s="569">
        <f t="shared" si="83"/>
        <v>24</v>
      </c>
      <c r="G247" s="569">
        <f t="shared" ca="1" si="84"/>
        <v>19.30759983041699</v>
      </c>
      <c r="H247" s="569">
        <f t="shared" ca="1" si="85"/>
        <v>19.055926117650262</v>
      </c>
      <c r="I247" s="569">
        <f t="shared" ca="1" si="86"/>
        <v>15.35025578316227</v>
      </c>
      <c r="J247" s="569">
        <f t="shared" ca="1" si="87"/>
        <v>15.680365979484751</v>
      </c>
      <c r="K247" s="569">
        <f t="shared" ca="1" si="88"/>
        <v>12.648384181564982</v>
      </c>
      <c r="L247" s="510"/>
      <c r="M247" s="687">
        <f t="shared" ca="1" si="89"/>
        <v>21.566821233297116</v>
      </c>
      <c r="N247" s="687">
        <f t="shared" ca="1" si="90"/>
        <v>19.17842945381356</v>
      </c>
      <c r="O247" s="687">
        <f t="shared" ca="1" si="91"/>
        <v>17.134402366815042</v>
      </c>
      <c r="P247" s="687">
        <f t="shared" ca="1" si="92"/>
        <v>15.519683324524646</v>
      </c>
      <c r="Q247" s="687">
        <f t="shared" ca="1" si="93"/>
        <v>14.108174038236994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</v>
      </c>
      <c r="E248" s="510"/>
      <c r="F248" s="569">
        <f t="shared" si="83"/>
        <v>24</v>
      </c>
      <c r="G248" s="569">
        <f t="shared" ca="1" si="84"/>
        <v>20.530125170945997</v>
      </c>
      <c r="H248" s="569">
        <f t="shared" ca="1" si="85"/>
        <v>21.501398287948639</v>
      </c>
      <c r="I248" s="569">
        <f t="shared" ca="1" si="86"/>
        <v>18.530190128116992</v>
      </c>
      <c r="J248" s="569">
        <f t="shared" ca="1" si="87"/>
        <v>19.795481155427108</v>
      </c>
      <c r="K248" s="569">
        <f t="shared" ca="1" si="88"/>
        <v>17.164737028074427</v>
      </c>
      <c r="L248" s="510"/>
      <c r="M248" s="687">
        <f t="shared" ca="1" si="89"/>
        <v>22.200744725077175</v>
      </c>
      <c r="N248" s="687">
        <f t="shared" ca="1" si="90"/>
        <v>21.028626635118798</v>
      </c>
      <c r="O248" s="687">
        <f t="shared" ca="1" si="91"/>
        <v>19.960719670464236</v>
      </c>
      <c r="P248" s="687">
        <f t="shared" ca="1" si="92"/>
        <v>19.179594933703807</v>
      </c>
      <c r="Q248" s="687">
        <f t="shared" ca="1" si="93"/>
        <v>18.4313454210548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</v>
      </c>
      <c r="E249" s="510"/>
      <c r="F249" s="569">
        <f t="shared" si="83"/>
        <v>24</v>
      </c>
      <c r="G249" s="569">
        <f t="shared" ca="1" si="84"/>
        <v>21.879234535511976</v>
      </c>
      <c r="H249" s="569">
        <f t="shared" ca="1" si="85"/>
        <v>23.68736923505864</v>
      </c>
      <c r="I249" s="569">
        <f t="shared" ca="1" si="86"/>
        <v>21.628998085557999</v>
      </c>
      <c r="J249" s="569">
        <f t="shared" ca="1" si="87"/>
        <v>23.473920978982278</v>
      </c>
      <c r="K249" s="569">
        <f t="shared" ca="1" si="88"/>
        <v>21.45814946846993</v>
      </c>
      <c r="L249" s="510"/>
      <c r="M249" s="687">
        <f t="shared" ca="1" si="89"/>
        <v>22.900306599850886</v>
      </c>
      <c r="N249" s="687">
        <f t="shared" ca="1" si="90"/>
        <v>22.807251361435522</v>
      </c>
      <c r="O249" s="687">
        <f t="shared" ca="1" si="91"/>
        <v>22.620029538111215</v>
      </c>
      <c r="P249" s="687">
        <f t="shared" ca="1" si="92"/>
        <v>22.575896282942601</v>
      </c>
      <c r="Q249" s="687">
        <f t="shared" ca="1" si="93"/>
        <v>22.428670731636235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</v>
      </c>
      <c r="E250" s="510"/>
      <c r="F250" s="569">
        <f t="shared" si="83"/>
        <v>24</v>
      </c>
      <c r="G250" s="569">
        <f t="shared" ca="1" si="84"/>
        <v>22.74362259944132</v>
      </c>
      <c r="H250" s="569">
        <f t="shared" ca="1" si="85"/>
        <v>26.105777696643031</v>
      </c>
      <c r="I250" s="569">
        <f t="shared" ca="1" si="86"/>
        <v>24.429132774036759</v>
      </c>
      <c r="J250" s="569">
        <f t="shared" ca="1" si="87"/>
        <v>27.543494733599594</v>
      </c>
      <c r="K250" s="569">
        <f t="shared" ca="1" si="88"/>
        <v>25.579912696268167</v>
      </c>
      <c r="L250" s="510"/>
      <c r="M250" s="687">
        <f t="shared" ca="1" si="89"/>
        <v>23.348522993878333</v>
      </c>
      <c r="N250" s="687">
        <f t="shared" ca="1" si="90"/>
        <v>24.469233253531463</v>
      </c>
      <c r="O250" s="687">
        <f t="shared" ca="1" si="91"/>
        <v>24.998104069808967</v>
      </c>
      <c r="P250" s="687">
        <f t="shared" ca="1" si="92"/>
        <v>26.027564738876087</v>
      </c>
      <c r="Q250" s="687">
        <f t="shared" ca="1" si="93"/>
        <v>24.998104069808967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</v>
      </c>
      <c r="E251" s="510"/>
      <c r="F251" s="569">
        <f t="shared" si="83"/>
        <v>24</v>
      </c>
      <c r="G251" s="569">
        <f t="shared" ca="1" si="84"/>
        <v>24.116200650704382</v>
      </c>
      <c r="H251" s="569">
        <f t="shared" ca="1" si="85"/>
        <v>28.024509852767498</v>
      </c>
      <c r="I251" s="569">
        <f t="shared" ca="1" si="86"/>
        <v>27.337505689414321</v>
      </c>
      <c r="J251" s="569">
        <f t="shared" ca="1" si="87"/>
        <v>30.77223882242437</v>
      </c>
      <c r="K251" s="569">
        <f t="shared" ca="1" si="88"/>
        <v>29.536847596573097</v>
      </c>
      <c r="L251" s="510"/>
      <c r="M251" s="687">
        <f t="shared" ca="1" si="89"/>
        <v>24.060254229339542</v>
      </c>
      <c r="N251" s="687">
        <f t="shared" ca="1" si="90"/>
        <v>26.122122389464085</v>
      </c>
      <c r="O251" s="687">
        <f t="shared" ca="1" si="91"/>
        <v>25.709835305270172</v>
      </c>
      <c r="P251" s="687">
        <f t="shared" ca="1" si="92"/>
        <v>27.715853973474662</v>
      </c>
      <c r="Q251" s="687">
        <f t="shared" ca="1" si="93"/>
        <v>25.709835305270172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</v>
      </c>
      <c r="E252" s="510"/>
      <c r="F252" s="569">
        <f t="shared" si="83"/>
        <v>24</v>
      </c>
      <c r="G252" s="569">
        <f t="shared" ca="1" si="84"/>
        <v>24.710446983695284</v>
      </c>
      <c r="H252" s="569">
        <f t="shared" ca="1" si="85"/>
        <v>28.992539743521043</v>
      </c>
      <c r="I252" s="569">
        <f t="shared" ca="1" si="86"/>
        <v>28.70658415818988</v>
      </c>
      <c r="J252" s="569">
        <f t="shared" ca="1" si="87"/>
        <v>32.401189886594402</v>
      </c>
      <c r="K252" s="569">
        <f t="shared" ca="1" si="88"/>
        <v>31.434941717938642</v>
      </c>
      <c r="L252" s="510"/>
      <c r="M252" s="687">
        <f t="shared" ca="1" si="89"/>
        <v>24.368392390487251</v>
      </c>
      <c r="N252" s="687">
        <f t="shared" ca="1" si="90"/>
        <v>26.908211415891639</v>
      </c>
      <c r="O252" s="687">
        <f t="shared" ca="1" si="91"/>
        <v>26.017973466417885</v>
      </c>
      <c r="P252" s="687">
        <f t="shared" ca="1" si="92"/>
        <v>27.952535001832686</v>
      </c>
      <c r="Q252" s="687">
        <f t="shared" ca="1" si="93"/>
        <v>26.017973466417885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</v>
      </c>
      <c r="E253" s="510"/>
      <c r="F253" s="569">
        <f t="shared" si="83"/>
        <v>24</v>
      </c>
      <c r="G253" s="569">
        <f t="shared" ca="1" si="84"/>
        <v>24.138852538480329</v>
      </c>
      <c r="H253" s="569">
        <f t="shared" ca="1" si="85"/>
        <v>27.872371240470084</v>
      </c>
      <c r="I253" s="569">
        <f t="shared" ca="1" si="86"/>
        <v>27.238382529717349</v>
      </c>
      <c r="J253" s="569">
        <f t="shared" ca="1" si="87"/>
        <v>30.516227766598082</v>
      </c>
      <c r="K253" s="569">
        <f t="shared" ca="1" si="88"/>
        <v>29.354582678509551</v>
      </c>
      <c r="L253" s="510"/>
      <c r="M253" s="687">
        <f t="shared" ca="1" si="89"/>
        <v>24.072000050320337</v>
      </c>
      <c r="N253" s="687">
        <f t="shared" ca="1" si="90"/>
        <v>26.055063856262912</v>
      </c>
      <c r="O253" s="687">
        <f t="shared" ca="1" si="91"/>
        <v>25.721581126250967</v>
      </c>
      <c r="P253" s="687">
        <f t="shared" ca="1" si="92"/>
        <v>27.6278527307866</v>
      </c>
      <c r="Q253" s="687">
        <f t="shared" ca="1" si="93"/>
        <v>25.721581126250967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</v>
      </c>
      <c r="E254" s="510"/>
      <c r="F254" s="569">
        <f t="shared" si="83"/>
        <v>24</v>
      </c>
      <c r="G254" s="569">
        <f t="shared" ca="1" si="84"/>
        <v>23.267374432491177</v>
      </c>
      <c r="H254" s="569">
        <f t="shared" ca="1" si="85"/>
        <v>26.418712926688443</v>
      </c>
      <c r="I254" s="569">
        <f t="shared" ca="1" si="86"/>
        <v>25.203364757518333</v>
      </c>
      <c r="J254" s="569">
        <f t="shared" ca="1" si="87"/>
        <v>28.070086092882885</v>
      </c>
      <c r="K254" s="569">
        <f t="shared" ca="1" si="88"/>
        <v>26.525159683028203</v>
      </c>
      <c r="L254" s="510"/>
      <c r="M254" s="687">
        <f t="shared" ca="1" si="89"/>
        <v>23.620107213710945</v>
      </c>
      <c r="N254" s="687">
        <f t="shared" ca="1" si="90"/>
        <v>24.884784433819544</v>
      </c>
      <c r="O254" s="687">
        <f t="shared" ca="1" si="91"/>
        <v>25.269688289641575</v>
      </c>
      <c r="P254" s="687">
        <f t="shared" ca="1" si="92"/>
        <v>26.674696309929406</v>
      </c>
      <c r="Q254" s="687">
        <f t="shared" ca="1" si="93"/>
        <v>25.269688289641575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</v>
      </c>
      <c r="E255" s="510"/>
      <c r="F255" s="569">
        <f t="shared" si="83"/>
        <v>24</v>
      </c>
      <c r="G255" s="569">
        <f t="shared" ca="1" si="84"/>
        <v>21.836775131666119</v>
      </c>
      <c r="H255" s="569">
        <f t="shared" ca="1" si="85"/>
        <v>23.623043841423922</v>
      </c>
      <c r="I255" s="569">
        <f t="shared" ca="1" si="86"/>
        <v>21.535051240455161</v>
      </c>
      <c r="J255" s="569">
        <f t="shared" ca="1" si="87"/>
        <v>23.365677504875435</v>
      </c>
      <c r="K255" s="569">
        <f t="shared" ca="1" si="88"/>
        <v>21.329049638509062</v>
      </c>
      <c r="L255" s="510"/>
      <c r="M255" s="687">
        <f t="shared" ca="1" si="89"/>
        <v>22.878289867229849</v>
      </c>
      <c r="N255" s="687">
        <f t="shared" ca="1" si="90"/>
        <v>22.753569338807658</v>
      </c>
      <c r="O255" s="687">
        <f t="shared" ca="1" si="91"/>
        <v>22.540344353293648</v>
      </c>
      <c r="P255" s="687">
        <f t="shared" ca="1" si="92"/>
        <v>22.474611758698366</v>
      </c>
      <c r="Q255" s="687">
        <f t="shared" ca="1" si="93"/>
        <v>22.309612484624097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</v>
      </c>
      <c r="E256" s="510"/>
      <c r="F256" s="569">
        <f t="shared" si="83"/>
        <v>24</v>
      </c>
      <c r="G256" s="569">
        <f t="shared" ca="1" si="84"/>
        <v>20.770832496457846</v>
      </c>
      <c r="H256" s="569">
        <f t="shared" ca="1" si="85"/>
        <v>20.819222288349373</v>
      </c>
      <c r="I256" s="569">
        <f t="shared" ca="1" si="86"/>
        <v>18.224868976823153</v>
      </c>
      <c r="J256" s="569">
        <f t="shared" ca="1" si="87"/>
        <v>18.64755036205722</v>
      </c>
      <c r="K256" s="569">
        <f t="shared" ca="1" si="88"/>
        <v>16.486615630572995</v>
      </c>
      <c r="L256" s="510"/>
      <c r="M256" s="687">
        <f t="shared" ca="1" si="89"/>
        <v>22.325560156894301</v>
      </c>
      <c r="N256" s="687">
        <f t="shared" ca="1" si="90"/>
        <v>20.795668334788658</v>
      </c>
      <c r="O256" s="687">
        <f t="shared" ca="1" si="91"/>
        <v>19.473956504785164</v>
      </c>
      <c r="P256" s="687">
        <f t="shared" ca="1" si="92"/>
        <v>18.441808255517508</v>
      </c>
      <c r="Q256" s="687">
        <f t="shared" ca="1" si="93"/>
        <v>17.527027747860515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</v>
      </c>
      <c r="E257" s="510"/>
      <c r="F257" s="569">
        <f t="shared" si="83"/>
        <v>24</v>
      </c>
      <c r="G257" s="569">
        <f t="shared" ca="1" si="84"/>
        <v>19.085443777666029</v>
      </c>
      <c r="H257" s="569">
        <f t="shared" ca="1" si="85"/>
        <v>18.014528982205995</v>
      </c>
      <c r="I257" s="569">
        <f t="shared" ca="1" si="86"/>
        <v>14.294542859529791</v>
      </c>
      <c r="J257" s="569">
        <f t="shared" ca="1" si="87"/>
        <v>13.927956277874156</v>
      </c>
      <c r="K257" s="569">
        <f t="shared" ca="1" si="88"/>
        <v>11.023561367344794</v>
      </c>
      <c r="L257" s="510"/>
      <c r="M257" s="687">
        <f t="shared" ca="1" si="89"/>
        <v>21.451625305645404</v>
      </c>
      <c r="N257" s="687">
        <f t="shared" ca="1" si="90"/>
        <v>18.535801679891701</v>
      </c>
      <c r="O257" s="687">
        <f t="shared" ca="1" si="91"/>
        <v>16.085581978751794</v>
      </c>
      <c r="P257" s="687">
        <f t="shared" ca="1" si="92"/>
        <v>14.106393981009004</v>
      </c>
      <c r="Q257" s="687">
        <f t="shared" ca="1" si="93"/>
        <v>12.421922740447197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</v>
      </c>
      <c r="G259" s="569">
        <f t="shared" ca="1" si="94"/>
        <v>18.895781550314513</v>
      </c>
      <c r="H259" s="569">
        <f t="shared" ca="1" si="94"/>
        <v>17.905172866524147</v>
      </c>
      <c r="I259" s="569">
        <f t="shared" ca="1" si="94"/>
        <v>14.017349623596587</v>
      </c>
      <c r="J259" s="569">
        <f t="shared" ca="1" si="94"/>
        <v>13.743937413668649</v>
      </c>
      <c r="K259" s="569">
        <f t="shared" ca="1" si="94"/>
        <v>10.686606446927748</v>
      </c>
      <c r="L259" s="510"/>
      <c r="M259" s="705">
        <f t="shared" ref="M259:Q270" ca="1" si="95">IF(AND($G$206=1,M246&gt;=$E$206),$E$206,M246)</f>
        <v>21.35327859868109</v>
      </c>
      <c r="N259" s="569">
        <f t="shared" ca="1" si="95"/>
        <v>18.387356195337404</v>
      </c>
      <c r="O259" s="569">
        <f t="shared" ca="1" si="95"/>
        <v>15.889196261479839</v>
      </c>
      <c r="P259" s="569">
        <f t="shared" ca="1" si="95"/>
        <v>13.877022063216444</v>
      </c>
      <c r="Q259" s="569">
        <f t="shared" ca="1" si="95"/>
        <v>12.158601013913504</v>
      </c>
      <c r="R259" s="510"/>
      <c r="S259" s="687">
        <f t="shared" ref="S259:S270" ca="1" si="96">AVERAGE(M259:Q259)</f>
        <v>16.333090826525655</v>
      </c>
      <c r="T259" s="510"/>
      <c r="U259" s="570">
        <f t="shared" ref="U259:U270" ca="1" si="97">IF($G$206=1,M259,D246)</f>
        <v>21.35327859868109</v>
      </c>
      <c r="V259" s="570">
        <f t="shared" ref="V259:V270" ca="1" si="98">IF($G$206=1,S259,D246)</f>
        <v>16.333090826525655</v>
      </c>
      <c r="W259" s="510"/>
      <c r="X259" s="569">
        <f t="shared" ref="X259:X270" ca="1" si="99">D246*$E$18+U259*$F$18+V259*$I$18</f>
        <v>20.288304956968641</v>
      </c>
      <c r="Y259" s="510"/>
      <c r="Z259" s="706">
        <f ca="1">IF($D$206&lt;X259,X259,$D$206)</f>
        <v>24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</v>
      </c>
      <c r="G260" s="569">
        <f t="shared" ca="1" si="94"/>
        <v>19.30759983041699</v>
      </c>
      <c r="H260" s="569">
        <f t="shared" ca="1" si="94"/>
        <v>19.055926117650262</v>
      </c>
      <c r="I260" s="569">
        <f t="shared" ca="1" si="94"/>
        <v>15.35025578316227</v>
      </c>
      <c r="J260" s="569">
        <f t="shared" ca="1" si="94"/>
        <v>15.680365979484751</v>
      </c>
      <c r="K260" s="569">
        <f t="shared" ca="1" si="94"/>
        <v>12.648384181564982</v>
      </c>
      <c r="L260" s="510"/>
      <c r="M260" s="705">
        <f t="shared" ca="1" si="95"/>
        <v>21.566821233297116</v>
      </c>
      <c r="N260" s="569">
        <f t="shared" ca="1" si="95"/>
        <v>19.17842945381356</v>
      </c>
      <c r="O260" s="569">
        <f t="shared" ca="1" si="95"/>
        <v>17.134402366815042</v>
      </c>
      <c r="P260" s="569">
        <f t="shared" ca="1" si="95"/>
        <v>15.519683324524646</v>
      </c>
      <c r="Q260" s="569">
        <f t="shared" ca="1" si="95"/>
        <v>14.108174038236994</v>
      </c>
      <c r="R260" s="510"/>
      <c r="S260" s="687">
        <f t="shared" ca="1" si="96"/>
        <v>17.501502083337474</v>
      </c>
      <c r="T260" s="510"/>
      <c r="U260" s="570">
        <f t="shared" ca="1" si="97"/>
        <v>21.566821233297116</v>
      </c>
      <c r="V260" s="570">
        <f t="shared" ca="1" si="98"/>
        <v>17.501502083337474</v>
      </c>
      <c r="W260" s="510"/>
      <c r="X260" s="569">
        <f t="shared" ca="1" si="99"/>
        <v>20.790685227568819</v>
      </c>
      <c r="Y260" s="510"/>
      <c r="Z260" s="706">
        <f t="shared" ref="Z260:Z270" ca="1" si="100">IF($D$206&lt;X260,X260,$D$206)</f>
        <v>24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</v>
      </c>
      <c r="G261" s="569">
        <f t="shared" ca="1" si="94"/>
        <v>20.530125170945997</v>
      </c>
      <c r="H261" s="569">
        <f t="shared" ca="1" si="94"/>
        <v>21.501398287948639</v>
      </c>
      <c r="I261" s="569">
        <f t="shared" ca="1" si="94"/>
        <v>18.530190128116992</v>
      </c>
      <c r="J261" s="569">
        <f t="shared" ca="1" si="94"/>
        <v>19.795481155427108</v>
      </c>
      <c r="K261" s="569">
        <f t="shared" ca="1" si="94"/>
        <v>17.164737028074427</v>
      </c>
      <c r="L261" s="510"/>
      <c r="M261" s="705">
        <f t="shared" ca="1" si="95"/>
        <v>22.200744725077175</v>
      </c>
      <c r="N261" s="569">
        <f t="shared" ca="1" si="95"/>
        <v>21.028626635118798</v>
      </c>
      <c r="O261" s="569">
        <f t="shared" ca="1" si="95"/>
        <v>19.960719670464236</v>
      </c>
      <c r="P261" s="569">
        <f t="shared" ca="1" si="95"/>
        <v>19.179594933703807</v>
      </c>
      <c r="Q261" s="569">
        <f t="shared" ca="1" si="95"/>
        <v>18.4313454210548</v>
      </c>
      <c r="R261" s="510"/>
      <c r="S261" s="687">
        <f t="shared" ca="1" si="96"/>
        <v>20.160206277083763</v>
      </c>
      <c r="T261" s="510"/>
      <c r="U261" s="570">
        <f t="shared" ca="1" si="97"/>
        <v>22.200744725077175</v>
      </c>
      <c r="V261" s="570">
        <f t="shared" ca="1" si="98"/>
        <v>20.160206277083763</v>
      </c>
      <c r="W261" s="510"/>
      <c r="X261" s="569">
        <f t="shared" ca="1" si="99"/>
        <v>21.983181510616163</v>
      </c>
      <c r="Y261" s="510"/>
      <c r="Z261" s="706">
        <f t="shared" ca="1" si="100"/>
        <v>24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</v>
      </c>
      <c r="G262" s="569">
        <f t="shared" ca="1" si="94"/>
        <v>21.879234535511976</v>
      </c>
      <c r="H262" s="569">
        <f t="shared" ca="1" si="94"/>
        <v>23.68736923505864</v>
      </c>
      <c r="I262" s="569">
        <f t="shared" ca="1" si="94"/>
        <v>21.628998085557999</v>
      </c>
      <c r="J262" s="569">
        <f t="shared" ca="1" si="94"/>
        <v>23.473920978982278</v>
      </c>
      <c r="K262" s="569">
        <f t="shared" ca="1" si="94"/>
        <v>21.45814946846993</v>
      </c>
      <c r="L262" s="510"/>
      <c r="M262" s="705">
        <f t="shared" ca="1" si="95"/>
        <v>22.900306599850886</v>
      </c>
      <c r="N262" s="569">
        <f t="shared" ca="1" si="95"/>
        <v>22.807251361435522</v>
      </c>
      <c r="O262" s="569">
        <f t="shared" ca="1" si="95"/>
        <v>22.620029538111215</v>
      </c>
      <c r="P262" s="569">
        <f t="shared" ca="1" si="95"/>
        <v>22.575896282942601</v>
      </c>
      <c r="Q262" s="569">
        <f t="shared" ca="1" si="95"/>
        <v>22.428670731636235</v>
      </c>
      <c r="R262" s="510"/>
      <c r="S262" s="687">
        <f t="shared" ca="1" si="96"/>
        <v>22.666430902795291</v>
      </c>
      <c r="T262" s="510"/>
      <c r="U262" s="570">
        <f t="shared" ca="1" si="97"/>
        <v>22.900306599850886</v>
      </c>
      <c r="V262" s="570">
        <f t="shared" ca="1" si="98"/>
        <v>22.666430902795291</v>
      </c>
      <c r="W262" s="510"/>
      <c r="X262" s="569">
        <f t="shared" ca="1" si="99"/>
        <v>23.141285033124745</v>
      </c>
      <c r="Y262" s="510"/>
      <c r="Z262" s="706">
        <f t="shared" ca="1" si="100"/>
        <v>24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</v>
      </c>
      <c r="G263" s="569">
        <f t="shared" ca="1" si="94"/>
        <v>22.74362259944132</v>
      </c>
      <c r="H263" s="569">
        <f t="shared" ca="1" si="94"/>
        <v>25.84</v>
      </c>
      <c r="I263" s="569">
        <f t="shared" ca="1" si="94"/>
        <v>24.429132774036759</v>
      </c>
      <c r="J263" s="569">
        <f t="shared" ca="1" si="94"/>
        <v>25.84</v>
      </c>
      <c r="K263" s="569">
        <f t="shared" ca="1" si="94"/>
        <v>25.579912696268167</v>
      </c>
      <c r="L263" s="510"/>
      <c r="M263" s="705">
        <f t="shared" ca="1" si="95"/>
        <v>23.348522993878333</v>
      </c>
      <c r="N263" s="569">
        <f t="shared" ca="1" si="95"/>
        <v>24.469233253531463</v>
      </c>
      <c r="O263" s="569">
        <f t="shared" ca="1" si="95"/>
        <v>24.998104069808967</v>
      </c>
      <c r="P263" s="569">
        <f t="shared" ca="1" si="95"/>
        <v>25.84</v>
      </c>
      <c r="Q263" s="569">
        <f t="shared" ca="1" si="95"/>
        <v>24.998104069808967</v>
      </c>
      <c r="R263" s="510"/>
      <c r="S263" s="687">
        <f t="shared" ca="1" si="96"/>
        <v>24.730792877405548</v>
      </c>
      <c r="T263" s="510"/>
      <c r="U263" s="570">
        <f t="shared" ca="1" si="97"/>
        <v>23.348522993878333</v>
      </c>
      <c r="V263" s="570">
        <f t="shared" ca="1" si="98"/>
        <v>24.730792877405548</v>
      </c>
      <c r="W263" s="510"/>
      <c r="X263" s="569">
        <f t="shared" ca="1" si="99"/>
        <v>24.052538369382919</v>
      </c>
      <c r="Y263" s="510"/>
      <c r="Z263" s="706">
        <f t="shared" ca="1" si="100"/>
        <v>24.052538369382919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</v>
      </c>
      <c r="G264" s="569">
        <f t="shared" ca="1" si="94"/>
        <v>24.116200650704382</v>
      </c>
      <c r="H264" s="569">
        <f t="shared" ca="1" si="94"/>
        <v>25.84</v>
      </c>
      <c r="I264" s="569">
        <f t="shared" ca="1" si="94"/>
        <v>25.84</v>
      </c>
      <c r="J264" s="569">
        <f t="shared" ca="1" si="94"/>
        <v>25.84</v>
      </c>
      <c r="K264" s="569">
        <f t="shared" ca="1" si="94"/>
        <v>25.84</v>
      </c>
      <c r="L264" s="510"/>
      <c r="M264" s="705">
        <f t="shared" ca="1" si="95"/>
        <v>24.060254229339542</v>
      </c>
      <c r="N264" s="569">
        <f t="shared" ca="1" si="95"/>
        <v>25.84</v>
      </c>
      <c r="O264" s="569">
        <f t="shared" ca="1" si="95"/>
        <v>25.709835305270172</v>
      </c>
      <c r="P264" s="569">
        <f t="shared" ca="1" si="95"/>
        <v>25.84</v>
      </c>
      <c r="Q264" s="569">
        <f t="shared" ca="1" si="95"/>
        <v>25.709835305270172</v>
      </c>
      <c r="R264" s="510"/>
      <c r="S264" s="687">
        <f t="shared" ca="1" si="96"/>
        <v>25.431984967975978</v>
      </c>
      <c r="T264" s="510"/>
      <c r="U264" s="570">
        <f t="shared" ca="1" si="97"/>
        <v>24.060254229339542</v>
      </c>
      <c r="V264" s="570">
        <f t="shared" ca="1" si="98"/>
        <v>25.431984967975978</v>
      </c>
      <c r="W264" s="510"/>
      <c r="X264" s="569">
        <f t="shared" ca="1" si="99"/>
        <v>24.548555386056698</v>
      </c>
      <c r="Y264" s="510"/>
      <c r="Z264" s="706">
        <f t="shared" ca="1" si="100"/>
        <v>24.548555386056698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</v>
      </c>
      <c r="G265" s="569">
        <f t="shared" ca="1" si="94"/>
        <v>24.710446983695284</v>
      </c>
      <c r="H265" s="569">
        <f t="shared" ca="1" si="94"/>
        <v>25.84</v>
      </c>
      <c r="I265" s="569">
        <f t="shared" ca="1" si="94"/>
        <v>25.84</v>
      </c>
      <c r="J265" s="569">
        <f t="shared" ca="1" si="94"/>
        <v>25.84</v>
      </c>
      <c r="K265" s="569">
        <f t="shared" ca="1" si="94"/>
        <v>25.84</v>
      </c>
      <c r="L265" s="510"/>
      <c r="M265" s="705">
        <f t="shared" ca="1" si="95"/>
        <v>24.368392390487251</v>
      </c>
      <c r="N265" s="569">
        <f t="shared" ca="1" si="95"/>
        <v>25.84</v>
      </c>
      <c r="O265" s="569">
        <f t="shared" ca="1" si="95"/>
        <v>25.84</v>
      </c>
      <c r="P265" s="569">
        <f t="shared" ca="1" si="95"/>
        <v>25.84</v>
      </c>
      <c r="Q265" s="569">
        <f t="shared" ca="1" si="95"/>
        <v>25.84</v>
      </c>
      <c r="R265" s="510"/>
      <c r="S265" s="687">
        <f t="shared" ca="1" si="96"/>
        <v>25.54567847809745</v>
      </c>
      <c r="T265" s="510"/>
      <c r="U265" s="570">
        <f t="shared" ca="1" si="97"/>
        <v>24.368392390487251</v>
      </c>
      <c r="V265" s="570">
        <f t="shared" ca="1" si="98"/>
        <v>25.54567847809745</v>
      </c>
      <c r="W265" s="510"/>
      <c r="X265" s="569">
        <f t="shared" ca="1" si="99"/>
        <v>24.693226425650764</v>
      </c>
      <c r="Y265" s="510"/>
      <c r="Z265" s="706">
        <f t="shared" ca="1" si="100"/>
        <v>24.693226425650764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</v>
      </c>
      <c r="G266" s="569">
        <f t="shared" ca="1" si="94"/>
        <v>24.138852538480329</v>
      </c>
      <c r="H266" s="569">
        <f t="shared" ca="1" si="94"/>
        <v>25.84</v>
      </c>
      <c r="I266" s="569">
        <f t="shared" ca="1" si="94"/>
        <v>25.84</v>
      </c>
      <c r="J266" s="569">
        <f t="shared" ca="1" si="94"/>
        <v>25.84</v>
      </c>
      <c r="K266" s="569">
        <f t="shared" ca="1" si="94"/>
        <v>25.84</v>
      </c>
      <c r="L266" s="510"/>
      <c r="M266" s="705">
        <f t="shared" ca="1" si="95"/>
        <v>24.072000050320337</v>
      </c>
      <c r="N266" s="569">
        <f t="shared" ca="1" si="95"/>
        <v>25.84</v>
      </c>
      <c r="O266" s="569">
        <f t="shared" ca="1" si="95"/>
        <v>25.721581126250967</v>
      </c>
      <c r="P266" s="569">
        <f t="shared" ca="1" si="95"/>
        <v>25.84</v>
      </c>
      <c r="Q266" s="569">
        <f t="shared" ca="1" si="95"/>
        <v>25.721581126250967</v>
      </c>
      <c r="R266" s="510"/>
      <c r="S266" s="687">
        <f t="shared" ca="1" si="96"/>
        <v>25.439032460564455</v>
      </c>
      <c r="T266" s="510"/>
      <c r="U266" s="570">
        <f t="shared" ca="1" si="97"/>
        <v>24.072000050320337</v>
      </c>
      <c r="V266" s="570">
        <f t="shared" ca="1" si="98"/>
        <v>25.439032460564455</v>
      </c>
      <c r="W266" s="510"/>
      <c r="X266" s="569">
        <f t="shared" ca="1" si="99"/>
        <v>24.555071520076993</v>
      </c>
      <c r="Y266" s="510"/>
      <c r="Z266" s="706">
        <f t="shared" ca="1" si="100"/>
        <v>24.555071520076993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</v>
      </c>
      <c r="G267" s="569">
        <f t="shared" ca="1" si="94"/>
        <v>23.267374432491177</v>
      </c>
      <c r="H267" s="569">
        <f t="shared" ca="1" si="94"/>
        <v>25.84</v>
      </c>
      <c r="I267" s="569">
        <f t="shared" ca="1" si="94"/>
        <v>25.203364757518333</v>
      </c>
      <c r="J267" s="569">
        <f t="shared" ca="1" si="94"/>
        <v>25.84</v>
      </c>
      <c r="K267" s="569">
        <f t="shared" ca="1" si="94"/>
        <v>25.84</v>
      </c>
      <c r="L267" s="510"/>
      <c r="M267" s="705">
        <f t="shared" ca="1" si="95"/>
        <v>23.620107213710945</v>
      </c>
      <c r="N267" s="569">
        <f t="shared" ca="1" si="95"/>
        <v>24.884784433819544</v>
      </c>
      <c r="O267" s="569">
        <f t="shared" ca="1" si="95"/>
        <v>25.269688289641575</v>
      </c>
      <c r="P267" s="569">
        <f t="shared" ca="1" si="95"/>
        <v>25.84</v>
      </c>
      <c r="Q267" s="569">
        <f t="shared" ca="1" si="95"/>
        <v>25.269688289641575</v>
      </c>
      <c r="R267" s="510"/>
      <c r="S267" s="687">
        <f t="shared" ca="1" si="96"/>
        <v>24.976853645362731</v>
      </c>
      <c r="T267" s="510"/>
      <c r="U267" s="570">
        <f t="shared" ca="1" si="97"/>
        <v>23.620107213710945</v>
      </c>
      <c r="V267" s="570">
        <f t="shared" ca="1" si="98"/>
        <v>24.976853645362731</v>
      </c>
      <c r="W267" s="510"/>
      <c r="X267" s="569">
        <f t="shared" ca="1" si="99"/>
        <v>24.233874583216085</v>
      </c>
      <c r="Y267" s="510"/>
      <c r="Z267" s="706">
        <f t="shared" ca="1" si="100"/>
        <v>24.233874583216085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</v>
      </c>
      <c r="G268" s="569">
        <f t="shared" ca="1" si="94"/>
        <v>21.836775131666119</v>
      </c>
      <c r="H268" s="569">
        <f t="shared" ca="1" si="94"/>
        <v>23.623043841423922</v>
      </c>
      <c r="I268" s="569">
        <f t="shared" ca="1" si="94"/>
        <v>21.535051240455161</v>
      </c>
      <c r="J268" s="569">
        <f t="shared" ca="1" si="94"/>
        <v>23.365677504875435</v>
      </c>
      <c r="K268" s="569">
        <f t="shared" ca="1" si="94"/>
        <v>21.329049638509062</v>
      </c>
      <c r="L268" s="510"/>
      <c r="M268" s="705">
        <f t="shared" ca="1" si="95"/>
        <v>22.878289867229849</v>
      </c>
      <c r="N268" s="569">
        <f t="shared" ca="1" si="95"/>
        <v>22.753569338807658</v>
      </c>
      <c r="O268" s="569">
        <f t="shared" ca="1" si="95"/>
        <v>22.540344353293648</v>
      </c>
      <c r="P268" s="569">
        <f t="shared" ca="1" si="95"/>
        <v>22.474611758698366</v>
      </c>
      <c r="Q268" s="569">
        <f t="shared" ca="1" si="95"/>
        <v>22.309612484624097</v>
      </c>
      <c r="R268" s="510"/>
      <c r="S268" s="687">
        <f t="shared" ca="1" si="96"/>
        <v>22.591285560530725</v>
      </c>
      <c r="T268" s="510"/>
      <c r="U268" s="570">
        <f t="shared" ca="1" si="97"/>
        <v>22.878289867229849</v>
      </c>
      <c r="V268" s="570">
        <f t="shared" ca="1" si="98"/>
        <v>22.591285560530725</v>
      </c>
      <c r="W268" s="510"/>
      <c r="X268" s="569">
        <f t="shared" ca="1" si="99"/>
        <v>23.10621391260581</v>
      </c>
      <c r="Y268" s="510"/>
      <c r="Z268" s="706">
        <f t="shared" ca="1" si="100"/>
        <v>24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</v>
      </c>
      <c r="G269" s="569">
        <f t="shared" ca="1" si="94"/>
        <v>20.770832496457846</v>
      </c>
      <c r="H269" s="569">
        <f t="shared" ca="1" si="94"/>
        <v>20.819222288349373</v>
      </c>
      <c r="I269" s="569">
        <f t="shared" ca="1" si="94"/>
        <v>18.224868976823153</v>
      </c>
      <c r="J269" s="569">
        <f t="shared" ca="1" si="94"/>
        <v>18.64755036205722</v>
      </c>
      <c r="K269" s="569">
        <f t="shared" ca="1" si="94"/>
        <v>16.486615630572995</v>
      </c>
      <c r="L269" s="510"/>
      <c r="M269" s="705">
        <f t="shared" ca="1" si="95"/>
        <v>22.325560156894301</v>
      </c>
      <c r="N269" s="569">
        <f t="shared" ca="1" si="95"/>
        <v>20.795668334788658</v>
      </c>
      <c r="O269" s="569">
        <f t="shared" ca="1" si="95"/>
        <v>19.473956504785164</v>
      </c>
      <c r="P269" s="569">
        <f t="shared" ca="1" si="95"/>
        <v>18.441808255517508</v>
      </c>
      <c r="Q269" s="569">
        <f t="shared" ca="1" si="95"/>
        <v>17.527027747860515</v>
      </c>
      <c r="R269" s="510"/>
      <c r="S269" s="687">
        <f t="shared" ca="1" si="96"/>
        <v>19.712804199969227</v>
      </c>
      <c r="T269" s="510"/>
      <c r="U269" s="570">
        <f t="shared" ca="1" si="97"/>
        <v>22.325560156894301</v>
      </c>
      <c r="V269" s="570">
        <f t="shared" ca="1" si="98"/>
        <v>19.712804199969227</v>
      </c>
      <c r="W269" s="510"/>
      <c r="X269" s="569">
        <f t="shared" ca="1" si="99"/>
        <v>21.859673983239123</v>
      </c>
      <c r="Y269" s="510"/>
      <c r="Z269" s="706">
        <f t="shared" ca="1" si="100"/>
        <v>24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</v>
      </c>
      <c r="G270" s="569">
        <f t="shared" ca="1" si="94"/>
        <v>19.085443777666029</v>
      </c>
      <c r="H270" s="569">
        <f t="shared" ca="1" si="94"/>
        <v>18.014528982205995</v>
      </c>
      <c r="I270" s="569">
        <f t="shared" ca="1" si="94"/>
        <v>14.294542859529791</v>
      </c>
      <c r="J270" s="569">
        <f t="shared" ca="1" si="94"/>
        <v>13.927956277874156</v>
      </c>
      <c r="K270" s="569">
        <f t="shared" ca="1" si="94"/>
        <v>11.023561367344794</v>
      </c>
      <c r="L270" s="510"/>
      <c r="M270" s="705">
        <f t="shared" ca="1" si="95"/>
        <v>21.451625305645404</v>
      </c>
      <c r="N270" s="569">
        <f t="shared" ca="1" si="95"/>
        <v>18.535801679891701</v>
      </c>
      <c r="O270" s="569">
        <f t="shared" ca="1" si="95"/>
        <v>16.085581978751794</v>
      </c>
      <c r="P270" s="569">
        <f t="shared" ca="1" si="95"/>
        <v>14.106393981009004</v>
      </c>
      <c r="Q270" s="569">
        <f t="shared" ca="1" si="95"/>
        <v>12.421922740447197</v>
      </c>
      <c r="R270" s="510"/>
      <c r="S270" s="687">
        <f t="shared" ca="1" si="96"/>
        <v>16.520265137149021</v>
      </c>
      <c r="T270" s="510"/>
      <c r="U270" s="570">
        <f t="shared" ca="1" si="97"/>
        <v>21.451625305645404</v>
      </c>
      <c r="V270" s="570">
        <f t="shared" ca="1" si="98"/>
        <v>16.520265137149021</v>
      </c>
      <c r="W270" s="510"/>
      <c r="X270" s="569">
        <f t="shared" ca="1" si="99"/>
        <v>20.390163426305847</v>
      </c>
      <c r="Y270" s="510"/>
      <c r="Z270" s="706">
        <f t="shared" ca="1" si="100"/>
        <v>24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23.616143999182309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11.89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207.58333333333334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0.17161782416700119</v>
      </c>
      <c r="H282" s="726">
        <f t="shared" ref="H282:H293" si="102">IF($D$282=3,0,$D$291*G282*(1-$D$293))</f>
        <v>5.1076733383036067E-2</v>
      </c>
      <c r="J282" s="707">
        <f t="shared" ref="J282:J293" ca="1" si="103">MAX(0.0146*$D$303*(0.7*$D$304*ABS(AG5-Z231))^0.667,0.001)</f>
        <v>0.14505595610657213</v>
      </c>
      <c r="K282" s="707">
        <f t="shared" ref="K282:K293" ca="1" si="104">0.0769*$D$303*($D$305*$D$301*AH5^2)^0.667</f>
        <v>0.13297574551567001</v>
      </c>
      <c r="L282" s="729">
        <f t="shared" ref="L282:L293" ca="1" si="105">MAX(J282,K282)+0.14*J282*K282/$D$303</f>
        <v>0.1542606724614986</v>
      </c>
      <c r="M282" s="729">
        <f t="shared" ref="M282:M293" ca="1" si="106">MAX(0,-$D$290)+L282</f>
        <v>0.1542606724614986</v>
      </c>
      <c r="N282" s="541"/>
      <c r="O282" s="729">
        <f ca="1">H282+M282</f>
        <v>0.20533740584453467</v>
      </c>
      <c r="P282" s="718">
        <f ca="1">O282/3.6*1.2</f>
        <v>6.8445801948178217E-2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1.25</v>
      </c>
      <c r="F283" s="541" t="s">
        <v>115</v>
      </c>
      <c r="G283" s="724">
        <f t="shared" si="101"/>
        <v>0.17161782416700119</v>
      </c>
      <c r="H283" s="598">
        <f t="shared" si="102"/>
        <v>5.1076733383036067E-2</v>
      </c>
      <c r="J283" s="707">
        <f t="shared" ca="1" si="103"/>
        <v>0.13663192172559563</v>
      </c>
      <c r="K283" s="707">
        <f t="shared" ca="1" si="104"/>
        <v>0.13992769390974832</v>
      </c>
      <c r="L283" s="729">
        <f t="shared" ca="1" si="105"/>
        <v>0.14905112642271384</v>
      </c>
      <c r="M283" s="729">
        <f t="shared" ca="1" si="106"/>
        <v>0.14905112642271384</v>
      </c>
      <c r="N283" s="541"/>
      <c r="O283" s="729">
        <f t="shared" ref="O283:O293" ca="1" si="107">H283+M283</f>
        <v>0.2001278598057499</v>
      </c>
      <c r="P283" s="718">
        <f t="shared" ref="P283:P293" ca="1" si="108">O283/3.6*1.2</f>
        <v>6.6709286601916634E-2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0.17161782416700119</v>
      </c>
      <c r="H284" s="598">
        <f t="shared" si="102"/>
        <v>5.1076733383036067E-2</v>
      </c>
      <c r="J284" s="707">
        <f t="shared" ca="1" si="103"/>
        <v>0.11052610400776793</v>
      </c>
      <c r="K284" s="707">
        <f t="shared" ca="1" si="104"/>
        <v>0.15542467671804922</v>
      </c>
      <c r="L284" s="729">
        <f t="shared" ca="1" si="105"/>
        <v>0.16362228656212291</v>
      </c>
      <c r="M284" s="729">
        <f t="shared" ca="1" si="106"/>
        <v>0.16362228656212291</v>
      </c>
      <c r="N284" s="541"/>
      <c r="O284" s="729">
        <f t="shared" ca="1" si="107"/>
        <v>0.21469901994515897</v>
      </c>
      <c r="P284" s="718">
        <f t="shared" ca="1" si="108"/>
        <v>7.1566339981719657E-2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0.17161782416700119</v>
      </c>
      <c r="H285" s="598">
        <f t="shared" si="102"/>
        <v>5.1076733383036067E-2</v>
      </c>
      <c r="J285" s="707">
        <f t="shared" ca="1" si="103"/>
        <v>8.5605423326144084E-2</v>
      </c>
      <c r="K285" s="707">
        <f t="shared" ca="1" si="104"/>
        <v>0.13152121450804913</v>
      </c>
      <c r="L285" s="729">
        <f t="shared" ca="1" si="105"/>
        <v>0.13689399998151314</v>
      </c>
      <c r="M285" s="729">
        <f t="shared" ca="1" si="106"/>
        <v>0.13689399998151314</v>
      </c>
      <c r="N285" s="541"/>
      <c r="O285" s="729">
        <f t="shared" ca="1" si="107"/>
        <v>0.1879707333645492</v>
      </c>
      <c r="P285" s="718">
        <f t="shared" ca="1" si="108"/>
        <v>6.2656911121516404E-2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0.17161782416700119</v>
      </c>
      <c r="H286" s="598">
        <f t="shared" si="102"/>
        <v>5.1076733383036067E-2</v>
      </c>
      <c r="J286" s="707">
        <f t="shared" ca="1" si="103"/>
        <v>5.6223400337487246E-2</v>
      </c>
      <c r="K286" s="707">
        <f t="shared" ca="1" si="104"/>
        <v>9.3355298661032565E-2</v>
      </c>
      <c r="L286" s="729">
        <f t="shared" ca="1" si="105"/>
        <v>9.5860014665705179E-2</v>
      </c>
      <c r="M286" s="729">
        <f t="shared" ca="1" si="106"/>
        <v>9.5860014665705179E-2</v>
      </c>
      <c r="N286" s="541"/>
      <c r="O286" s="729">
        <f t="shared" ca="1" si="107"/>
        <v>0.14693674804874124</v>
      </c>
      <c r="P286" s="718">
        <f t="shared" ca="1" si="108"/>
        <v>4.8978916016247077E-2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0.17161782416700119</v>
      </c>
      <c r="H287" s="598">
        <f t="shared" si="102"/>
        <v>5.1076733383036067E-2</v>
      </c>
      <c r="J287" s="707">
        <f t="shared" ca="1" si="103"/>
        <v>4.0384442490203334E-3</v>
      </c>
      <c r="K287" s="707">
        <f t="shared" ca="1" si="104"/>
        <v>0.13320034362037148</v>
      </c>
      <c r="L287" s="729">
        <f t="shared" ca="1" si="105"/>
        <v>0.13345704124350319</v>
      </c>
      <c r="M287" s="729">
        <f t="shared" ca="1" si="106"/>
        <v>0.13345704124350319</v>
      </c>
      <c r="N287" s="541"/>
      <c r="O287" s="729">
        <f t="shared" ca="1" si="107"/>
        <v>0.18453377462653925</v>
      </c>
      <c r="P287" s="718">
        <f t="shared" ca="1" si="108"/>
        <v>6.1511258208846412E-2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0.17161782416700119</v>
      </c>
      <c r="E288" s="541"/>
      <c r="F288" s="541" t="s">
        <v>120</v>
      </c>
      <c r="G288" s="724">
        <f t="shared" si="101"/>
        <v>0.17161782416700119</v>
      </c>
      <c r="H288" s="598">
        <f t="shared" si="102"/>
        <v>5.1076733383036067E-2</v>
      </c>
      <c r="J288" s="707">
        <f t="shared" ca="1" si="103"/>
        <v>3.7678485315462348E-2</v>
      </c>
      <c r="K288" s="707">
        <f t="shared" ca="1" si="104"/>
        <v>0.11017681038515599</v>
      </c>
      <c r="L288" s="729">
        <f t="shared" ca="1" si="105"/>
        <v>0.11215781752827696</v>
      </c>
      <c r="M288" s="729">
        <f t="shared" ca="1" si="106"/>
        <v>0.11215781752827696</v>
      </c>
      <c r="N288" s="541"/>
      <c r="O288" s="729">
        <f t="shared" ca="1" si="107"/>
        <v>0.16323455091131303</v>
      </c>
      <c r="P288" s="718">
        <f t="shared" ca="1" si="108"/>
        <v>5.4411516970437675E-2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0.17161782416700119</v>
      </c>
      <c r="E289" s="541"/>
      <c r="F289" s="541" t="s">
        <v>121</v>
      </c>
      <c r="G289" s="724">
        <f t="shared" si="101"/>
        <v>0.17161782416700119</v>
      </c>
      <c r="H289" s="598">
        <f t="shared" si="102"/>
        <v>5.1076733383036067E-2</v>
      </c>
      <c r="J289" s="707">
        <f t="shared" ca="1" si="103"/>
        <v>1.4920109236151051E-2</v>
      </c>
      <c r="K289" s="707">
        <f t="shared" ca="1" si="104"/>
        <v>9.6683202023914561E-2</v>
      </c>
      <c r="L289" s="729">
        <f t="shared" ca="1" si="105"/>
        <v>9.7371577577004473E-2</v>
      </c>
      <c r="M289" s="729">
        <f t="shared" ca="1" si="106"/>
        <v>9.7371577577004473E-2</v>
      </c>
      <c r="N289" s="541"/>
      <c r="O289" s="729">
        <f t="shared" ca="1" si="107"/>
        <v>0.14844831096004055</v>
      </c>
      <c r="P289" s="718">
        <f t="shared" ca="1" si="108"/>
        <v>4.9482770320013511E-2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0.17161782416700119</v>
      </c>
      <c r="H290" s="598">
        <f t="shared" si="102"/>
        <v>5.1076733383036067E-2</v>
      </c>
      <c r="J290" s="707">
        <f t="shared" ca="1" si="103"/>
        <v>3.5464204947140025E-2</v>
      </c>
      <c r="K290" s="707">
        <f t="shared" ca="1" si="104"/>
        <v>8.2678598694146468E-2</v>
      </c>
      <c r="L290" s="729">
        <f t="shared" ca="1" si="105"/>
        <v>8.407781786136953E-2</v>
      </c>
      <c r="M290" s="729">
        <f t="shared" ca="1" si="106"/>
        <v>8.407781786136953E-2</v>
      </c>
      <c r="N290" s="541"/>
      <c r="O290" s="729">
        <f t="shared" ca="1" si="107"/>
        <v>0.13515455124440559</v>
      </c>
      <c r="P290" s="718">
        <f t="shared" ca="1" si="108"/>
        <v>4.5051517081468526E-2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0.29761904761904762</v>
      </c>
      <c r="E291" s="539"/>
      <c r="F291" s="541" t="s">
        <v>123</v>
      </c>
      <c r="G291" s="724">
        <f t="shared" si="101"/>
        <v>0.17161782416700119</v>
      </c>
      <c r="H291" s="598">
        <f t="shared" si="102"/>
        <v>5.1076733383036067E-2</v>
      </c>
      <c r="J291" s="707">
        <f t="shared" ca="1" si="103"/>
        <v>7.9748710456918698E-2</v>
      </c>
      <c r="K291" s="707">
        <f t="shared" ca="1" si="104"/>
        <v>0.12956308980342651</v>
      </c>
      <c r="L291" s="729">
        <f t="shared" ca="1" si="105"/>
        <v>0.13449377614110083</v>
      </c>
      <c r="M291" s="729">
        <f t="shared" ca="1" si="106"/>
        <v>0.13449377614110083</v>
      </c>
      <c r="N291" s="541"/>
      <c r="O291" s="729">
        <f t="shared" ca="1" si="107"/>
        <v>0.1855705095241369</v>
      </c>
      <c r="P291" s="718">
        <f t="shared" ca="1" si="108"/>
        <v>6.1856836508045625E-2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0.17161782416700119</v>
      </c>
      <c r="H292" s="598">
        <f t="shared" si="102"/>
        <v>5.1076733383036067E-2</v>
      </c>
      <c r="J292" s="707">
        <f t="shared" ca="1" si="103"/>
        <v>0.10602104378754447</v>
      </c>
      <c r="K292" s="707">
        <f t="shared" ca="1" si="104"/>
        <v>0.1482624737083002</v>
      </c>
      <c r="L292" s="729">
        <f t="shared" ca="1" si="105"/>
        <v>0.15576358705304064</v>
      </c>
      <c r="M292" s="729">
        <f t="shared" ca="1" si="106"/>
        <v>0.15576358705304064</v>
      </c>
      <c r="N292" s="541"/>
      <c r="O292" s="729">
        <f t="shared" ca="1" si="107"/>
        <v>0.2068403204360767</v>
      </c>
      <c r="P292" s="718">
        <f t="shared" ca="1" si="108"/>
        <v>6.8946773478692228E-2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0.17161782416700119</v>
      </c>
      <c r="H293" s="598">
        <f t="shared" si="102"/>
        <v>5.1076733383036067E-2</v>
      </c>
      <c r="J293" s="707">
        <f t="shared" ca="1" si="103"/>
        <v>0.1412293012859033</v>
      </c>
      <c r="K293" s="707">
        <f t="shared" ca="1" si="104"/>
        <v>0.11212018720906546</v>
      </c>
      <c r="L293" s="729">
        <f t="shared" ca="1" si="105"/>
        <v>0.14878563335565639</v>
      </c>
      <c r="M293" s="729">
        <f t="shared" ca="1" si="106"/>
        <v>0.14878563335565639</v>
      </c>
      <c r="N293" s="541"/>
      <c r="O293" s="729">
        <f t="shared" ca="1" si="107"/>
        <v>0.19986236673869245</v>
      </c>
      <c r="P293" s="718">
        <f t="shared" ca="1" si="108"/>
        <v>6.662078891289748E-2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0.17161782416700119</v>
      </c>
      <c r="H294" s="716">
        <f>AVERAGE(H282:H293)</f>
        <v>5.1076733383036081E-2</v>
      </c>
      <c r="J294" s="710">
        <f ca="1">AVERAGE(J282:J293)</f>
        <v>7.9428592065142259E-2</v>
      </c>
      <c r="K294" s="710">
        <f ca="1">AVERAGE(K282:K293)</f>
        <v>0.12215744456307749</v>
      </c>
      <c r="L294" s="710">
        <f ca="1">AVERAGE(L282:L293)</f>
        <v>0.1304829459044588</v>
      </c>
      <c r="M294" s="710">
        <f ca="1">AVERAGE(M282:M293)</f>
        <v>0.1304829459044588</v>
      </c>
      <c r="N294" s="710"/>
      <c r="O294" s="710">
        <f t="shared" ref="O294:P294" ca="1" si="109">AVERAGE(O282:O293)</f>
        <v>0.18155967928749486</v>
      </c>
      <c r="P294" s="710">
        <f t="shared" ca="1" si="109"/>
        <v>6.0519893095831619E-2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0.17161782416700119</v>
      </c>
      <c r="H296" s="598">
        <f t="shared" ref="H296:H307" si="111">IF($D$282=3,0,$D$291*G296*(1-$D$293))</f>
        <v>5.1076733383036067E-2</v>
      </c>
      <c r="J296" s="707">
        <f t="shared" ref="J296:J307" ca="1" si="112">MAX(0.0146*$D$303*(0.7*$D$304*ABS(AG5-Z259))^0.667,0.001)</f>
        <v>0.16498948303689007</v>
      </c>
      <c r="K296" s="707">
        <f t="shared" ref="K296:K307" ca="1" si="113">0.0769*$D$303*($D$305*$D$301*AH5^2)^0.667</f>
        <v>0.13297574551567001</v>
      </c>
      <c r="L296" s="729">
        <f t="shared" ref="L296:L307" ca="1" si="114">MAX(J296,K296)+0.14*J296*K296/$D$303</f>
        <v>0.17545910754362012</v>
      </c>
      <c r="M296" s="729">
        <f t="shared" ref="M296:M307" ca="1" si="115">MAX(0,-$D$290)+L296</f>
        <v>0.17545910754362012</v>
      </c>
      <c r="N296" s="541"/>
      <c r="O296" s="729">
        <f ca="1">H296+M296</f>
        <v>0.22653584092665618</v>
      </c>
      <c r="P296" s="718">
        <f ca="1">O296/3.6*1.2</f>
        <v>7.5511946975552052E-2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0.17161782416700119</v>
      </c>
      <c r="H297" s="598">
        <f t="shared" si="111"/>
        <v>5.1076733383036067E-2</v>
      </c>
      <c r="J297" s="707">
        <f t="shared" ca="1" si="112"/>
        <v>0.15675767642648464</v>
      </c>
      <c r="K297" s="707">
        <f t="shared" ca="1" si="113"/>
        <v>0.13992769390974832</v>
      </c>
      <c r="L297" s="729">
        <f t="shared" ca="1" si="114"/>
        <v>0.1672249820436785</v>
      </c>
      <c r="M297" s="729">
        <f t="shared" ca="1" si="115"/>
        <v>0.1672249820436785</v>
      </c>
      <c r="N297" s="541"/>
      <c r="O297" s="729">
        <f t="shared" ref="O297:O307" ca="1" si="116">H297+M297</f>
        <v>0.21830171542671456</v>
      </c>
      <c r="P297" s="718">
        <f t="shared" ref="P297:P307" ca="1" si="117">O297/3.6*1.2</f>
        <v>7.2767238475571511E-2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0.17161782416700119</v>
      </c>
      <c r="H298" s="598">
        <f t="shared" si="111"/>
        <v>5.1076733383036067E-2</v>
      </c>
      <c r="J298" s="707">
        <f t="shared" ca="1" si="112"/>
        <v>0.13059176880640971</v>
      </c>
      <c r="K298" s="707">
        <f t="shared" ca="1" si="113"/>
        <v>0.15542467671804922</v>
      </c>
      <c r="L298" s="729">
        <f t="shared" ca="1" si="114"/>
        <v>0.16511053671585735</v>
      </c>
      <c r="M298" s="729">
        <f t="shared" ca="1" si="115"/>
        <v>0.16511053671585735</v>
      </c>
      <c r="N298" s="541"/>
      <c r="O298" s="729">
        <f t="shared" ca="1" si="116"/>
        <v>0.21618727009889341</v>
      </c>
      <c r="P298" s="718">
        <f t="shared" ca="1" si="117"/>
        <v>7.2062423366297798E-2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0.17161782416700119</v>
      </c>
      <c r="H299" s="598">
        <f t="shared" si="111"/>
        <v>5.1076733383036067E-2</v>
      </c>
      <c r="J299" s="707">
        <f t="shared" ca="1" si="112"/>
        <v>0.10264551858197493</v>
      </c>
      <c r="K299" s="707">
        <f t="shared" ca="1" si="113"/>
        <v>0.13152121450804913</v>
      </c>
      <c r="L299" s="729">
        <f t="shared" ca="1" si="114"/>
        <v>0.13796347400196354</v>
      </c>
      <c r="M299" s="729">
        <f t="shared" ca="1" si="115"/>
        <v>0.13796347400196354</v>
      </c>
      <c r="N299" s="541"/>
      <c r="O299" s="729">
        <f t="shared" ca="1" si="116"/>
        <v>0.1890402073849996</v>
      </c>
      <c r="P299" s="718">
        <f t="shared" ca="1" si="117"/>
        <v>6.3013402461666534E-2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0.17161782416700119</v>
      </c>
      <c r="H300" s="598">
        <f t="shared" si="111"/>
        <v>5.1076733383036067E-2</v>
      </c>
      <c r="J300" s="707">
        <f t="shared" ca="1" si="112"/>
        <v>7.483451796087208E-2</v>
      </c>
      <c r="K300" s="707">
        <f t="shared" ca="1" si="113"/>
        <v>9.3355298661032565E-2</v>
      </c>
      <c r="L300" s="729">
        <f t="shared" ca="1" si="114"/>
        <v>9.6689127880066492E-2</v>
      </c>
      <c r="M300" s="729">
        <f t="shared" ca="1" si="115"/>
        <v>9.6689127880066492E-2</v>
      </c>
      <c r="N300" s="541"/>
      <c r="O300" s="729">
        <f t="shared" ca="1" si="116"/>
        <v>0.14776586126310257</v>
      </c>
      <c r="P300" s="718">
        <f t="shared" ca="1" si="117"/>
        <v>4.9255287087700855E-2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0.17161782416700119</v>
      </c>
      <c r="H301" s="598">
        <f t="shared" si="111"/>
        <v>5.1076733383036067E-2</v>
      </c>
      <c r="J301" s="707">
        <f t="shared" ca="1" si="112"/>
        <v>4.0120651698304699E-2</v>
      </c>
      <c r="K301" s="707">
        <f t="shared" ca="1" si="113"/>
        <v>0.13320034362037148</v>
      </c>
      <c r="L301" s="729">
        <f t="shared" ca="1" si="114"/>
        <v>0.13575055238750966</v>
      </c>
      <c r="M301" s="729">
        <f t="shared" ca="1" si="115"/>
        <v>0.13575055238750966</v>
      </c>
      <c r="N301" s="541"/>
      <c r="O301" s="729">
        <f t="shared" ca="1" si="116"/>
        <v>0.18682728577054572</v>
      </c>
      <c r="P301" s="718">
        <f t="shared" ca="1" si="117"/>
        <v>6.2275761923515235E-2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2.7</v>
      </c>
      <c r="E302" s="717" t="s">
        <v>842</v>
      </c>
      <c r="F302" s="541" t="s">
        <v>120</v>
      </c>
      <c r="G302" s="724">
        <f t="shared" si="110"/>
        <v>0.17161782416700119</v>
      </c>
      <c r="H302" s="598">
        <f t="shared" si="111"/>
        <v>5.1076733383036067E-2</v>
      </c>
      <c r="J302" s="707">
        <f t="shared" ca="1" si="112"/>
        <v>1.2009692076278073E-2</v>
      </c>
      <c r="K302" s="707">
        <f t="shared" ca="1" si="113"/>
        <v>0.11017681038515599</v>
      </c>
      <c r="L302" s="729">
        <f t="shared" ca="1" si="114"/>
        <v>0.11080823931842117</v>
      </c>
      <c r="M302" s="729">
        <f t="shared" ca="1" si="115"/>
        <v>0.11080823931842117</v>
      </c>
      <c r="N302" s="541"/>
      <c r="O302" s="729">
        <f t="shared" ca="1" si="116"/>
        <v>0.16188497270145724</v>
      </c>
      <c r="P302" s="718">
        <f t="shared" ca="1" si="117"/>
        <v>5.3961657567152412E-2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0.29337670413070893</v>
      </c>
      <c r="E303" s="593" t="s">
        <v>846</v>
      </c>
      <c r="F303" s="541" t="s">
        <v>121</v>
      </c>
      <c r="G303" s="724">
        <f t="shared" si="110"/>
        <v>0.17161782416700119</v>
      </c>
      <c r="H303" s="598">
        <f t="shared" si="111"/>
        <v>5.1076733383036067E-2</v>
      </c>
      <c r="J303" s="707">
        <f t="shared" ca="1" si="112"/>
        <v>3.4772007286852459E-2</v>
      </c>
      <c r="K303" s="707">
        <f t="shared" ca="1" si="113"/>
        <v>9.6683202023914561E-2</v>
      </c>
      <c r="L303" s="729">
        <f t="shared" ca="1" si="114"/>
        <v>9.8287493210344801E-2</v>
      </c>
      <c r="M303" s="729">
        <f t="shared" ca="1" si="115"/>
        <v>9.8287493210344801E-2</v>
      </c>
      <c r="N303" s="541"/>
      <c r="O303" s="729">
        <f t="shared" ca="1" si="116"/>
        <v>0.14936422659338086</v>
      </c>
      <c r="P303" s="718">
        <f t="shared" ca="1" si="117"/>
        <v>4.9788075531126949E-2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11.89</v>
      </c>
      <c r="E304" s="541"/>
      <c r="F304" s="541" t="s">
        <v>122</v>
      </c>
      <c r="G304" s="724">
        <f t="shared" si="110"/>
        <v>0.17161782416700119</v>
      </c>
      <c r="H304" s="598">
        <f t="shared" si="111"/>
        <v>5.1076733383036067E-2</v>
      </c>
      <c r="J304" s="707">
        <f t="shared" ca="1" si="112"/>
        <v>5.8753006383649789E-2</v>
      </c>
      <c r="K304" s="707">
        <f t="shared" ca="1" si="113"/>
        <v>8.2678598694146468E-2</v>
      </c>
      <c r="L304" s="729">
        <f t="shared" ca="1" si="114"/>
        <v>8.4996663706079334E-2</v>
      </c>
      <c r="M304" s="729">
        <f t="shared" ca="1" si="115"/>
        <v>8.4996663706079334E-2</v>
      </c>
      <c r="N304" s="541"/>
      <c r="O304" s="729">
        <f t="shared" ca="1" si="116"/>
        <v>0.13607339708911539</v>
      </c>
      <c r="P304" s="718">
        <f t="shared" ca="1" si="117"/>
        <v>4.5357799029705131E-2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0.17161782416700119</v>
      </c>
      <c r="H305" s="598">
        <f t="shared" si="111"/>
        <v>5.1076733383036067E-2</v>
      </c>
      <c r="J305" s="707">
        <f t="shared" ca="1" si="112"/>
        <v>9.7494365569195218E-2</v>
      </c>
      <c r="K305" s="707">
        <f t="shared" ca="1" si="113"/>
        <v>0.12956308980342651</v>
      </c>
      <c r="L305" s="729">
        <f t="shared" ca="1" si="114"/>
        <v>0.13559095073757849</v>
      </c>
      <c r="M305" s="729">
        <f t="shared" ca="1" si="115"/>
        <v>0.13559095073757849</v>
      </c>
      <c r="N305" s="541"/>
      <c r="O305" s="729">
        <f t="shared" ca="1" si="116"/>
        <v>0.18666768412061455</v>
      </c>
      <c r="P305" s="718">
        <f t="shared" ca="1" si="117"/>
        <v>6.2222561373538175E-2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0.17161782416700119</v>
      </c>
      <c r="H306" s="598">
        <f t="shared" si="111"/>
        <v>5.1076733383036067E-2</v>
      </c>
      <c r="J306" s="707">
        <f t="shared" ca="1" si="112"/>
        <v>0.12661389112292301</v>
      </c>
      <c r="K306" s="707">
        <f t="shared" ca="1" si="113"/>
        <v>0.1482624737083002</v>
      </c>
      <c r="L306" s="729">
        <f t="shared" ca="1" si="114"/>
        <v>0.15722055518347286</v>
      </c>
      <c r="M306" s="729">
        <f t="shared" ca="1" si="115"/>
        <v>0.15722055518347286</v>
      </c>
      <c r="N306" s="541"/>
      <c r="O306" s="729">
        <f t="shared" ca="1" si="116"/>
        <v>0.20829728856650892</v>
      </c>
      <c r="P306" s="718">
        <f t="shared" ca="1" si="117"/>
        <v>6.9432429522169645E-2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0.17161782416700119</v>
      </c>
      <c r="H307" s="598">
        <f t="shared" si="111"/>
        <v>5.1076733383036067E-2</v>
      </c>
      <c r="J307" s="707">
        <f t="shared" ca="1" si="112"/>
        <v>0.16124974802617725</v>
      </c>
      <c r="K307" s="707">
        <f t="shared" ca="1" si="113"/>
        <v>0.11212018720906546</v>
      </c>
      <c r="L307" s="729">
        <f t="shared" ca="1" si="114"/>
        <v>0.16987725401222739</v>
      </c>
      <c r="M307" s="729">
        <f t="shared" ca="1" si="115"/>
        <v>0.16987725401222739</v>
      </c>
      <c r="N307" s="541"/>
      <c r="O307" s="729">
        <f t="shared" ca="1" si="116"/>
        <v>0.22095398739526345</v>
      </c>
      <c r="P307" s="718">
        <f t="shared" ca="1" si="117"/>
        <v>7.3651329131754484E-2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0.17161782416700119</v>
      </c>
      <c r="H308" s="735">
        <f>AVERAGE(H296:H307)</f>
        <v>5.1076733383036081E-2</v>
      </c>
      <c r="J308" s="734">
        <f t="shared" ref="J308:P308" ca="1" si="118">AVERAGE(J296:J307)</f>
        <v>9.6736027248000997E-2</v>
      </c>
      <c r="K308" s="734">
        <f t="shared" ca="1" si="118"/>
        <v>0.12215744456307749</v>
      </c>
      <c r="L308" s="734">
        <f t="shared" ca="1" si="118"/>
        <v>0.13624824472840164</v>
      </c>
      <c r="M308" s="734">
        <f t="shared" ca="1" si="118"/>
        <v>0.13624824472840164</v>
      </c>
      <c r="N308" s="734"/>
      <c r="O308" s="734">
        <f t="shared" ca="1" si="118"/>
        <v>0.1873249781114377</v>
      </c>
      <c r="P308" s="734">
        <f t="shared" ca="1" si="118"/>
        <v>6.2441659370479241E-2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23129.132238247643</v>
      </c>
      <c r="D313" s="664">
        <f>$K$176*Calcs!O5</f>
        <v>43186.219323428566</v>
      </c>
      <c r="E313" s="685">
        <f>$K$177*Calcs!O5</f>
        <v>41950.678487671226</v>
      </c>
      <c r="F313" s="730">
        <f t="shared" ref="F313:F324" si="119">SUM(C313:E313)</f>
        <v>108266.03004934744</v>
      </c>
      <c r="H313" s="753">
        <f t="shared" ref="H313:H324" ca="1" si="120">F313+AM144</f>
        <v>142138.88767239629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20890.829118417227</v>
      </c>
      <c r="D314" s="664">
        <f>$K$176*Calcs!O6</f>
        <v>39006.907776</v>
      </c>
      <c r="E314" s="685">
        <f>$K$177*Calcs!O6</f>
        <v>37890.935408219178</v>
      </c>
      <c r="F314" s="730">
        <f t="shared" si="119"/>
        <v>97788.672302636405</v>
      </c>
      <c r="H314" s="753">
        <f t="shared" ca="1" si="120"/>
        <v>137088.37833186137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23129.132238247643</v>
      </c>
      <c r="D315" s="664">
        <f>$K$176*Calcs!O7</f>
        <v>43186.219323428566</v>
      </c>
      <c r="E315" s="685">
        <f>$K$177*Calcs!O7</f>
        <v>41950.678487671226</v>
      </c>
      <c r="F315" s="730">
        <f t="shared" si="119"/>
        <v>108266.03004934744</v>
      </c>
      <c r="H315" s="753">
        <f t="shared" ca="1" si="120"/>
        <v>160290.8147951854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22383.031198304172</v>
      </c>
      <c r="D316" s="664">
        <f>$K$176*Calcs!O8</f>
        <v>41793.115474285711</v>
      </c>
      <c r="E316" s="685">
        <f>$K$177*Calcs!O8</f>
        <v>40597.430794520544</v>
      </c>
      <c r="F316" s="730">
        <f t="shared" si="119"/>
        <v>104773.57746711042</v>
      </c>
      <c r="H316" s="753">
        <f t="shared" ca="1" si="120"/>
        <v>160387.15932518654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23129.132238247643</v>
      </c>
      <c r="D317" s="664">
        <f>$K$176*Calcs!O9</f>
        <v>43186.219323428566</v>
      </c>
      <c r="E317" s="685">
        <f>$K$177*Calcs!O9</f>
        <v>41950.678487671226</v>
      </c>
      <c r="F317" s="730">
        <f t="shared" si="119"/>
        <v>108266.03004934744</v>
      </c>
      <c r="H317" s="753">
        <f t="shared" ca="1" si="120"/>
        <v>179507.63557450086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22383.031198304172</v>
      </c>
      <c r="D318" s="664">
        <f>$K$176*Calcs!O10</f>
        <v>41793.115474285711</v>
      </c>
      <c r="E318" s="685">
        <f>$K$177*Calcs!O10</f>
        <v>40597.430794520544</v>
      </c>
      <c r="F318" s="730">
        <f t="shared" si="119"/>
        <v>104773.57746711042</v>
      </c>
      <c r="H318" s="753">
        <f t="shared" ca="1" si="120"/>
        <v>175916.16706703429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23129.132238247643</v>
      </c>
      <c r="D319" s="664">
        <f>$K$176*Calcs!O11</f>
        <v>43186.219323428566</v>
      </c>
      <c r="E319" s="685">
        <f>$K$177*Calcs!O11</f>
        <v>41950.678487671226</v>
      </c>
      <c r="F319" s="730">
        <f t="shared" si="119"/>
        <v>108266.03004934744</v>
      </c>
      <c r="H319" s="753">
        <f t="shared" ca="1" si="120"/>
        <v>181953.18629275518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23129.132238247643</v>
      </c>
      <c r="D320" s="664">
        <f>$K$176*Calcs!O12</f>
        <v>43186.219323428566</v>
      </c>
      <c r="E320" s="685">
        <f>$K$177*Calcs!O12</f>
        <v>41950.678487671226</v>
      </c>
      <c r="F320" s="730">
        <f t="shared" si="119"/>
        <v>108266.03004934744</v>
      </c>
      <c r="H320" s="753">
        <f t="shared" ca="1" si="120"/>
        <v>174009.8499923675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22383.031198304172</v>
      </c>
      <c r="D321" s="664">
        <f>$K$176*Calcs!O13</f>
        <v>41793.115474285711</v>
      </c>
      <c r="E321" s="685">
        <f>$K$177*Calcs!O13</f>
        <v>40597.430794520544</v>
      </c>
      <c r="F321" s="730">
        <f t="shared" si="119"/>
        <v>104773.57746711042</v>
      </c>
      <c r="H321" s="753">
        <f t="shared" ca="1" si="120"/>
        <v>162036.63082973665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23129.132238247643</v>
      </c>
      <c r="D322" s="664">
        <f>$K$176*Calcs!O14</f>
        <v>43186.219323428566</v>
      </c>
      <c r="E322" s="685">
        <f>$K$177*Calcs!O14</f>
        <v>41950.678487671226</v>
      </c>
      <c r="F322" s="730">
        <f t="shared" si="119"/>
        <v>108266.03004934744</v>
      </c>
      <c r="H322" s="753">
        <f t="shared" ca="1" si="120"/>
        <v>156835.36466929383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22383.031198304172</v>
      </c>
      <c r="D323" s="664">
        <f>$K$176*Calcs!O15</f>
        <v>41793.115474285711</v>
      </c>
      <c r="E323" s="685">
        <f>$K$177*Calcs!O15</f>
        <v>40597.430794520544</v>
      </c>
      <c r="F323" s="730">
        <f t="shared" si="119"/>
        <v>104773.57746711042</v>
      </c>
      <c r="H323" s="753">
        <f t="shared" ca="1" si="120"/>
        <v>136315.79904558556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23129.132238247643</v>
      </c>
      <c r="D324" s="664">
        <f>$K$176*Calcs!O16</f>
        <v>43186.219323428566</v>
      </c>
      <c r="E324" s="685">
        <f>$K$177*Calcs!O16</f>
        <v>41950.678487671226</v>
      </c>
      <c r="F324" s="730">
        <f t="shared" si="119"/>
        <v>108266.03004934744</v>
      </c>
      <c r="H324" s="753">
        <f t="shared" ca="1" si="120"/>
        <v>138109.92903649271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272326.87957936741</v>
      </c>
      <c r="D325" s="683">
        <f>SUM(D313:D324)</f>
        <v>508482.90493714286</v>
      </c>
      <c r="E325" s="683">
        <f>SUM(E313:E324)</f>
        <v>493935.408</v>
      </c>
      <c r="F325" s="683">
        <f>SUM(F313:F324)</f>
        <v>1274745.1925165104</v>
      </c>
      <c r="H325" s="683">
        <f ca="1">SUM(H313:H324)</f>
        <v>1904589.8026323961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62.888403617362478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5.1925602411574987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168331.5186282979</v>
      </c>
      <c r="D345" s="757">
        <f ca="1">Calcs!P282*Calcs!$C$2</f>
        <v>340.9969853058239</v>
      </c>
      <c r="E345" s="685">
        <f ca="1">D345*(Calcs!Z231-Calcs!AG5)*Calcs!O5</f>
        <v>21569.246019908736</v>
      </c>
      <c r="F345" s="740">
        <f t="shared" ref="F345:F356" ca="1" si="121">C345+E345</f>
        <v>189900.76464820665</v>
      </c>
      <c r="G345" s="717"/>
      <c r="H345" s="758">
        <f t="shared" ref="H345:H356" ca="1" si="122">IF(F345=0,9999,H313/F345)</f>
        <v>0.74849033881306493</v>
      </c>
      <c r="I345" s="744">
        <f t="shared" ref="I345:I356" ca="1" si="123">IF(F345=0,9999,IF(F345&lt;0,H313,H313/F345))</f>
        <v>0.74849033881306493</v>
      </c>
      <c r="J345" s="760">
        <f t="shared" ref="J345:J356" ca="1" si="124">IF(H345&gt;0,(1-H345^$C$338)/(1-H345^($C$338+1)),1/H345)</f>
        <v>0.93297315570774708</v>
      </c>
      <c r="K345" s="539"/>
      <c r="L345" s="740">
        <f t="shared" ref="L345:L356" ca="1" si="125">F345-J345*H313</f>
        <v>57288.998067702079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138997.23877662275</v>
      </c>
      <c r="D346" s="757">
        <f ca="1">Calcs!P283*Calcs!$C$2</f>
        <v>332.34566585074867</v>
      </c>
      <c r="E346" s="685">
        <f ca="1">D346*(Calcs!Z232-Calcs!AG6)*Calcs!O6</f>
        <v>17358.619178064266</v>
      </c>
      <c r="F346" s="740">
        <f t="shared" ca="1" si="121"/>
        <v>156355.857954687</v>
      </c>
      <c r="G346" s="717"/>
      <c r="H346" s="758">
        <f t="shared" ca="1" si="122"/>
        <v>0.87677161652357483</v>
      </c>
      <c r="I346" s="744">
        <f t="shared" ca="1" si="123"/>
        <v>0.87677161652357483</v>
      </c>
      <c r="J346" s="760">
        <f t="shared" ca="1" si="124"/>
        <v>0.88825593409444192</v>
      </c>
      <c r="K346" s="539"/>
      <c r="L346" s="740">
        <f t="shared" ca="1" si="125"/>
        <v>34586.292406027234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111981.9159468649</v>
      </c>
      <c r="D347" s="757">
        <f ca="1">Calcs!P284*Calcs!$C$2</f>
        <v>356.54350578892735</v>
      </c>
      <c r="E347" s="685">
        <f ca="1">D347*(Calcs!Z233-Calcs!AG7)*Calcs!O7</f>
        <v>15003.04484116711</v>
      </c>
      <c r="F347" s="740">
        <f t="shared" ca="1" si="121"/>
        <v>126984.96078803201</v>
      </c>
      <c r="G347" s="717"/>
      <c r="H347" s="758">
        <f t="shared" ca="1" si="122"/>
        <v>1.2622818781095562</v>
      </c>
      <c r="I347" s="744">
        <f t="shared" ca="1" si="123"/>
        <v>1.2622818781095562</v>
      </c>
      <c r="J347" s="760">
        <f t="shared" ca="1" si="124"/>
        <v>0.72790151119413271</v>
      </c>
      <c r="K347" s="539"/>
      <c r="L347" s="740">
        <f t="shared" ca="1" si="125"/>
        <v>10309.034468077705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73883.125994952643</v>
      </c>
      <c r="D348" s="757">
        <f ca="1">Calcs!P285*Calcs!$C$2</f>
        <v>312.15673120739473</v>
      </c>
      <c r="E348" s="685">
        <f ca="1">D348*(Calcs!Z234-Calcs!AG8)*Calcs!O8</f>
        <v>8666.3644678291857</v>
      </c>
      <c r="F348" s="740">
        <f t="shared" ca="1" si="121"/>
        <v>82549.490462781832</v>
      </c>
      <c r="G348" s="717"/>
      <c r="H348" s="758">
        <f t="shared" ca="1" si="122"/>
        <v>1.9429212515551324</v>
      </c>
      <c r="I348" s="744">
        <f t="shared" ca="1" si="123"/>
        <v>1.9429212515551324</v>
      </c>
      <c r="J348" s="760">
        <f t="shared" ca="1" si="124"/>
        <v>0.50661827981732221</v>
      </c>
      <c r="K348" s="539"/>
      <c r="L348" s="740">
        <f t="shared" ca="1" si="125"/>
        <v>1294.4237006690382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40648.667517482405</v>
      </c>
      <c r="D349" s="757">
        <f ca="1">Calcs!P286*Calcs!$C$2</f>
        <v>244.01295959294293</v>
      </c>
      <c r="E349" s="685">
        <f ca="1">D349*(Calcs!Z235-Calcs!AG9)*Calcs!O9</f>
        <v>3727.1613105248316</v>
      </c>
      <c r="F349" s="740">
        <f t="shared" ca="1" si="121"/>
        <v>44375.828828007237</v>
      </c>
      <c r="G349" s="717"/>
      <c r="H349" s="758">
        <f t="shared" ca="1" si="122"/>
        <v>4.0451669369430894</v>
      </c>
      <c r="I349" s="744">
        <f t="shared" ca="1" si="123"/>
        <v>4.0451669369430894</v>
      </c>
      <c r="J349" s="760">
        <f t="shared" ca="1" si="124"/>
        <v>0.24707728780863308</v>
      </c>
      <c r="K349" s="539"/>
      <c r="L349" s="740">
        <f t="shared" ca="1" si="125"/>
        <v>23.569089319062186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-758.76746267522071</v>
      </c>
      <c r="D350" s="757">
        <f ca="1">Calcs!P287*Calcs!$C$2</f>
        <v>306.4490883964728</v>
      </c>
      <c r="E350" s="685">
        <f ca="1">D350*(Calcs!Z236-Calcs!AG10)*Calcs!O10</f>
        <v>-87.374764083604703</v>
      </c>
      <c r="F350" s="740">
        <f t="shared" ca="1" si="121"/>
        <v>-846.14222675882547</v>
      </c>
      <c r="G350" s="717"/>
      <c r="H350" s="758">
        <f t="shared" ca="1" si="122"/>
        <v>-207.9037796528448</v>
      </c>
      <c r="I350" s="744">
        <f t="shared" ca="1" si="123"/>
        <v>175916.16706703429</v>
      </c>
      <c r="J350" s="760">
        <f t="shared" ca="1" si="124"/>
        <v>-4.8099173649934976E-3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-22306.996970870321</v>
      </c>
      <c r="D351" s="757">
        <f ca="1">Calcs!P288*Calcs!$C$2</f>
        <v>271.0781775467205</v>
      </c>
      <c r="E351" s="685">
        <f ca="1">D351*(Calcs!Z237-Calcs!AG11)*Calcs!O11</f>
        <v>-2272.2423429592141</v>
      </c>
      <c r="F351" s="740">
        <f t="shared" ca="1" si="121"/>
        <v>-24579.239313829534</v>
      </c>
      <c r="G351" s="717"/>
      <c r="H351" s="758">
        <f t="shared" ca="1" si="122"/>
        <v>-7.4027183660797444</v>
      </c>
      <c r="I351" s="744">
        <f t="shared" ca="1" si="123"/>
        <v>181953.18629275518</v>
      </c>
      <c r="J351" s="760">
        <f t="shared" ca="1" si="124"/>
        <v>-0.13508551190899482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-5562.3786468336821</v>
      </c>
      <c r="D352" s="757">
        <f ca="1">Calcs!P289*Calcs!$C$2</f>
        <v>246.52316173430731</v>
      </c>
      <c r="E352" s="685">
        <f ca="1">D352*(Calcs!Z238-Calcs!AG12)*Calcs!O12</f>
        <v>-515.27285173058738</v>
      </c>
      <c r="F352" s="740">
        <f t="shared" ca="1" si="121"/>
        <v>-6077.6514985642698</v>
      </c>
      <c r="G352" s="717"/>
      <c r="H352" s="758">
        <f t="shared" ca="1" si="122"/>
        <v>-28.631100357345932</v>
      </c>
      <c r="I352" s="744">
        <f t="shared" ca="1" si="123"/>
        <v>174009.8499923675</v>
      </c>
      <c r="J352" s="760">
        <f t="shared" ca="1" si="124"/>
        <v>-3.4927054410028226E-2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19713.583433671014</v>
      </c>
      <c r="D353" s="757">
        <f ca="1">Calcs!P290*Calcs!$C$2</f>
        <v>224.4466580998762</v>
      </c>
      <c r="E353" s="685">
        <f ca="1">D353*(Calcs!Z239-Calcs!AG13)*Calcs!O13</f>
        <v>1662.6379981395994</v>
      </c>
      <c r="F353" s="740">
        <f t="shared" ca="1" si="121"/>
        <v>21376.221431810613</v>
      </c>
      <c r="G353" s="717"/>
      <c r="H353" s="758">
        <f t="shared" ca="1" si="122"/>
        <v>7.5802279344189873</v>
      </c>
      <c r="I353" s="744">
        <f t="shared" ca="1" si="123"/>
        <v>7.5802279344189873</v>
      </c>
      <c r="J353" s="760">
        <f t="shared" ca="1" si="124"/>
        <v>0.13191905645352972</v>
      </c>
      <c r="K353" s="539"/>
      <c r="L353" s="740">
        <f t="shared" ca="1" si="125"/>
        <v>0.50198184282999136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68650.287112860504</v>
      </c>
      <c r="D354" s="757">
        <f ca="1">Calcs!P291*Calcs!$C$2</f>
        <v>308.17075948308332</v>
      </c>
      <c r="E354" s="685">
        <f ca="1">D354*(Calcs!Z240-Calcs!AG14)*Calcs!O14</f>
        <v>7949.7371550212692</v>
      </c>
      <c r="F354" s="740">
        <f t="shared" ca="1" si="121"/>
        <v>76600.024267881774</v>
      </c>
      <c r="G354" s="717"/>
      <c r="H354" s="758">
        <f t="shared" ca="1" si="122"/>
        <v>2.0474584201281325</v>
      </c>
      <c r="I354" s="744">
        <f t="shared" ca="1" si="123"/>
        <v>2.0474584201281325</v>
      </c>
      <c r="J354" s="760">
        <f t="shared" ca="1" si="124"/>
        <v>0.48228874397686611</v>
      </c>
      <c r="K354" s="539"/>
      <c r="L354" s="740">
        <f t="shared" ca="1" si="125"/>
        <v>960.0932303742884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101815.01355109431</v>
      </c>
      <c r="D355" s="757">
        <f ca="1">Calcs!P292*Calcs!$C$2</f>
        <v>343.49282547084465</v>
      </c>
      <c r="E355" s="685">
        <f ca="1">D355*(Calcs!Z241-Calcs!AG15)*Calcs!O15</f>
        <v>13141.607042360809</v>
      </c>
      <c r="F355" s="740">
        <f t="shared" ca="1" si="121"/>
        <v>114956.62059345511</v>
      </c>
      <c r="G355" s="717"/>
      <c r="H355" s="758">
        <f t="shared" ca="1" si="122"/>
        <v>1.1858020733548469</v>
      </c>
      <c r="I355" s="744">
        <f t="shared" ca="1" si="123"/>
        <v>1.1858020733548469</v>
      </c>
      <c r="J355" s="760">
        <f t="shared" ca="1" si="124"/>
        <v>0.75965125928017485</v>
      </c>
      <c r="K355" s="539"/>
      <c r="L355" s="740">
        <f t="shared" ca="1" si="125"/>
        <v>11404.15218869278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161717.8697947055</v>
      </c>
      <c r="D356" s="757">
        <f ca="1">Calcs!P293*Calcs!$C$2</f>
        <v>331.90477036405525</v>
      </c>
      <c r="E356" s="685">
        <f ca="1">D356*(Calcs!Z242-Calcs!AG16)*Calcs!O16</f>
        <v>20169.284384913954</v>
      </c>
      <c r="F356" s="740">
        <f t="shared" ca="1" si="121"/>
        <v>181887.15417961945</v>
      </c>
      <c r="G356" s="717"/>
      <c r="H356" s="758">
        <f t="shared" ca="1" si="122"/>
        <v>0.75931656448978624</v>
      </c>
      <c r="I356" s="744">
        <f t="shared" ca="1" si="123"/>
        <v>0.75931656448978624</v>
      </c>
      <c r="J356" s="760">
        <f t="shared" ca="1" si="124"/>
        <v>0.92958632964059096</v>
      </c>
      <c r="K356" s="539"/>
      <c r="L356" s="740">
        <f t="shared" ca="1" si="125"/>
        <v>53502.052159663712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857111.07767617272</v>
      </c>
      <c r="D357" s="742"/>
      <c r="E357" s="683">
        <f ca="1">SUM(E345:E356)</f>
        <v>106372.81243915635</v>
      </c>
      <c r="F357" s="683">
        <f ca="1">SUM(F345:F356)</f>
        <v>963483.89011532906</v>
      </c>
      <c r="L357" s="781">
        <f ca="1">SUM(L345:L356)</f>
        <v>169369.11729236873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62.888403617362478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5.1925602411574987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204175.94090699995</v>
      </c>
      <c r="D371" s="757">
        <f ca="1">Calcs!P296*Calcs!$C$2</f>
        <v>376.20051983220031</v>
      </c>
      <c r="E371" s="685">
        <f ca="1">D371*(Calcs!Z259-Calcs!AG5)*Calcs!O5</f>
        <v>28863.097739502664</v>
      </c>
      <c r="F371" s="757">
        <f t="shared" ref="F371:F382" ca="1" si="126">C371+E371</f>
        <v>233039.03864650262</v>
      </c>
      <c r="G371" s="633" t="s">
        <v>114</v>
      </c>
      <c r="H371" s="762">
        <f t="shared" ref="H371:H382" ca="1" si="127">IF(H313=0,9999,F371/H313)</f>
        <v>1.6395164086524603</v>
      </c>
      <c r="I371" s="633" t="s">
        <v>114</v>
      </c>
      <c r="J371" s="763">
        <f t="shared" ref="J371:J382" ca="1" si="128">IF(H371&lt;0,1,(1-H371^$C$366)/(1-H371^($C$366+1)))</f>
        <v>0.59077940736312118</v>
      </c>
      <c r="K371" s="633" t="s">
        <v>114</v>
      </c>
      <c r="L371" s="685">
        <f t="shared" ref="L371:L382" ca="1" si="129">H313-J371*F371</f>
        <v>4464.222528343962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170795.49012106561</v>
      </c>
      <c r="D372" s="757">
        <f ca="1">Calcs!P297*Calcs!$C$2</f>
        <v>362.52638208529726</v>
      </c>
      <c r="E372" s="685">
        <f ca="1">D372*(Calcs!Z260-Calcs!AG6)*Calcs!O6</f>
        <v>23266.711185349846</v>
      </c>
      <c r="F372" s="757">
        <f t="shared" ca="1" si="126"/>
        <v>194062.20130641546</v>
      </c>
      <c r="G372" s="633" t="s">
        <v>115</v>
      </c>
      <c r="H372" s="762">
        <f t="shared" ca="1" si="127"/>
        <v>1.4155992190427169</v>
      </c>
      <c r="I372" s="633" t="s">
        <v>115</v>
      </c>
      <c r="J372" s="763">
        <f t="shared" ca="1" si="128"/>
        <v>0.66780596059921993</v>
      </c>
      <c r="K372" s="633" t="s">
        <v>115</v>
      </c>
      <c r="L372" s="685">
        <f t="shared" ca="1" si="129"/>
        <v>7492.4835724314034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143803.67889201123</v>
      </c>
      <c r="D373" s="757">
        <f ca="1">Calcs!P298*Calcs!$C$2</f>
        <v>359.01499321089562</v>
      </c>
      <c r="E373" s="685">
        <f ca="1">D373*(Calcs!Z261-Calcs!AG7)*Calcs!O7</f>
        <v>19399.992663939072</v>
      </c>
      <c r="F373" s="757">
        <f t="shared" ca="1" si="126"/>
        <v>163203.67155595031</v>
      </c>
      <c r="G373" s="633" t="s">
        <v>116</v>
      </c>
      <c r="H373" s="762">
        <f t="shared" ca="1" si="127"/>
        <v>1.0181723248739289</v>
      </c>
      <c r="I373" s="633" t="s">
        <v>116</v>
      </c>
      <c r="J373" s="763">
        <f t="shared" ca="1" si="128"/>
        <v>0.83087148110270925</v>
      </c>
      <c r="K373" s="633" t="s">
        <v>116</v>
      </c>
      <c r="L373" s="685">
        <f t="shared" ca="1" si="129"/>
        <v>24689.538488092861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96993.857899195151</v>
      </c>
      <c r="D374" s="757">
        <f ca="1">Calcs!P299*Calcs!$C$2</f>
        <v>313.93277106402269</v>
      </c>
      <c r="E374" s="685">
        <f ca="1">D374*(Calcs!Z262-Calcs!AG8)*Calcs!O8</f>
        <v>11441.945378902954</v>
      </c>
      <c r="F374" s="757">
        <f t="shared" ca="1" si="126"/>
        <v>108435.8032780981</v>
      </c>
      <c r="G374" s="633" t="s">
        <v>117</v>
      </c>
      <c r="H374" s="762">
        <f t="shared" ca="1" si="127"/>
        <v>0.67608780986165762</v>
      </c>
      <c r="I374" s="633" t="s">
        <v>117</v>
      </c>
      <c r="J374" s="763">
        <f t="shared" ca="1" si="128"/>
        <v>0.95344304160976301</v>
      </c>
      <c r="K374" s="633" t="s">
        <v>117</v>
      </c>
      <c r="L374" s="685">
        <f t="shared" ca="1" si="129"/>
        <v>56999.797228318785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62406.597999578298</v>
      </c>
      <c r="D375" s="757">
        <f ca="1">Calcs!P300*Calcs!$C$2</f>
        <v>245.38984027092567</v>
      </c>
      <c r="E375" s="685">
        <f ca="1">D375*(Calcs!Z263-Calcs!AG9)*Calcs!O9</f>
        <v>5754.4797925116636</v>
      </c>
      <c r="F375" s="757">
        <f t="shared" ca="1" si="126"/>
        <v>68161.077792089956</v>
      </c>
      <c r="G375" s="633" t="s">
        <v>118</v>
      </c>
      <c r="H375" s="762">
        <f t="shared" ca="1" si="127"/>
        <v>0.37971130071400855</v>
      </c>
      <c r="I375" s="633" t="s">
        <v>118</v>
      </c>
      <c r="J375" s="763">
        <f t="shared" ca="1" si="128"/>
        <v>0.9959265485186457</v>
      </c>
      <c r="K375" s="633" t="s">
        <v>118</v>
      </c>
      <c r="L375" s="685">
        <f t="shared" ca="1" si="129"/>
        <v>111624.2086257138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23718.763141330739</v>
      </c>
      <c r="D376" s="757">
        <f ca="1">Calcs!P301*Calcs!$C$2</f>
        <v>310.25784590295291</v>
      </c>
      <c r="E376" s="685">
        <f ca="1">D376*(Calcs!Z264-Calcs!AG10)*Calcs!O10</f>
        <v>2765.2461361526944</v>
      </c>
      <c r="F376" s="757">
        <f t="shared" ca="1" si="126"/>
        <v>26484.009277483434</v>
      </c>
      <c r="G376" s="633" t="s">
        <v>119</v>
      </c>
      <c r="H376" s="762">
        <f t="shared" ca="1" si="127"/>
        <v>0.15054903548115328</v>
      </c>
      <c r="I376" s="633" t="s">
        <v>119</v>
      </c>
      <c r="J376" s="763">
        <f t="shared" ca="1" si="128"/>
        <v>0.99995437685856481</v>
      </c>
      <c r="K376" s="633" t="s">
        <v>119</v>
      </c>
      <c r="L376" s="685">
        <f t="shared" ca="1" si="129"/>
        <v>149433.36607325188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4017.6398068135809</v>
      </c>
      <c r="D377" s="757">
        <f ca="1">Calcs!P302*Calcs!$C$2</f>
        <v>268.83697799955331</v>
      </c>
      <c r="E377" s="685">
        <f ca="1">D377*(Calcs!Z265-Calcs!AG11)*Calcs!O11</f>
        <v>405.86255619420422</v>
      </c>
      <c r="F377" s="757">
        <f t="shared" ca="1" si="126"/>
        <v>4423.5023630077849</v>
      </c>
      <c r="G377" s="633" t="s">
        <v>120</v>
      </c>
      <c r="H377" s="762">
        <f t="shared" ca="1" si="127"/>
        <v>2.4311211323832228E-2</v>
      </c>
      <c r="I377" s="633" t="s">
        <v>120</v>
      </c>
      <c r="J377" s="763">
        <f t="shared" ca="1" si="128"/>
        <v>0.99999999594944211</v>
      </c>
      <c r="K377" s="633" t="s">
        <v>120</v>
      </c>
      <c r="L377" s="685">
        <f t="shared" ca="1" si="129"/>
        <v>177529.68394766506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19777.515445423371</v>
      </c>
      <c r="D378" s="757">
        <f ca="1">Calcs!P303*Calcs!$C$2</f>
        <v>248.04419229607447</v>
      </c>
      <c r="E378" s="685">
        <f ca="1">D378*(Calcs!Z266-Calcs!AG12)*Calcs!O12</f>
        <v>1843.4008285365237</v>
      </c>
      <c r="F378" s="757">
        <f t="shared" ca="1" si="126"/>
        <v>21620.916273959894</v>
      </c>
      <c r="G378" s="633" t="s">
        <v>121</v>
      </c>
      <c r="H378" s="762">
        <f t="shared" ca="1" si="127"/>
        <v>0.12425110575584222</v>
      </c>
      <c r="I378" s="633" t="s">
        <v>121</v>
      </c>
      <c r="J378" s="763">
        <f t="shared" ca="1" si="128"/>
        <v>0.99998264277796289</v>
      </c>
      <c r="K378" s="633" t="s">
        <v>121</v>
      </c>
      <c r="L378" s="685">
        <f t="shared" ca="1" si="129"/>
        <v>152389.30899745203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42020.481725640915</v>
      </c>
      <c r="D379" s="757">
        <f ca="1">Calcs!P304*Calcs!$C$2</f>
        <v>225.97255476599096</v>
      </c>
      <c r="E379" s="685">
        <f ca="1">D379*(Calcs!Z267-Calcs!AG13)*Calcs!O13</f>
        <v>3568.0892217217856</v>
      </c>
      <c r="F379" s="757">
        <f t="shared" ca="1" si="126"/>
        <v>45588.570947362699</v>
      </c>
      <c r="G379" s="633" t="s">
        <v>122</v>
      </c>
      <c r="H379" s="762">
        <f t="shared" ca="1" si="127"/>
        <v>0.28134731457892281</v>
      </c>
      <c r="I379" s="633" t="s">
        <v>122</v>
      </c>
      <c r="J379" s="763">
        <f t="shared" ca="1" si="128"/>
        <v>0.99900723206773201</v>
      </c>
      <c r="K379" s="633" t="s">
        <v>122</v>
      </c>
      <c r="L379" s="685">
        <f t="shared" ca="1" si="129"/>
        <v>116493.31875368842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92781.357225732034</v>
      </c>
      <c r="D380" s="757">
        <f ca="1">Calcs!P305*Calcs!$C$2</f>
        <v>309.99280076296719</v>
      </c>
      <c r="E380" s="685">
        <f ca="1">D380*(Calcs!Z268-Calcs!AG14)*Calcs!O14</f>
        <v>10807.651004360241</v>
      </c>
      <c r="F380" s="757">
        <f t="shared" ca="1" si="126"/>
        <v>103589.00823009228</v>
      </c>
      <c r="G380" s="633" t="s">
        <v>123</v>
      </c>
      <c r="H380" s="762">
        <f t="shared" ca="1" si="127"/>
        <v>0.66049521706103798</v>
      </c>
      <c r="I380" s="633" t="s">
        <v>123</v>
      </c>
      <c r="J380" s="763">
        <f t="shared" ca="1" si="128"/>
        <v>0.957327936204866</v>
      </c>
      <c r="K380" s="633" t="s">
        <v>123</v>
      </c>
      <c r="L380" s="685">
        <f t="shared" ca="1" si="129"/>
        <v>57666.713206870714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132858.0750270313</v>
      </c>
      <c r="D381" s="757">
        <f ca="1">Calcs!P306*Calcs!$C$2</f>
        <v>345.91236387944917</v>
      </c>
      <c r="E381" s="685">
        <f ca="1">D381*(Calcs!Z269-Calcs!AG15)*Calcs!O15</f>
        <v>17269.231998855746</v>
      </c>
      <c r="F381" s="757">
        <f t="shared" ca="1" si="126"/>
        <v>150127.30702588704</v>
      </c>
      <c r="G381" s="633" t="s">
        <v>124</v>
      </c>
      <c r="H381" s="762">
        <f t="shared" ca="1" si="127"/>
        <v>1.1013199355980943</v>
      </c>
      <c r="I381" s="633" t="s">
        <v>124</v>
      </c>
      <c r="J381" s="763">
        <f t="shared" ca="1" si="128"/>
        <v>0.7955094085995178</v>
      </c>
      <c r="K381" s="633" t="s">
        <v>124</v>
      </c>
      <c r="L381" s="685">
        <f t="shared" ca="1" si="129"/>
        <v>16888.113818783924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197276.88607542636</v>
      </c>
      <c r="D382" s="757">
        <f ca="1">Calcs!P307*Calcs!$C$2</f>
        <v>366.93092173440084</v>
      </c>
      <c r="E382" s="685">
        <f ca="1">D382*(Calcs!Z270-Calcs!AG16)*Calcs!O16</f>
        <v>27200.663579703953</v>
      </c>
      <c r="F382" s="757">
        <f t="shared" ca="1" si="126"/>
        <v>224477.54965513031</v>
      </c>
      <c r="G382" s="633" t="s">
        <v>125</v>
      </c>
      <c r="H382" s="762">
        <f t="shared" ca="1" si="127"/>
        <v>1.6253541741797342</v>
      </c>
      <c r="I382" s="633" t="s">
        <v>125</v>
      </c>
      <c r="J382" s="763">
        <f t="shared" ca="1" si="128"/>
        <v>0.59525787989641987</v>
      </c>
      <c r="K382" s="633" t="s">
        <v>125</v>
      </c>
      <c r="L382" s="685">
        <f t="shared" ca="1" si="129"/>
        <v>4487.8987444365339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1190626.2842662486</v>
      </c>
      <c r="D383" s="683"/>
      <c r="E383" s="683">
        <f ca="1">SUM(E371:E382)</f>
        <v>152586.37208573136</v>
      </c>
      <c r="F383" s="683">
        <f ca="1">SUM(F371:F382)</f>
        <v>1343212.6563519798</v>
      </c>
      <c r="G383" s="743"/>
      <c r="H383" s="683"/>
      <c r="I383" s="743"/>
      <c r="J383" s="743"/>
      <c r="K383" s="670" t="s">
        <v>178</v>
      </c>
      <c r="L383" s="764">
        <f ca="1">SUM(L371:L382)</f>
        <v>880158.65398504934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3078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3078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0.43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57288.998067702079</v>
      </c>
      <c r="D424" s="542">
        <f t="shared" ref="D424:D435" ca="1" si="130">$D$410-Z231</f>
        <v>9.0288088944919735</v>
      </c>
      <c r="E424" s="769">
        <f ca="1">C424/($D$412*D424)</f>
        <v>5117404.1953334305</v>
      </c>
      <c r="F424" s="770">
        <f ca="1">Calcs!L371</f>
        <v>4464.222528343962</v>
      </c>
      <c r="G424" s="771">
        <f t="shared" ref="G424:G435" ca="1" si="131">Z259-$D$411</f>
        <v>7</v>
      </c>
      <c r="H424" s="558">
        <f ca="1">F424/($D$412*G424)</f>
        <v>514347.63758793962</v>
      </c>
      <c r="I424" s="558">
        <f ca="1">MAX((E424+H424),$D$414*$D$291*P5*3600/1000)</f>
        <v>5631751.8329213699</v>
      </c>
      <c r="J424" s="630" t="s">
        <v>114</v>
      </c>
      <c r="K424" s="772">
        <f t="shared" ref="K424:K435" ca="1" si="132">I424*$D$418*$D$419/3600</f>
        <v>672.6814689322747</v>
      </c>
      <c r="L424" s="765">
        <f ca="1">K424/$C$2</f>
        <v>0.13502237433405756</v>
      </c>
      <c r="M424" s="540"/>
      <c r="N424" s="747">
        <f t="shared" ref="N424:N435" ca="1" si="133">I424*$D$413/3600</f>
        <v>2815.8759164606854</v>
      </c>
      <c r="O424" s="749">
        <f ca="1">N424/Inputs!$C$11</f>
        <v>0.56520993907279915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34586.292406027234</v>
      </c>
      <c r="D425" s="542">
        <f t="shared" ca="1" si="130"/>
        <v>8.9391298858495816</v>
      </c>
      <c r="E425" s="769">
        <f t="shared" ref="E425:E435" ca="1" si="134">C425/($D$412*D425)</f>
        <v>3120453.5047496846</v>
      </c>
      <c r="F425" s="770">
        <f ca="1">Calcs!L372</f>
        <v>7492.4835724314034</v>
      </c>
      <c r="G425" s="771">
        <f t="shared" ca="1" si="131"/>
        <v>7</v>
      </c>
      <c r="H425" s="558">
        <f t="shared" ref="H425:H435" ca="1" si="135">F425/($D$412*G425)</f>
        <v>863250.25257558422</v>
      </c>
      <c r="I425" s="558">
        <f t="shared" ref="I425:I435" ca="1" si="136">MAX((E425+H425),$D$414*$D$291*P6*3600/1000)</f>
        <v>3983703.7573252688</v>
      </c>
      <c r="J425" s="630" t="s">
        <v>115</v>
      </c>
      <c r="K425" s="772">
        <f t="shared" ca="1" si="132"/>
        <v>475.83128212496263</v>
      </c>
      <c r="L425" s="765">
        <f t="shared" ref="L425:L435" ca="1" si="137">K425/$C$2</f>
        <v>9.551009275892465E-2</v>
      </c>
      <c r="M425" s="540"/>
      <c r="N425" s="747">
        <f t="shared" ca="1" si="133"/>
        <v>1991.8518786626346</v>
      </c>
      <c r="O425" s="749">
        <f ca="1">N425/Inputs!$C$11</f>
        <v>0.39980969061875443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10309.034468077705</v>
      </c>
      <c r="D426" s="542">
        <f t="shared" ca="1" si="130"/>
        <v>8.4644481446155311</v>
      </c>
      <c r="E426" s="769">
        <f t="shared" ca="1" si="134"/>
        <v>982264.15879170492</v>
      </c>
      <c r="F426" s="770">
        <f ca="1">Calcs!L373</f>
        <v>24689.538488092861</v>
      </c>
      <c r="G426" s="771">
        <f t="shared" ca="1" si="131"/>
        <v>7</v>
      </c>
      <c r="H426" s="558">
        <f t="shared" ca="1" si="135"/>
        <v>2844617.5596891376</v>
      </c>
      <c r="I426" s="558">
        <f t="shared" ca="1" si="136"/>
        <v>3826881.7184808427</v>
      </c>
      <c r="J426" s="630" t="s">
        <v>116</v>
      </c>
      <c r="K426" s="772">
        <f t="shared" ca="1" si="132"/>
        <v>457.09976081854506</v>
      </c>
      <c r="L426" s="765">
        <f t="shared" ca="1" si="137"/>
        <v>9.1750253074778215E-2</v>
      </c>
      <c r="M426" s="540"/>
      <c r="N426" s="747">
        <f t="shared" ca="1" si="133"/>
        <v>1913.4408592404213</v>
      </c>
      <c r="O426" s="749">
        <f ca="1">N426/Inputs!$C$11</f>
        <v>0.38407082682465304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1294.4237006690382</v>
      </c>
      <c r="D427" s="542">
        <f t="shared" ca="1" si="130"/>
        <v>7.3504079108817635</v>
      </c>
      <c r="E427" s="769">
        <f t="shared" ca="1" si="134"/>
        <v>142027.99950688626</v>
      </c>
      <c r="F427" s="770">
        <f ca="1">Calcs!L374</f>
        <v>56999.797228318785</v>
      </c>
      <c r="G427" s="771">
        <f t="shared" ca="1" si="131"/>
        <v>7</v>
      </c>
      <c r="H427" s="558">
        <f t="shared" ca="1" si="135"/>
        <v>6567260.2253214708</v>
      </c>
      <c r="I427" s="558">
        <f t="shared" ca="1" si="136"/>
        <v>6709288.2248283569</v>
      </c>
      <c r="J427" s="630" t="s">
        <v>117</v>
      </c>
      <c r="K427" s="772">
        <f t="shared" ca="1" si="132"/>
        <v>801.38720463227594</v>
      </c>
      <c r="L427" s="765">
        <f t="shared" ca="1" si="137"/>
        <v>0.16085652441434684</v>
      </c>
      <c r="M427" s="540"/>
      <c r="N427" s="747">
        <f t="shared" ca="1" si="133"/>
        <v>3354.6441124141784</v>
      </c>
      <c r="O427" s="749">
        <f ca="1">N427/Inputs!$C$11</f>
        <v>0.67335289289726585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23.569089319062186</v>
      </c>
      <c r="D428" s="542">
        <f t="shared" ca="1" si="130"/>
        <v>7</v>
      </c>
      <c r="E428" s="769">
        <f t="shared" ca="1" si="134"/>
        <v>2715.5244467295379</v>
      </c>
      <c r="F428" s="770">
        <f ca="1">Calcs!L375</f>
        <v>111624.2086257138</v>
      </c>
      <c r="G428" s="771">
        <f t="shared" ca="1" si="131"/>
        <v>7.0525383693829191</v>
      </c>
      <c r="H428" s="558">
        <f t="shared" ca="1" si="135"/>
        <v>12765031.475235565</v>
      </c>
      <c r="I428" s="558">
        <f t="shared" ca="1" si="136"/>
        <v>12767746.999682294</v>
      </c>
      <c r="J428" s="630" t="s">
        <v>118</v>
      </c>
      <c r="K428" s="772">
        <f t="shared" ca="1" si="132"/>
        <v>1525.0364471842738</v>
      </c>
      <c r="L428" s="765">
        <f t="shared" ca="1" si="137"/>
        <v>0.30610928285513322</v>
      </c>
      <c r="M428" s="540"/>
      <c r="N428" s="747">
        <f t="shared" ca="1" si="133"/>
        <v>6383.8734998411464</v>
      </c>
      <c r="O428" s="749">
        <f ca="1">N428/Inputs!$C$11</f>
        <v>1.2813876956726509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149433.36607325188</v>
      </c>
      <c r="G429" s="771">
        <f t="shared" ca="1" si="131"/>
        <v>7.5485553860566981</v>
      </c>
      <c r="H429" s="558">
        <f t="shared" ca="1" si="135"/>
        <v>15965873.649794675</v>
      </c>
      <c r="I429" s="558">
        <f t="shared" ca="1" si="136"/>
        <v>15965873.649794675</v>
      </c>
      <c r="J429" s="630" t="s">
        <v>119</v>
      </c>
      <c r="K429" s="772">
        <f t="shared" ca="1" si="132"/>
        <v>1907.0349081699196</v>
      </c>
      <c r="L429" s="765">
        <f t="shared" ca="1" si="137"/>
        <v>0.38278500766156554</v>
      </c>
      <c r="M429" s="540"/>
      <c r="N429" s="747">
        <f t="shared" ca="1" si="133"/>
        <v>7982.9368248973387</v>
      </c>
      <c r="O429" s="749">
        <f ca="1">N429/Inputs!$C$11</f>
        <v>1.6023558460251583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177529.68394766506</v>
      </c>
      <c r="G430" s="771">
        <f t="shared" ca="1" si="131"/>
        <v>7.6932264256507636</v>
      </c>
      <c r="H430" s="558">
        <f t="shared" ca="1" si="135"/>
        <v>18611073.312765617</v>
      </c>
      <c r="I430" s="558">
        <f t="shared" ca="1" si="136"/>
        <v>18611073.312765617</v>
      </c>
      <c r="J430" s="630" t="s">
        <v>120</v>
      </c>
      <c r="K430" s="772">
        <f t="shared" ca="1" si="132"/>
        <v>2222.9893123581155</v>
      </c>
      <c r="L430" s="765">
        <f t="shared" ca="1" si="137"/>
        <v>0.44620419758292162</v>
      </c>
      <c r="M430" s="540"/>
      <c r="N430" s="747">
        <f t="shared" ca="1" si="133"/>
        <v>9305.5366563828084</v>
      </c>
      <c r="O430" s="749">
        <f ca="1">N430/Inputs!$C$11</f>
        <v>1.8678315247657182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152389.30899745203</v>
      </c>
      <c r="G431" s="771">
        <f t="shared" ca="1" si="131"/>
        <v>7.5550715200769929</v>
      </c>
      <c r="H431" s="558">
        <f t="shared" ca="1" si="135"/>
        <v>16267652.044245211</v>
      </c>
      <c r="I431" s="558">
        <f t="shared" ca="1" si="136"/>
        <v>16267652.044245211</v>
      </c>
      <c r="J431" s="630" t="s">
        <v>121</v>
      </c>
      <c r="K431" s="772">
        <f t="shared" ca="1" si="132"/>
        <v>1943.0806608404002</v>
      </c>
      <c r="L431" s="765">
        <f t="shared" ca="1" si="137"/>
        <v>0.39002020490574074</v>
      </c>
      <c r="M431" s="540"/>
      <c r="N431" s="747">
        <f t="shared" ca="1" si="133"/>
        <v>8133.8260221226055</v>
      </c>
      <c r="O431" s="749">
        <f ca="1">N431/Inputs!$C$11</f>
        <v>1.6326427182100773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0.50198184282999136</v>
      </c>
      <c r="D432" s="542">
        <f t="shared" ca="1" si="130"/>
        <v>7</v>
      </c>
      <c r="E432" s="769">
        <f t="shared" ca="1" si="134"/>
        <v>57.836089785476084</v>
      </c>
      <c r="F432" s="770">
        <f ca="1">Calcs!L379</f>
        <v>116493.31875368842</v>
      </c>
      <c r="G432" s="771">
        <f t="shared" ca="1" si="131"/>
        <v>7.2338745832160853</v>
      </c>
      <c r="H432" s="558">
        <f t="shared" ca="1" si="135"/>
        <v>12987901.841924855</v>
      </c>
      <c r="I432" s="558">
        <f t="shared" ca="1" si="136"/>
        <v>12987959.678014642</v>
      </c>
      <c r="J432" s="630" t="s">
        <v>122</v>
      </c>
      <c r="K432" s="772">
        <f t="shared" ca="1" si="132"/>
        <v>1551.3396282073043</v>
      </c>
      <c r="L432" s="765">
        <f t="shared" ca="1" si="137"/>
        <v>0.31138892577424815</v>
      </c>
      <c r="M432" s="540"/>
      <c r="N432" s="747">
        <f t="shared" ca="1" si="133"/>
        <v>6493.9798390073202</v>
      </c>
      <c r="O432" s="749">
        <f ca="1">N432/Inputs!$C$11</f>
        <v>1.3034885264968528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960.0932303742884</v>
      </c>
      <c r="D433" s="542">
        <f t="shared" ca="1" si="130"/>
        <v>7.3854790314006955</v>
      </c>
      <c r="E433" s="769">
        <f t="shared" ca="1" si="134"/>
        <v>104844.02679161076</v>
      </c>
      <c r="F433" s="770">
        <f ca="1">Calcs!L380</f>
        <v>57666.713206870714</v>
      </c>
      <c r="G433" s="771">
        <f t="shared" ca="1" si="131"/>
        <v>7</v>
      </c>
      <c r="H433" s="558">
        <f t="shared" ca="1" si="135"/>
        <v>6644099.2842751658</v>
      </c>
      <c r="I433" s="558">
        <f t="shared" ca="1" si="136"/>
        <v>6748943.3110667765</v>
      </c>
      <c r="J433" s="630" t="s">
        <v>123</v>
      </c>
      <c r="K433" s="772">
        <f t="shared" ca="1" si="132"/>
        <v>806.12378437742052</v>
      </c>
      <c r="L433" s="765">
        <f t="shared" ca="1" si="137"/>
        <v>0.16180726302236462</v>
      </c>
      <c r="M433" s="540"/>
      <c r="N433" s="747">
        <f t="shared" ca="1" si="133"/>
        <v>3374.4716555333885</v>
      </c>
      <c r="O433" s="749">
        <f ca="1">N433/Inputs!$C$11</f>
        <v>0.67733272893082863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11404.15218869278</v>
      </c>
      <c r="D434" s="542">
        <f t="shared" ca="1" si="130"/>
        <v>8.5003732109356278</v>
      </c>
      <c r="E434" s="769">
        <f t="shared" ca="1" si="134"/>
        <v>1082016.7032847379</v>
      </c>
      <c r="F434" s="770">
        <f ca="1">Calcs!L381</f>
        <v>16888.113818783924</v>
      </c>
      <c r="G434" s="771">
        <f t="shared" ca="1" si="131"/>
        <v>7</v>
      </c>
      <c r="H434" s="558">
        <f t="shared" ca="1" si="135"/>
        <v>1945772.503690586</v>
      </c>
      <c r="I434" s="558">
        <f t="shared" ca="1" si="136"/>
        <v>3027789.2069753241</v>
      </c>
      <c r="J434" s="630" t="s">
        <v>124</v>
      </c>
      <c r="K434" s="772">
        <f t="shared" ca="1" si="132"/>
        <v>361.65259972205257</v>
      </c>
      <c r="L434" s="765">
        <f t="shared" ca="1" si="137"/>
        <v>7.259185060659426E-2</v>
      </c>
      <c r="M434" s="540"/>
      <c r="N434" s="747">
        <f t="shared" ca="1" si="133"/>
        <v>1513.8946034876622</v>
      </c>
      <c r="O434" s="749">
        <f ca="1">N434/Inputs!$C$11</f>
        <v>0.30387286300434807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53502.052159663712</v>
      </c>
      <c r="D435" s="542">
        <f t="shared" ca="1" si="130"/>
        <v>8.9887677352279276</v>
      </c>
      <c r="E435" s="769">
        <f t="shared" ca="1" si="134"/>
        <v>4800419.9999227813</v>
      </c>
      <c r="F435" s="770">
        <f ca="1">Calcs!L382</f>
        <v>4487.8987444365339</v>
      </c>
      <c r="G435" s="771">
        <f t="shared" ca="1" si="131"/>
        <v>7</v>
      </c>
      <c r="H435" s="558">
        <f t="shared" ca="1" si="135"/>
        <v>517075.50469960738</v>
      </c>
      <c r="I435" s="558">
        <f t="shared" ca="1" si="136"/>
        <v>5317495.5046223886</v>
      </c>
      <c r="J435" s="630" t="s">
        <v>125</v>
      </c>
      <c r="K435" s="772">
        <f t="shared" ca="1" si="132"/>
        <v>635.14529638545196</v>
      </c>
      <c r="L435" s="765">
        <f t="shared" ca="1" si="137"/>
        <v>0.12748801613517702</v>
      </c>
      <c r="M435" s="540"/>
      <c r="N435" s="747">
        <f t="shared" ca="1" si="133"/>
        <v>2658.7477523111947</v>
      </c>
      <c r="O435" s="749">
        <f ca="1">N435/Inputs!$C$11</f>
        <v>0.53367076521702017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13359.402353752996</v>
      </c>
      <c r="L436" s="775">
        <f ca="1">SUM(L424:L435)</f>
        <v>2.6815339931258526</v>
      </c>
      <c r="M436" s="540"/>
      <c r="N436" s="746"/>
      <c r="O436" s="748">
        <f ca="1">SUM(O424:O435)</f>
        <v>11.225026017736125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3.5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0.16137649896221751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1.1499999999999999</v>
      </c>
      <c r="E472" s="540" t="s">
        <v>306</v>
      </c>
      <c r="F472" s="540"/>
      <c r="G472" s="540"/>
      <c r="H472" s="507" t="s">
        <v>304</v>
      </c>
      <c r="I472" s="780">
        <f ca="1">MAX((1-I471),0.1)</f>
        <v>0.83862350103778249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4.0249999999999995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4583.119845416174</v>
      </c>
      <c r="D523" s="540"/>
      <c r="E523" s="806">
        <f ca="1">IF(Calcs!$D$446=1,0,IF($D$469=0,0,(C523+L345)/$D$469))</f>
        <v>77340.147391397812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1109.1236095264503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2766.9033924821833</v>
      </c>
      <c r="D524" s="540"/>
      <c r="E524" s="806">
        <f ca="1">IF(Calcs!$D$446=1,0,IF($D$469=0,0,(C524+L346)/$D$469))</f>
        <v>46691.494748136771</v>
      </c>
      <c r="F524" s="540"/>
      <c r="G524" s="806">
        <f t="shared" ca="1" si="140"/>
        <v>0</v>
      </c>
      <c r="H524" s="806">
        <f t="shared" ca="1" si="141"/>
        <v>1861.4866018463117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824.72275744621777</v>
      </c>
      <c r="D525" s="540"/>
      <c r="E525" s="806">
        <f ca="1">IF(Calcs!$D$446=1,0,IF($D$469=0,0,(C525+L347)/$D$469))</f>
        <v>13917.196531904903</v>
      </c>
      <c r="F525" s="540"/>
      <c r="G525" s="806">
        <f t="shared" ca="1" si="140"/>
        <v>0</v>
      </c>
      <c r="H525" s="806">
        <f t="shared" ca="1" si="141"/>
        <v>6134.0468293398426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103.55389605352322</v>
      </c>
      <c r="D526" s="540"/>
      <c r="E526" s="806">
        <f ca="1">IF(Calcs!$D$446=1,0,IF($D$469=0,0,(C526+L348)/$D$469))</f>
        <v>1747.4719959032018</v>
      </c>
      <c r="F526" s="540"/>
      <c r="G526" s="806">
        <f t="shared" ca="1" si="140"/>
        <v>0</v>
      </c>
      <c r="H526" s="806">
        <f t="shared" ca="1" si="141"/>
        <v>14161.440305172371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1.885527145524978</v>
      </c>
      <c r="D527" s="540"/>
      <c r="E527" s="806">
        <f ca="1">IF(Calcs!$D$446=1,0,IF($D$469=0,0,(C527+L349)/$D$469))</f>
        <v>31.818270580733955</v>
      </c>
      <c r="F527" s="540"/>
      <c r="G527" s="806">
        <f t="shared" ca="1" si="140"/>
        <v>0</v>
      </c>
      <c r="H527" s="806">
        <f t="shared" ca="1" si="141"/>
        <v>27732.722639928899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37126.302130000469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44106.753775817415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37860.697887565722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4.0158547426399377E-2</v>
      </c>
      <c r="D531" s="540"/>
      <c r="E531" s="806">
        <f ca="1">IF(Calcs!$D$446=1,0,IF($D$469=0,0,(C531+L353)/$D$469))</f>
        <v>0.67767548782048836</v>
      </c>
      <c r="F531" s="540"/>
      <c r="G531" s="806">
        <f t="shared" ca="1" si="140"/>
        <v>0</v>
      </c>
      <c r="H531" s="806">
        <f t="shared" ca="1" si="141"/>
        <v>28942.43944191017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76.807458429943182</v>
      </c>
      <c r="D532" s="540"/>
      <c r="E532" s="806">
        <f ca="1">IF(Calcs!$D$446=1,0,IF($D$469=0,0,(C532+L354)/$D$469))</f>
        <v>1296.1258610052894</v>
      </c>
      <c r="F532" s="540"/>
      <c r="G532" s="806">
        <f t="shared" ca="1" si="140"/>
        <v>0</v>
      </c>
      <c r="H532" s="806">
        <f t="shared" ca="1" si="141"/>
        <v>14327.133715992726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912.33217509542385</v>
      </c>
      <c r="D533" s="540"/>
      <c r="E533" s="806">
        <f ca="1">IF(Calcs!$D$446=1,0,IF($D$469=0,0,(C533+L355)/$D$469))</f>
        <v>15395.605454735254</v>
      </c>
      <c r="F533" s="540"/>
      <c r="G533" s="806">
        <f t="shared" ca="1" si="140"/>
        <v>0</v>
      </c>
      <c r="H533" s="806">
        <f t="shared" ca="1" si="141"/>
        <v>4195.8046754742672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4280.1641727731039</v>
      </c>
      <c r="D534" s="540"/>
      <c r="E534" s="806">
        <f ca="1">IF(Calcs!$D$446=1,0,IF($D$469=0,0,(C534+L356)/$D$469))</f>
        <v>72227.770415546009</v>
      </c>
      <c r="F534" s="540"/>
      <c r="G534" s="806">
        <f t="shared" ca="1" si="140"/>
        <v>0</v>
      </c>
      <c r="H534" s="806">
        <f t="shared" ca="1" si="141"/>
        <v>1115.0058992388906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13549.529383389521</v>
      </c>
      <c r="D535" s="540"/>
      <c r="E535" s="808">
        <f ca="1">SUM(E523:E534)</f>
        <v>228648.30834469775</v>
      </c>
      <c r="F535" s="540"/>
      <c r="G535" s="809">
        <f ca="1">SUM(G523:G534)</f>
        <v>0</v>
      </c>
      <c r="H535" s="810">
        <f ca="1">SUM(H523:H534)</f>
        <v>218672.95751181353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1109.1236095264503</v>
      </c>
      <c r="E558" s="786"/>
      <c r="F558" s="786">
        <f ca="1">IF(Inputs!C$46=2,E523,0)+I541</f>
        <v>77340.147391397812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1861.4866018463117</v>
      </c>
      <c r="E559" s="786"/>
      <c r="F559" s="786">
        <f ca="1">IF(Inputs!C$46=2,E524,0)+I542</f>
        <v>46691.494748136771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6134.0468293398426</v>
      </c>
      <c r="E560" s="786"/>
      <c r="F560" s="786">
        <f ca="1">IF(Inputs!C$46=2,E525,0)+I543</f>
        <v>13917.196531904903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14161.440305172371</v>
      </c>
      <c r="E561" s="786"/>
      <c r="F561" s="786">
        <f ca="1">IF(Inputs!C$46=2,E526,0)+I544</f>
        <v>1747.4719959032018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27732.722639928899</v>
      </c>
      <c r="E562" s="786"/>
      <c r="F562" s="786">
        <f ca="1">IF(Inputs!C$46=2,E527,0)+I545</f>
        <v>31.818270580733955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37126.302130000469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44106.753775817415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37860.697887565722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28942.43944191017</v>
      </c>
      <c r="E566" s="786"/>
      <c r="F566" s="786">
        <f ca="1">IF(Inputs!C$46=2,E531,0)+I549</f>
        <v>0.67767548782048836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14327.133715992726</v>
      </c>
      <c r="E567" s="786"/>
      <c r="F567" s="786">
        <f ca="1">IF(Inputs!C$46=2,E532,0)+I550</f>
        <v>1296.1258610052894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4195.8046754742672</v>
      </c>
      <c r="E568" s="786"/>
      <c r="F568" s="786">
        <f ca="1">IF(Inputs!C$46=2,E533,0)+I551</f>
        <v>15395.605454735254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1115.0058992388906</v>
      </c>
      <c r="E569" s="786"/>
      <c r="F569" s="786">
        <f ca="1">IF(Inputs!C$46=2,E534,0)+I552</f>
        <v>72227.770415546009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218672.95751181353</v>
      </c>
      <c r="E570" s="782"/>
      <c r="F570" s="788">
        <f ca="1">SUM(F558:F569)</f>
        <v>228648.30834469775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18.971191105508026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</v>
      </c>
      <c r="J626" s="797">
        <f>$D$291</f>
        <v>0.29761904761904762</v>
      </c>
      <c r="K626" s="798">
        <f t="shared" ref="K626:K637" ca="1" si="152">1.205*1.008*E424/3600</f>
        <v>1726.6121755054996</v>
      </c>
      <c r="L626" s="743">
        <f t="shared" ref="L626:L637" si="153">O5</f>
        <v>2.6783999999999999</v>
      </c>
      <c r="M626" s="796">
        <f ca="1">K626*((I626-H626)-G626)*J626*L626</f>
        <v>44380.552531098823</v>
      </c>
      <c r="N626" s="799">
        <f ca="1">Calcs!L345</f>
        <v>57288.998067702079</v>
      </c>
      <c r="O626" s="798">
        <f ca="1">M626+N626</f>
        <v>101669.55059880091</v>
      </c>
      <c r="P626" s="796">
        <f ca="1">O626/(O626+O648)</f>
        <v>0.93212617998150227</v>
      </c>
      <c r="Q626" s="796">
        <f t="shared" ref="Q626:Q637" ca="1" si="154">M626*P626</f>
        <v>41368.274896281539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19.060870114150418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</v>
      </c>
      <c r="J627" s="797">
        <f t="shared" ref="J627:J637" si="157">$D$291</f>
        <v>0.29761904761904762</v>
      </c>
      <c r="K627" s="798">
        <f t="shared" ca="1" si="152"/>
        <v>1052.8410125025437</v>
      </c>
      <c r="L627" s="743">
        <f t="shared" si="153"/>
        <v>2.4192</v>
      </c>
      <c r="M627" s="796">
        <f t="shared" ref="M627:M637" ca="1" si="158">K627*((I627-H627)-G627)*J627*L627</f>
        <v>22839.280084217684</v>
      </c>
      <c r="N627" s="799">
        <f ca="1">Calcs!L346</f>
        <v>34586.292406027234</v>
      </c>
      <c r="O627" s="798">
        <f t="shared" ref="O627:O637" ca="1" si="159">M627+N627</f>
        <v>57425.572490244915</v>
      </c>
      <c r="P627" s="796">
        <f t="shared" ref="P627:P637" ca="1" si="160">O627/(O627+O649)</f>
        <v>0.83310481749583021</v>
      </c>
      <c r="Q627" s="796">
        <f t="shared" ca="1" si="154"/>
        <v>19027.514266298323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19.535551855384469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</v>
      </c>
      <c r="J628" s="797">
        <f t="shared" si="157"/>
        <v>0.29761904761904762</v>
      </c>
      <c r="K628" s="798">
        <f t="shared" ca="1" si="152"/>
        <v>331.41592717632125</v>
      </c>
      <c r="L628" s="743">
        <f t="shared" si="153"/>
        <v>2.6783999999999999</v>
      </c>
      <c r="M628" s="796">
        <f t="shared" ca="1" si="158"/>
        <v>6281.0183244118689</v>
      </c>
      <c r="N628" s="799">
        <f ca="1">Calcs!L347</f>
        <v>10309.034468077705</v>
      </c>
      <c r="O628" s="798">
        <f t="shared" ca="1" si="159"/>
        <v>16590.052792489572</v>
      </c>
      <c r="P628" s="796">
        <f t="shared" ca="1" si="160"/>
        <v>0.32495459114676861</v>
      </c>
      <c r="Q628" s="796">
        <f t="shared" ca="1" si="154"/>
        <v>2041.0457415946205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20.649592089118237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</v>
      </c>
      <c r="J629" s="797">
        <f t="shared" si="157"/>
        <v>0.29761904761904762</v>
      </c>
      <c r="K629" s="798">
        <f t="shared" ca="1" si="152"/>
        <v>47.920247033623433</v>
      </c>
      <c r="L629" s="743">
        <f t="shared" si="153"/>
        <v>2.5920000000000001</v>
      </c>
      <c r="M629" s="796">
        <f t="shared" ca="1" si="158"/>
        <v>652.8894057096021</v>
      </c>
      <c r="N629" s="799">
        <f ca="1">Calcs!L348</f>
        <v>1294.4237006690382</v>
      </c>
      <c r="O629" s="798">
        <f t="shared" ca="1" si="159"/>
        <v>1947.3131063786404</v>
      </c>
      <c r="P629" s="796">
        <f t="shared" ca="1" si="160"/>
        <v>2.7686811690407258E-2</v>
      </c>
      <c r="Q629" s="796">
        <f t="shared" ca="1" si="154"/>
        <v>18.076426030543658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</v>
      </c>
      <c r="J630" s="797">
        <f t="shared" si="157"/>
        <v>0.29761904761904762</v>
      </c>
      <c r="K630" s="798">
        <f t="shared" ca="1" si="152"/>
        <v>0.91621794832654624</v>
      </c>
      <c r="L630" s="743">
        <f t="shared" si="153"/>
        <v>2.6783999999999999</v>
      </c>
      <c r="M630" s="796">
        <f t="shared" ca="1" si="158"/>
        <v>8.9854475854471882</v>
      </c>
      <c r="N630" s="799">
        <f ca="1">Calcs!L349</f>
        <v>23.569089319062186</v>
      </c>
      <c r="O630" s="798">
        <f t="shared" ca="1" si="159"/>
        <v>32.554536904509376</v>
      </c>
      <c r="P630" s="796">
        <f t="shared" ca="1" si="160"/>
        <v>2.8032923098878843E-4</v>
      </c>
      <c r="Q630" s="796">
        <f t="shared" ca="1" si="154"/>
        <v>2.5188836117184762E-3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</v>
      </c>
      <c r="J631" s="797">
        <f t="shared" si="157"/>
        <v>0.29761904761904762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</v>
      </c>
      <c r="J632" s="797">
        <f t="shared" si="157"/>
        <v>0.29761904761904762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</v>
      </c>
      <c r="J633" s="797">
        <f t="shared" si="157"/>
        <v>0.29761904761904762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</v>
      </c>
      <c r="J634" s="797">
        <f t="shared" si="157"/>
        <v>0.29761904761904762</v>
      </c>
      <c r="K634" s="798">
        <f t="shared" ca="1" si="152"/>
        <v>1.9513896693619633E-2</v>
      </c>
      <c r="L634" s="743">
        <f t="shared" si="153"/>
        <v>2.5920000000000001</v>
      </c>
      <c r="M634" s="796">
        <f t="shared" ca="1" si="158"/>
        <v>0.14237548105129419</v>
      </c>
      <c r="N634" s="799">
        <f ca="1">Calcs!L353</f>
        <v>0.50198184282999136</v>
      </c>
      <c r="O634" s="798">
        <f t="shared" ca="1" si="159"/>
        <v>0.64435732388128553</v>
      </c>
      <c r="P634" s="796">
        <f t="shared" ca="1" si="160"/>
        <v>5.7903643166497507E-6</v>
      </c>
      <c r="Q634" s="796">
        <f t="shared" ca="1" si="154"/>
        <v>8.2440590504525658E-7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20.614520968599304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</v>
      </c>
      <c r="J635" s="797">
        <f t="shared" si="157"/>
        <v>0.29761904761904762</v>
      </c>
      <c r="K635" s="798">
        <f t="shared" ca="1" si="152"/>
        <v>35.374374639489474</v>
      </c>
      <c r="L635" s="743">
        <f t="shared" si="153"/>
        <v>2.6783999999999999</v>
      </c>
      <c r="M635" s="796">
        <f t="shared" ca="1" si="158"/>
        <v>468.56770310415476</v>
      </c>
      <c r="N635" s="799">
        <f ca="1">Calcs!L354</f>
        <v>960.0932303742884</v>
      </c>
      <c r="O635" s="798">
        <f t="shared" ca="1" si="159"/>
        <v>1428.6609334784432</v>
      </c>
      <c r="P635" s="796">
        <f t="shared" ca="1" si="160"/>
        <v>2.0665567639839108E-2</v>
      </c>
      <c r="Q635" s="796">
        <f t="shared" ca="1" si="154"/>
        <v>9.6832175623429588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19.499626789064372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</v>
      </c>
      <c r="J636" s="797">
        <f t="shared" si="157"/>
        <v>0.29761904761904762</v>
      </c>
      <c r="K636" s="798">
        <f t="shared" ca="1" si="152"/>
        <v>365.07243568827062</v>
      </c>
      <c r="L636" s="743">
        <f t="shared" si="153"/>
        <v>2.5920000000000001</v>
      </c>
      <c r="M636" s="796">
        <f t="shared" ca="1" si="158"/>
        <v>6438.1958246766762</v>
      </c>
      <c r="N636" s="799">
        <f ca="1">Calcs!L355</f>
        <v>11404.15218869278</v>
      </c>
      <c r="O636" s="798">
        <f t="shared" ca="1" si="159"/>
        <v>17842.348013369457</v>
      </c>
      <c r="P636" s="796">
        <f t="shared" ca="1" si="160"/>
        <v>0.43798597127491129</v>
      </c>
      <c r="Q636" s="796">
        <f t="shared" ca="1" si="154"/>
        <v>2819.8394515290925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19.011232264772072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</v>
      </c>
      <c r="J637" s="797">
        <f t="shared" si="157"/>
        <v>0.29761904761904762</v>
      </c>
      <c r="K637" s="798">
        <f t="shared" ca="1" si="152"/>
        <v>1619.6617079739467</v>
      </c>
      <c r="L637" s="743">
        <f t="shared" si="153"/>
        <v>2.6783999999999999</v>
      </c>
      <c r="M637" s="796">
        <f t="shared" ca="1" si="158"/>
        <v>40381.850450198937</v>
      </c>
      <c r="N637" s="799">
        <f ca="1">Calcs!L356</f>
        <v>53502.052159663712</v>
      </c>
      <c r="O637" s="798">
        <f t="shared" ca="1" si="159"/>
        <v>93883.902609862649</v>
      </c>
      <c r="P637" s="796">
        <f t="shared" ca="1" si="160"/>
        <v>0.92778225876293707</v>
      </c>
      <c r="Q637" s="796">
        <f t="shared" ca="1" si="154"/>
        <v>37465.564423712698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</v>
      </c>
      <c r="J648" s="797">
        <f>$D$291</f>
        <v>0.29761904761904762</v>
      </c>
      <c r="K648" s="798">
        <f t="shared" ref="K648:K659" ca="1" si="164">1.205*1.008*H424/3600</f>
        <v>173.54089292217085</v>
      </c>
      <c r="L648" s="743">
        <f t="shared" ref="L648:L659" si="165">O5</f>
        <v>2.6783999999999999</v>
      </c>
      <c r="M648" s="796">
        <f ca="1">K648*((I648-H648)-G648)*J648*L648</f>
        <v>2938.9605673625606</v>
      </c>
      <c r="N648" s="799">
        <f ca="1">Calcs!L371</f>
        <v>4464.222528343962</v>
      </c>
      <c r="O648" s="798">
        <f ca="1">M648+N648</f>
        <v>7403.1830957065231</v>
      </c>
      <c r="P648" s="796">
        <f ca="1">O648/(O648+O626)</f>
        <v>6.7873820018497663E-2</v>
      </c>
      <c r="Q648" s="796">
        <f t="shared" ref="Q648:Q659" ca="1" si="166">M648*P648</f>
        <v>199.47848059062821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</v>
      </c>
      <c r="J649" s="797">
        <f t="shared" ref="J649:J659" si="170">$D$291</f>
        <v>0.29761904761904762</v>
      </c>
      <c r="K649" s="798">
        <f t="shared" ca="1" si="164"/>
        <v>291.26063521900215</v>
      </c>
      <c r="L649" s="743">
        <f t="shared" si="165"/>
        <v>2.4192</v>
      </c>
      <c r="M649" s="796">
        <f t="shared" ref="M649:M659" ca="1" si="171">K649*((I649-H649)-G649)*J649*L649</f>
        <v>4011.532728871317</v>
      </c>
      <c r="N649" s="799">
        <f ca="1">Calcs!L372</f>
        <v>7492.4835724314034</v>
      </c>
      <c r="O649" s="798">
        <f t="shared" ref="O649:O659" ca="1" si="172">M649+N649</f>
        <v>11504.01630130272</v>
      </c>
      <c r="P649" s="796">
        <f t="shared" ref="P649:P659" ca="1" si="173">O649/(O649+O627)</f>
        <v>0.16689518250416979</v>
      </c>
      <c r="Q649" s="796">
        <f t="shared" ca="1" si="166"/>
        <v>669.5054869064287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</v>
      </c>
      <c r="J650" s="797">
        <f t="shared" si="170"/>
        <v>0.29761904761904762</v>
      </c>
      <c r="K650" s="798">
        <f t="shared" ca="1" si="164"/>
        <v>959.77396463911509</v>
      </c>
      <c r="L650" s="743">
        <f t="shared" si="165"/>
        <v>2.6783999999999999</v>
      </c>
      <c r="M650" s="796">
        <f t="shared" ca="1" si="171"/>
        <v>9773.8581689024322</v>
      </c>
      <c r="N650" s="799">
        <f ca="1">Calcs!L373</f>
        <v>24689.538488092861</v>
      </c>
      <c r="O650" s="798">
        <f t="shared" ca="1" si="172"/>
        <v>34463.39665699529</v>
      </c>
      <c r="P650" s="796">
        <f t="shared" ca="1" si="173"/>
        <v>0.67504540885323139</v>
      </c>
      <c r="Q650" s="796">
        <f t="shared" ca="1" si="166"/>
        <v>6597.7980837002378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</v>
      </c>
      <c r="J651" s="797">
        <f t="shared" si="170"/>
        <v>0.29761904761904762</v>
      </c>
      <c r="K651" s="798">
        <f t="shared" ca="1" si="164"/>
        <v>2215.7936000234645</v>
      </c>
      <c r="L651" s="743">
        <f t="shared" si="165"/>
        <v>2.5920000000000001</v>
      </c>
      <c r="M651" s="796">
        <f t="shared" ca="1" si="171"/>
        <v>11386.488497606279</v>
      </c>
      <c r="N651" s="799">
        <f ca="1">Calcs!L374</f>
        <v>56999.797228318785</v>
      </c>
      <c r="O651" s="798">
        <f t="shared" ca="1" si="172"/>
        <v>68386.28572592506</v>
      </c>
      <c r="P651" s="796">
        <f t="shared" ca="1" si="173"/>
        <v>0.97231318830959268</v>
      </c>
      <c r="Q651" s="796">
        <f t="shared" ca="1" si="166"/>
        <v>11071.232934758065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24.052538369382919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</v>
      </c>
      <c r="J652" s="797">
        <f t="shared" si="170"/>
        <v>0.29761904761904762</v>
      </c>
      <c r="K652" s="798">
        <f t="shared" ca="1" si="164"/>
        <v>4306.9216197444803</v>
      </c>
      <c r="L652" s="743">
        <f t="shared" si="165"/>
        <v>2.6783999999999999</v>
      </c>
      <c r="M652" s="796">
        <f t="shared" ca="1" si="171"/>
        <v>4472.891920733925</v>
      </c>
      <c r="N652" s="799">
        <f ca="1">Calcs!L375</f>
        <v>111624.2086257138</v>
      </c>
      <c r="O652" s="798">
        <f t="shared" ca="1" si="172"/>
        <v>116097.10054644772</v>
      </c>
      <c r="P652" s="796">
        <f t="shared" ca="1" si="173"/>
        <v>0.99971967076901114</v>
      </c>
      <c r="Q652" s="796">
        <f t="shared" ca="1" si="166"/>
        <v>4471.6380383814894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24.548555386056698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</v>
      </c>
      <c r="J653" s="797">
        <f t="shared" si="170"/>
        <v>0.29761904761904762</v>
      </c>
      <c r="K653" s="798">
        <f t="shared" ca="1" si="164"/>
        <v>5386.8857694407243</v>
      </c>
      <c r="L653" s="743">
        <f t="shared" si="165"/>
        <v>2.5920000000000001</v>
      </c>
      <c r="M653" s="796">
        <f t="shared" ca="1" si="171"/>
        <v>-18741.745146994206</v>
      </c>
      <c r="N653" s="799">
        <f ca="1">Calcs!L376</f>
        <v>149433.36607325188</v>
      </c>
      <c r="O653" s="798">
        <f t="shared" ca="1" si="172"/>
        <v>130691.62092625767</v>
      </c>
      <c r="P653" s="796">
        <f t="shared" ca="1" si="173"/>
        <v>1</v>
      </c>
      <c r="Q653" s="796">
        <f t="shared" ca="1" si="166"/>
        <v>-18741.745146994206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24.693226425650764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</v>
      </c>
      <c r="J654" s="797">
        <f t="shared" si="170"/>
        <v>0.29761904761904762</v>
      </c>
      <c r="K654" s="798">
        <f t="shared" ca="1" si="164"/>
        <v>6279.3761357271196</v>
      </c>
      <c r="L654" s="743">
        <f t="shared" si="165"/>
        <v>2.6783999999999999</v>
      </c>
      <c r="M654" s="796">
        <f t="shared" ca="1" si="171"/>
        <v>-37689.712620367784</v>
      </c>
      <c r="N654" s="799">
        <f ca="1">Calcs!L377</f>
        <v>177529.68394766506</v>
      </c>
      <c r="O654" s="798">
        <f t="shared" ca="1" si="172"/>
        <v>139839.97132729727</v>
      </c>
      <c r="P654" s="796">
        <f t="shared" ca="1" si="173"/>
        <v>1</v>
      </c>
      <c r="Q654" s="796">
        <f t="shared" ca="1" si="166"/>
        <v>-37689.712620367784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24.555071520076993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</v>
      </c>
      <c r="J655" s="797">
        <f t="shared" si="170"/>
        <v>0.29761904761904762</v>
      </c>
      <c r="K655" s="798">
        <f t="shared" ca="1" si="164"/>
        <v>5488.7057997283346</v>
      </c>
      <c r="L655" s="743">
        <f t="shared" si="165"/>
        <v>2.6783999999999999</v>
      </c>
      <c r="M655" s="796">
        <f t="shared" ca="1" si="171"/>
        <v>-22665.610599978198</v>
      </c>
      <c r="N655" s="799">
        <f ca="1">Calcs!L378</f>
        <v>152389.30899745203</v>
      </c>
      <c r="O655" s="798">
        <f t="shared" ca="1" si="172"/>
        <v>129723.69839747383</v>
      </c>
      <c r="P655" s="796">
        <f t="shared" ca="1" si="173"/>
        <v>1</v>
      </c>
      <c r="Q655" s="796">
        <f t="shared" ca="1" si="166"/>
        <v>-22665.610599978198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24.233874583216085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</v>
      </c>
      <c r="J656" s="797">
        <f t="shared" si="170"/>
        <v>0.29761904761904762</v>
      </c>
      <c r="K656" s="798">
        <f t="shared" ca="1" si="164"/>
        <v>4382.1180814654472</v>
      </c>
      <c r="L656" s="743">
        <f t="shared" si="165"/>
        <v>2.5920000000000001</v>
      </c>
      <c r="M656" s="796">
        <f t="shared" ca="1" si="171"/>
        <v>-5212.9989705548223</v>
      </c>
      <c r="N656" s="799">
        <f ca="1">Calcs!L379</f>
        <v>116493.31875368842</v>
      </c>
      <c r="O656" s="798">
        <f t="shared" ca="1" si="172"/>
        <v>111280.3197831336</v>
      </c>
      <c r="P656" s="796">
        <f t="shared" ca="1" si="173"/>
        <v>0.99999420963568342</v>
      </c>
      <c r="Q656" s="796">
        <f t="shared" ca="1" si="166"/>
        <v>-5212.9687853916012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</v>
      </c>
      <c r="J657" s="797">
        <f t="shared" si="170"/>
        <v>0.29761904761904762</v>
      </c>
      <c r="K657" s="798">
        <f t="shared" ca="1" si="164"/>
        <v>2241.7190985144412</v>
      </c>
      <c r="L657" s="743">
        <f t="shared" si="165"/>
        <v>2.6783999999999999</v>
      </c>
      <c r="M657" s="796">
        <f t="shared" ca="1" si="171"/>
        <v>10037.057079409291</v>
      </c>
      <c r="N657" s="799">
        <f ca="1">Calcs!L380</f>
        <v>57666.713206870714</v>
      </c>
      <c r="O657" s="798">
        <f t="shared" ca="1" si="172"/>
        <v>67703.770286280007</v>
      </c>
      <c r="P657" s="796">
        <f t="shared" ca="1" si="173"/>
        <v>0.97933443236016082</v>
      </c>
      <c r="Q657" s="796">
        <f t="shared" ca="1" si="166"/>
        <v>9829.6355974298313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</v>
      </c>
      <c r="J658" s="797">
        <f t="shared" si="170"/>
        <v>0.29761904761904762</v>
      </c>
      <c r="K658" s="798">
        <f t="shared" ca="1" si="164"/>
        <v>656.50364274520371</v>
      </c>
      <c r="L658" s="743">
        <f t="shared" si="165"/>
        <v>2.5920000000000001</v>
      </c>
      <c r="M658" s="796">
        <f t="shared" ca="1" si="171"/>
        <v>6006.7973120905954</v>
      </c>
      <c r="N658" s="799">
        <f ca="1">Calcs!L381</f>
        <v>16888.113818783924</v>
      </c>
      <c r="O658" s="798">
        <f t="shared" ca="1" si="172"/>
        <v>22894.91113087452</v>
      </c>
      <c r="P658" s="796">
        <f t="shared" ca="1" si="173"/>
        <v>0.56201402872508877</v>
      </c>
      <c r="Q658" s="796">
        <f t="shared" ca="1" si="166"/>
        <v>3375.9043571030697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</v>
      </c>
      <c r="J659" s="797">
        <f t="shared" si="170"/>
        <v>0.29761904761904762</v>
      </c>
      <c r="K659" s="798">
        <f t="shared" ca="1" si="164"/>
        <v>174.46127528564756</v>
      </c>
      <c r="L659" s="743">
        <f t="shared" si="165"/>
        <v>2.6783999999999999</v>
      </c>
      <c r="M659" s="796">
        <f t="shared" ca="1" si="171"/>
        <v>2819.9402673213995</v>
      </c>
      <c r="N659" s="799">
        <f ca="1">Calcs!L382</f>
        <v>4487.8987444365339</v>
      </c>
      <c r="O659" s="798">
        <f t="shared" ca="1" si="172"/>
        <v>7307.8390117579329</v>
      </c>
      <c r="P659" s="796">
        <f t="shared" ca="1" si="173"/>
        <v>7.221774123706301E-2</v>
      </c>
      <c r="Q659" s="796">
        <f t="shared" ca="1" si="166"/>
        <v>203.64971652939113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0.92770866870982593</v>
      </c>
      <c r="E701" s="834">
        <f ca="1">$E$713*(D701/$D$713)</f>
        <v>10847.18658249707</v>
      </c>
      <c r="F701" s="540"/>
      <c r="G701" s="598">
        <f ca="1">Calcs!L371/(Calcs!L345+Calcs!L371)</f>
        <v>7.2291331290174024E-2</v>
      </c>
      <c r="H701" s="834">
        <f ca="1">$H$713*(G701/$G$713)</f>
        <v>335.36738439663418</v>
      </c>
      <c r="I701" s="540"/>
      <c r="J701" s="835">
        <f ca="1">(Calcs!L345+Calcs!L371)/($L$357+Calcs!$L$383)</f>
        <v>5.8839053416265455E-2</v>
      </c>
      <c r="K701" s="834">
        <f ca="1">IF(OR($E$713=0,$H$713=0),E701+H701,$K$713*J701/$J$713)</f>
        <v>4690.1786259173523</v>
      </c>
      <c r="L701" s="776">
        <f ca="1">H701+E701</f>
        <v>11182.553966893704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0.82194150380545705</v>
      </c>
      <c r="E702" s="834">
        <f t="shared" ref="E702:E712" ca="1" si="175">$E$713*(D702/$D$713)</f>
        <v>9610.5093682861097</v>
      </c>
      <c r="F702" s="540"/>
      <c r="G702" s="598">
        <f ca="1">Calcs!L372/(Calcs!L346+Calcs!L372)</f>
        <v>0.17805849619454298</v>
      </c>
      <c r="H702" s="834">
        <f t="shared" ref="H702:H712" ca="1" si="176">$H$713*(G702/$G$713)</f>
        <v>826.03281849477423</v>
      </c>
      <c r="I702" s="540"/>
      <c r="J702" s="835">
        <f ca="1">(Calcs!L346+Calcs!L372)/($L$357+Calcs!$L$383)</f>
        <v>4.009305625828561E-2</v>
      </c>
      <c r="K702" s="834">
        <f t="shared" ref="K702:K712" ca="1" si="177">IF(OR($E$713=0,$H$713=0),E702+H702,$K$713*J702/$J$713)</f>
        <v>3195.8977004604626</v>
      </c>
      <c r="L702" s="776">
        <f t="shared" ref="L702:L712" ca="1" si="178">H702+E702</f>
        <v>10436.542186780884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0.29455585177681165</v>
      </c>
      <c r="E703" s="834">
        <f t="shared" ca="1" si="175"/>
        <v>3444.0793655974871</v>
      </c>
      <c r="F703" s="540"/>
      <c r="G703" s="598">
        <f ca="1">Calcs!L373/(Calcs!L347+Calcs!L373)</f>
        <v>0.70544414822318835</v>
      </c>
      <c r="H703" s="834">
        <f t="shared" ca="1" si="176"/>
        <v>3272.6324803438633</v>
      </c>
      <c r="I703" s="540"/>
      <c r="J703" s="835">
        <f ca="1">(Calcs!L347+Calcs!L373)/($L$357+Calcs!$L$383)</f>
        <v>3.3346971765761416E-2</v>
      </c>
      <c r="K703" s="834">
        <f t="shared" ca="1" si="177"/>
        <v>2658.1538133923741</v>
      </c>
      <c r="L703" s="776">
        <f t="shared" ca="1" si="178"/>
        <v>6716.7118459413505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2.2205009005024087E-2</v>
      </c>
      <c r="E704" s="834">
        <f t="shared" ca="1" si="175"/>
        <v>259.63094219922834</v>
      </c>
      <c r="F704" s="540"/>
      <c r="G704" s="598">
        <f ca="1">Calcs!L374/(Calcs!L348+Calcs!L374)</f>
        <v>0.97779499099497591</v>
      </c>
      <c r="H704" s="834">
        <f t="shared" ca="1" si="176"/>
        <v>4536.0977969800797</v>
      </c>
      <c r="I704" s="540"/>
      <c r="J704" s="835">
        <f ca="1">(Calcs!L348+Calcs!L374)/($L$357+Calcs!$L$383)</f>
        <v>5.554328577512134E-2</v>
      </c>
      <c r="K704" s="834">
        <f t="shared" ca="1" si="177"/>
        <v>4427.4663957064722</v>
      </c>
      <c r="L704" s="776">
        <f t="shared" ca="1" si="178"/>
        <v>4795.7287391793079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2.1110218045915227E-4</v>
      </c>
      <c r="E705" s="834">
        <f t="shared" ca="1" si="175"/>
        <v>2.4683015440579315</v>
      </c>
      <c r="F705" s="540"/>
      <c r="G705" s="598">
        <f ca="1">Calcs!L375/(Calcs!L349+Calcs!L375)</f>
        <v>0.99978889781954083</v>
      </c>
      <c r="H705" s="834">
        <f t="shared" ca="1" si="176"/>
        <v>4638.1299337906548</v>
      </c>
      <c r="I705" s="540"/>
      <c r="J705" s="835">
        <f ca="1">(Calcs!L349+Calcs!L375)/($L$357+Calcs!$L$383)</f>
        <v>0.10637905996440887</v>
      </c>
      <c r="K705" s="834">
        <f t="shared" ca="1" si="177"/>
        <v>8479.6876278829604</v>
      </c>
      <c r="L705" s="776">
        <f t="shared" ca="1" si="178"/>
        <v>4640.5982353347126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4639.1092598708019</v>
      </c>
      <c r="I706" s="540"/>
      <c r="J706" s="835">
        <f ca="1">(Calcs!L350+Calcs!L376)/($L$357+Calcs!$L$383)</f>
        <v>0.14238152639960269</v>
      </c>
      <c r="K706" s="834">
        <f t="shared" ca="1" si="177"/>
        <v>11349.516232365129</v>
      </c>
      <c r="L706" s="776">
        <f t="shared" ca="1" si="178"/>
        <v>4639.1092598708019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4639.1092598708019</v>
      </c>
      <c r="I707" s="540"/>
      <c r="J707" s="835">
        <f ca="1">(Calcs!L351+Calcs!L377)/($L$357+Calcs!$L$383)</f>
        <v>0.16915196415582914</v>
      </c>
      <c r="K707" s="834">
        <f t="shared" ca="1" si="177"/>
        <v>13483.441366789453</v>
      </c>
      <c r="L707" s="776">
        <f t="shared" ca="1" si="178"/>
        <v>4639.1092598708019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4639.1092598708019</v>
      </c>
      <c r="I708" s="540"/>
      <c r="J708" s="835">
        <f ca="1">(Calcs!L352+Calcs!L378)/($L$357+Calcs!$L$383)</f>
        <v>0.14519797681196517</v>
      </c>
      <c r="K708" s="834">
        <f t="shared" ca="1" si="177"/>
        <v>11574.021127635368</v>
      </c>
      <c r="L708" s="776">
        <f t="shared" ca="1" si="178"/>
        <v>4639.1092598708019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4.3090855777630459E-6</v>
      </c>
      <c r="E709" s="834">
        <f t="shared" ca="1" si="175"/>
        <v>5.0383764686544069E-2</v>
      </c>
      <c r="F709" s="540"/>
      <c r="G709" s="598">
        <f ca="1">Calcs!L379/(Calcs!L353+Calcs!L379)</f>
        <v>0.99999569091442231</v>
      </c>
      <c r="H709" s="834">
        <f t="shared" ca="1" si="176"/>
        <v>4639.0892695519969</v>
      </c>
      <c r="I709" s="540"/>
      <c r="J709" s="835">
        <f ca="1">(Calcs!L353+Calcs!L379)/($L$357+Calcs!$L$383)</f>
        <v>0.11099641564867066</v>
      </c>
      <c r="K709" s="834">
        <f t="shared" ca="1" si="177"/>
        <v>8847.7462841868364</v>
      </c>
      <c r="L709" s="776">
        <f t="shared" ca="1" si="178"/>
        <v>4639.1396533166835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1.6376352196532936E-2</v>
      </c>
      <c r="E710" s="834">
        <f t="shared" ca="1" si="175"/>
        <v>191.4796679258377</v>
      </c>
      <c r="F710" s="540"/>
      <c r="G710" s="598">
        <f ca="1">Calcs!L380/(Calcs!L354+Calcs!L380)</f>
        <v>0.98362364780346712</v>
      </c>
      <c r="H710" s="834">
        <f t="shared" ca="1" si="176"/>
        <v>4563.1375727529603</v>
      </c>
      <c r="I710" s="540"/>
      <c r="J710" s="835">
        <f ca="1">(Calcs!L354+Calcs!L380)/($L$357+Calcs!$L$383)</f>
        <v>5.5860176397131638E-2</v>
      </c>
      <c r="K710" s="834">
        <f t="shared" ca="1" si="177"/>
        <v>4452.7263809681572</v>
      </c>
      <c r="L710" s="776">
        <f t="shared" ca="1" si="178"/>
        <v>4754.6172406787982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0.40308373269497194</v>
      </c>
      <c r="E711" s="834">
        <f t="shared" ca="1" si="175"/>
        <v>4713.036111856507</v>
      </c>
      <c r="F711" s="540"/>
      <c r="G711" s="598">
        <f ca="1">Calcs!L381/(Calcs!L355+Calcs!L381)</f>
        <v>0.59691626730502811</v>
      </c>
      <c r="H711" s="834">
        <f t="shared" ca="1" si="176"/>
        <v>2769.1597830222704</v>
      </c>
      <c r="I711" s="540"/>
      <c r="J711" s="835">
        <f ca="1">(Calcs!L355+Calcs!L381)/($L$357+Calcs!$L$383)</f>
        <v>2.6957138993131326E-2</v>
      </c>
      <c r="K711" s="834">
        <f t="shared" ca="1" si="177"/>
        <v>2148.8074634204841</v>
      </c>
      <c r="L711" s="776">
        <f t="shared" ca="1" si="178"/>
        <v>7482.1958948787778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0.92260902665949296</v>
      </c>
      <c r="E712" s="834">
        <f t="shared" ca="1" si="175"/>
        <v>10787.559276329024</v>
      </c>
      <c r="F712" s="540"/>
      <c r="G712" s="598">
        <f ca="1">Calcs!L382/(Calcs!L356+Calcs!L382)</f>
        <v>7.7390973340507027E-2</v>
      </c>
      <c r="H712" s="834">
        <f t="shared" ca="1" si="176"/>
        <v>359.02518105436053</v>
      </c>
      <c r="I712" s="540"/>
      <c r="J712" s="835">
        <f ca="1">(Calcs!L356+Calcs!L382)/($L$357+Calcs!$L$383)</f>
        <v>5.5253374413826689E-2</v>
      </c>
      <c r="K712" s="834">
        <f t="shared" ca="1" si="177"/>
        <v>4404.3569812749529</v>
      </c>
      <c r="L712" s="776">
        <f t="shared" ca="1" si="178"/>
        <v>11146.584457383386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3.4086955561141528</v>
      </c>
      <c r="E713" s="774">
        <f>$D$675*(D693*C2)</f>
        <v>39856</v>
      </c>
      <c r="F713" s="595">
        <f ca="1">SUM(E701:E712)</f>
        <v>39856.000000000007</v>
      </c>
      <c r="G713" s="836">
        <f ca="1">SUM(G701:G712)</f>
        <v>8.5913044438858464</v>
      </c>
      <c r="H713" s="774">
        <f>$D$675*(G693*C2)</f>
        <v>39856</v>
      </c>
      <c r="I713" s="595">
        <f ca="1">SUM(H701:H712)</f>
        <v>39856</v>
      </c>
      <c r="J713" s="836">
        <f ca="1">SUM(J701:J712)</f>
        <v>1</v>
      </c>
      <c r="K713" s="774">
        <f>E713+H713</f>
        <v>79712</v>
      </c>
      <c r="L713" s="776">
        <f ca="1">SUM(K701:K712)</f>
        <v>79712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2.4079028571428571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6.06</v>
      </c>
      <c r="D748" s="286">
        <f>Inputs!C29</f>
        <v>0</v>
      </c>
      <c r="E748" s="287">
        <f>E18</f>
        <v>0.29761904761904762</v>
      </c>
      <c r="G748" s="82" t="s">
        <v>115</v>
      </c>
      <c r="H748" s="838">
        <f t="shared" si="186"/>
        <v>2.1748799999999995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2.04</v>
      </c>
      <c r="D749" s="286">
        <f>Inputs!C30</f>
        <v>0</v>
      </c>
      <c r="E749" s="287">
        <f>1-E748</f>
        <v>0.70238095238095233</v>
      </c>
      <c r="G749" s="82" t="s">
        <v>116</v>
      </c>
      <c r="H749" s="838">
        <f t="shared" si="186"/>
        <v>2.4079028571428571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3.2364285714285712</v>
      </c>
      <c r="D750" s="837">
        <f>SUMPRODUCT(D748:D749,$E$748:$E$749)</f>
        <v>0</v>
      </c>
      <c r="G750" s="82" t="s">
        <v>117</v>
      </c>
      <c r="H750" s="838">
        <f t="shared" si="186"/>
        <v>2.3302285714285711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2.4079028571428571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2.3302285714285711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2.4079028571428571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2.4079028571428571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2.3302285714285711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2.4079028571428571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2.3302285714285711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2.4079028571428571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28.351114285714285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0.66666666666666663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1.2422360248447204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53625.801697493996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50</v>
      </c>
      <c r="AA801" s="10"/>
      <c r="AB801" s="10"/>
    </row>
    <row r="802" spans="2:28" outlineLevel="1" x14ac:dyDescent="0.25">
      <c r="B802" s="10" t="s">
        <v>735</v>
      </c>
      <c r="C802" s="11">
        <f>PeoDOcc</f>
        <v>24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10.889785606188385</v>
      </c>
      <c r="E809" s="338">
        <v>9.5350000000000001</v>
      </c>
      <c r="F809" s="337">
        <f>D809-E809</f>
        <v>1.3547856061883845</v>
      </c>
      <c r="G809" s="338">
        <v>34.17</v>
      </c>
      <c r="H809" s="338">
        <f>F809*G809</f>
        <v>46.293024163457098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3.912023005428146</v>
      </c>
      <c r="E811" s="338">
        <v>3.972</v>
      </c>
      <c r="F811" s="337">
        <f t="shared" si="196"/>
        <v>-5.9976994571854014E-2</v>
      </c>
      <c r="G811" s="338">
        <v>55.96</v>
      </c>
      <c r="H811" s="338">
        <f t="shared" si="197"/>
        <v>-3.3563126162409507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1.353502538267932</v>
      </c>
      <c r="E812" s="338">
        <v>0.56159999999999999</v>
      </c>
      <c r="F812" s="337">
        <f t="shared" si="196"/>
        <v>0.791902538267932</v>
      </c>
      <c r="G812" s="338">
        <v>10.34</v>
      </c>
      <c r="H812" s="338">
        <f t="shared" si="197"/>
        <v>8.1882722456904169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216.96184850339893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684.25986505081221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431.08371498201171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9.3855389752162175</v>
      </c>
      <c r="D830" s="206">
        <f ca="1">D846/Calcs!$C$2/3.6</f>
        <v>1.2026208807210812</v>
      </c>
      <c r="E830" s="206">
        <f ca="1">E846/Calcs!$C$2/3.6</f>
        <v>10.588159855937299</v>
      </c>
      <c r="F830" s="206">
        <f ca="1">F846/Calcs!$C$2/3.6</f>
        <v>1.8886244716004754</v>
      </c>
      <c r="G830" s="206">
        <f>G846/Calcs!$C$2/3.6</f>
        <v>3.6974971877467895</v>
      </c>
      <c r="H830" s="206">
        <f>H846/Calcs!$C$2/3.6</f>
        <v>2.3390136986301364</v>
      </c>
      <c r="I830" s="206">
        <f ca="1">I846/Calcs!$C$2/3.6</f>
        <v>7.9251353579774015</v>
      </c>
      <c r="J830" s="206">
        <f t="shared" ref="J830:J841" ca="1" si="198">J846</f>
        <v>0.93297315570774708</v>
      </c>
      <c r="K830" s="206">
        <f ca="1">K846/Calcs!$C$2/3.6</f>
        <v>3.1942213115940765</v>
      </c>
      <c r="L830" s="204"/>
      <c r="M830" s="9" t="s">
        <v>114</v>
      </c>
      <c r="N830" s="206">
        <f ca="1">N846/Calcs!$C$2/3.6</f>
        <v>11.384090554161647</v>
      </c>
      <c r="O830" s="206">
        <f ca="1">O846/Calcs!$C$2/3.6</f>
        <v>1.609298906034093</v>
      </c>
      <c r="P830" s="206">
        <f ca="1">P846/Calcs!$C$2/3.6</f>
        <v>12.99338946019574</v>
      </c>
      <c r="Q830" s="206">
        <f ca="1">Q846/Calcs!$C$2/3.6</f>
        <v>1.8886244716004754</v>
      </c>
      <c r="R830" s="206">
        <f>R846/Calcs!$C$2/3.6</f>
        <v>3.6974971877467895</v>
      </c>
      <c r="S830" s="206">
        <f>S846/Calcs!$C$2/3.6</f>
        <v>2.3390136986301364</v>
      </c>
      <c r="T830" s="206">
        <f ca="1">T846/Calcs!$C$2/3.6</f>
        <v>7.9251353579774015</v>
      </c>
      <c r="U830" s="206">
        <f t="shared" ref="U830:U841" ca="1" si="199">U846</f>
        <v>0.59077940736312118</v>
      </c>
      <c r="V830" s="206">
        <f ca="1">V846/Calcs!$C$2/3.6</f>
        <v>0.24890843304473673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7.7499687082732693</v>
      </c>
      <c r="D831" s="206">
        <f ca="1">D847/Calcs!$C$2/3.6</f>
        <v>0.96785199931220534</v>
      </c>
      <c r="E831" s="206">
        <f ca="1">E847/Calcs!$C$2/3.6</f>
        <v>8.7178207075854743</v>
      </c>
      <c r="F831" s="206">
        <f ca="1">F847/Calcs!$C$2/3.6</f>
        <v>2.1912053408506713</v>
      </c>
      <c r="G831" s="206">
        <f>G847/Calcs!$C$2/3.6</f>
        <v>3.3396748792551643</v>
      </c>
      <c r="H831" s="206">
        <f>H847/Calcs!$C$2/3.6</f>
        <v>2.1126575342465754</v>
      </c>
      <c r="I831" s="206">
        <f ca="1">I847/Calcs!$C$2/3.6</f>
        <v>7.6435377543524119</v>
      </c>
      <c r="J831" s="206">
        <f t="shared" ca="1" si="198"/>
        <v>0.88825593409444192</v>
      </c>
      <c r="K831" s="206">
        <f ca="1">K847/Calcs!$C$2/3.6</f>
        <v>1.9284029398070404</v>
      </c>
      <c r="L831" s="204"/>
      <c r="M831" s="9" t="s">
        <v>115</v>
      </c>
      <c r="N831" s="206">
        <f ca="1">N847/Calcs!$C$2/3.6</f>
        <v>9.5229208551376967</v>
      </c>
      <c r="O831" s="206">
        <f ca="1">O847/Calcs!$C$2/3.6</f>
        <v>1.2972652206470989</v>
      </c>
      <c r="P831" s="206">
        <f ca="1">P847/Calcs!$C$2/3.6</f>
        <v>10.820186075784795</v>
      </c>
      <c r="Q831" s="206">
        <f ca="1">Q847/Calcs!$C$2/3.6</f>
        <v>2.1912053408506713</v>
      </c>
      <c r="R831" s="206">
        <f>R847/Calcs!$C$2/3.6</f>
        <v>3.3396748792551643</v>
      </c>
      <c r="S831" s="206">
        <f>S847/Calcs!$C$2/3.6</f>
        <v>2.1126575342465754</v>
      </c>
      <c r="T831" s="206">
        <f ca="1">T847/Calcs!$C$2/3.6</f>
        <v>7.6435377543524119</v>
      </c>
      <c r="U831" s="206">
        <f t="shared" ca="1" si="199"/>
        <v>0.66780596059921993</v>
      </c>
      <c r="V831" s="206">
        <f ca="1">V847/Calcs!$C$2/3.6</f>
        <v>0.41775299815064248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6.2436948540782868</v>
      </c>
      <c r="D832" s="206">
        <f ca="1">D848/Calcs!$C$2/3.6</f>
        <v>0.83651394136486401</v>
      </c>
      <c r="E832" s="206">
        <f ca="1">E848/Calcs!$C$2/3.6</f>
        <v>7.0802087954431512</v>
      </c>
      <c r="F832" s="206">
        <f ca="1">F848/Calcs!$C$2/3.6</f>
        <v>2.9007083693428548</v>
      </c>
      <c r="G832" s="206">
        <f>G848/Calcs!$C$2/3.6</f>
        <v>3.6974971877467895</v>
      </c>
      <c r="H832" s="206">
        <f>H848/Calcs!$C$2/3.6</f>
        <v>2.3390136986301364</v>
      </c>
      <c r="I832" s="206">
        <f ca="1">I848/Calcs!$C$2/3.6</f>
        <v>8.9372192557197803</v>
      </c>
      <c r="J832" s="206">
        <f t="shared" ca="1" si="198"/>
        <v>0.72790151119413271</v>
      </c>
      <c r="K832" s="206">
        <f ca="1">K848/Calcs!$C$2/3.6</f>
        <v>0.57479339333142121</v>
      </c>
      <c r="L832" s="204"/>
      <c r="M832" s="9" t="s">
        <v>116</v>
      </c>
      <c r="N832" s="206">
        <f ca="1">N848/Calcs!$C$2/3.6</f>
        <v>8.017957920291451</v>
      </c>
      <c r="O832" s="206">
        <f ca="1">O848/Calcs!$C$2/3.6</f>
        <v>1.0816713872128034</v>
      </c>
      <c r="P832" s="206">
        <f ca="1">P848/Calcs!$C$2/3.6</f>
        <v>9.0996293075042534</v>
      </c>
      <c r="Q832" s="206">
        <f ca="1">Q848/Calcs!$C$2/3.6</f>
        <v>2.9007083693428548</v>
      </c>
      <c r="R832" s="206">
        <f>R848/Calcs!$C$2/3.6</f>
        <v>3.6974971877467895</v>
      </c>
      <c r="S832" s="206">
        <f>S848/Calcs!$C$2/3.6</f>
        <v>2.3390136986301364</v>
      </c>
      <c r="T832" s="206">
        <f ca="1">T848/Calcs!$C$2/3.6</f>
        <v>8.9372192557197803</v>
      </c>
      <c r="U832" s="206">
        <f t="shared" ca="1" si="199"/>
        <v>0.83087148110270925</v>
      </c>
      <c r="V832" s="206">
        <f ca="1">V848/Calcs!$C$2/3.6</f>
        <v>1.3765967755080992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4.1194481240773806</v>
      </c>
      <c r="D833" s="206">
        <f ca="1">D849/Calcs!$C$2/3.6</f>
        <v>0.48320422787753614</v>
      </c>
      <c r="E833" s="206">
        <f ca="1">E849/Calcs!$C$2/3.6</f>
        <v>4.6026523519549167</v>
      </c>
      <c r="F833" s="206">
        <f ca="1">F849/Calcs!$C$2/3.6</f>
        <v>3.1008063393815584</v>
      </c>
      <c r="G833" s="206">
        <f>G849/Calcs!$C$2/3.6</f>
        <v>3.5782230849162473</v>
      </c>
      <c r="H833" s="206">
        <f>H849/Calcs!$C$2/3.6</f>
        <v>2.2635616438356161</v>
      </c>
      <c r="I833" s="206">
        <f ca="1">I849/Calcs!$C$2/3.6</f>
        <v>8.9425910681334209</v>
      </c>
      <c r="J833" s="206">
        <f t="shared" ca="1" si="198"/>
        <v>0.50661827981732221</v>
      </c>
      <c r="K833" s="206">
        <f ca="1">K849/Calcs!$C$2/3.6</f>
        <v>7.2172247907413264E-2</v>
      </c>
      <c r="L833" s="204"/>
      <c r="M833" s="9" t="s">
        <v>117</v>
      </c>
      <c r="N833" s="206">
        <f ca="1">N849/Calcs!$C$2/3.6</f>
        <v>5.4080165205403423</v>
      </c>
      <c r="O833" s="206">
        <f ca="1">O849/Calcs!$C$2/3.6</f>
        <v>0.63796028920240389</v>
      </c>
      <c r="P833" s="206">
        <f ca="1">P849/Calcs!$C$2/3.6</f>
        <v>6.0459768097427462</v>
      </c>
      <c r="Q833" s="206">
        <f ca="1">Q849/Calcs!$C$2/3.6</f>
        <v>3.1008063393815584</v>
      </c>
      <c r="R833" s="206">
        <f>R849/Calcs!$C$2/3.6</f>
        <v>3.5782230849162473</v>
      </c>
      <c r="S833" s="206">
        <f>S849/Calcs!$C$2/3.6</f>
        <v>2.2635616438356161</v>
      </c>
      <c r="T833" s="206">
        <f ca="1">T849/Calcs!$C$2/3.6</f>
        <v>8.9425910681334209</v>
      </c>
      <c r="U833" s="206">
        <f t="shared" ca="1" si="199"/>
        <v>0.95344304160976301</v>
      </c>
      <c r="V833" s="206">
        <f ca="1">V849/Calcs!$C$2/3.6</f>
        <v>3.1780965491502062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2.2664184128129268</v>
      </c>
      <c r="D834" s="206">
        <f ca="1">D850/Calcs!$C$2/3.6</f>
        <v>0.20781264276533473</v>
      </c>
      <c r="E834" s="206">
        <f ca="1">E850/Calcs!$C$2/3.6</f>
        <v>2.4742310555782616</v>
      </c>
      <c r="F834" s="206">
        <f ca="1">F850/Calcs!$C$2/3.6</f>
        <v>3.9721667740060567</v>
      </c>
      <c r="G834" s="206">
        <f>G850/Calcs!$C$2/3.6</f>
        <v>3.6974971877467895</v>
      </c>
      <c r="H834" s="206">
        <f>H850/Calcs!$C$2/3.6</f>
        <v>2.3390136986301364</v>
      </c>
      <c r="I834" s="206">
        <f ca="1">I850/Calcs!$C$2/3.6</f>
        <v>10.008677660382981</v>
      </c>
      <c r="J834" s="206">
        <f t="shared" ca="1" si="198"/>
        <v>0.24707728780863308</v>
      </c>
      <c r="K834" s="206">
        <f ca="1">K850/Calcs!$C$2/3.6</f>
        <v>1.3141246999789345E-3</v>
      </c>
      <c r="L834" s="204"/>
      <c r="M834" s="9" t="s">
        <v>118</v>
      </c>
      <c r="N834" s="206">
        <f ca="1">N850/Calcs!$C$2/3.6</f>
        <v>3.479559636891604</v>
      </c>
      <c r="O834" s="206">
        <f ca="1">O850/Calcs!$C$2/3.6</f>
        <v>0.32084837595965826</v>
      </c>
      <c r="P834" s="206">
        <f ca="1">P850/Calcs!$C$2/3.6</f>
        <v>3.8004080128512618</v>
      </c>
      <c r="Q834" s="206">
        <f ca="1">Q850/Calcs!$C$2/3.6</f>
        <v>3.9721667740060567</v>
      </c>
      <c r="R834" s="206">
        <f>R850/Calcs!$C$2/3.6</f>
        <v>3.6974971877467895</v>
      </c>
      <c r="S834" s="206">
        <f>S850/Calcs!$C$2/3.6</f>
        <v>2.3390136986301364</v>
      </c>
      <c r="T834" s="206">
        <f ca="1">T850/Calcs!$C$2/3.6</f>
        <v>10.008677660382981</v>
      </c>
      <c r="U834" s="206">
        <f t="shared" ca="1" si="199"/>
        <v>0.9959265485186457</v>
      </c>
      <c r="V834" s="206">
        <f ca="1">V850/Calcs!$C$2/3.6</f>
        <v>6.2237504251814197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-4.2306049705340375E-2</v>
      </c>
      <c r="D835" s="206">
        <f ca="1">D851/Calcs!$C$2/3.6</f>
        <v>-4.8716916501407685E-3</v>
      </c>
      <c r="E835" s="206">
        <f ca="1">E851/Calcs!$C$2/3.6</f>
        <v>-4.7177741355481147E-2</v>
      </c>
      <c r="F835" s="206">
        <f ca="1">F851/Calcs!$C$2/3.6</f>
        <v>3.9666460145369919</v>
      </c>
      <c r="G835" s="206">
        <f>G851/Calcs!$C$2/3.6</f>
        <v>3.5782230849162473</v>
      </c>
      <c r="H835" s="206">
        <f>H851/Calcs!$C$2/3.6</f>
        <v>2.2635616438356161</v>
      </c>
      <c r="I835" s="206">
        <f ca="1">I851/Calcs!$C$2/3.6</f>
        <v>9.808430743288854</v>
      </c>
      <c r="J835" s="206">
        <f t="shared" ca="1" si="198"/>
        <v>-4.8099173649934976E-3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1.3224699552461494</v>
      </c>
      <c r="O835" s="206">
        <f ca="1">O851/Calcs!$C$2/3.6</f>
        <v>0.1541798327396792</v>
      </c>
      <c r="P835" s="206">
        <f ca="1">P851/Calcs!$C$2/3.6</f>
        <v>1.4766497879858287</v>
      </c>
      <c r="Q835" s="206">
        <f ca="1">Q851/Calcs!$C$2/3.6</f>
        <v>3.9666460145369919</v>
      </c>
      <c r="R835" s="206">
        <f>R851/Calcs!$C$2/3.6</f>
        <v>3.5782230849162473</v>
      </c>
      <c r="S835" s="206">
        <f>S851/Calcs!$C$2/3.6</f>
        <v>2.2635616438356161</v>
      </c>
      <c r="T835" s="206">
        <f ca="1">T851/Calcs!$C$2/3.6</f>
        <v>9.808430743288854</v>
      </c>
      <c r="U835" s="206">
        <f t="shared" ca="1" si="199"/>
        <v>0.99995437685856481</v>
      </c>
      <c r="V835" s="206">
        <f ca="1">V851/Calcs!$C$2/3.6</f>
        <v>8.3318483247051542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-1.243755127953428</v>
      </c>
      <c r="D836" s="206">
        <f ca="1">D852/Calcs!$C$2/3.6</f>
        <v>-0.12669177611396662</v>
      </c>
      <c r="E836" s="206">
        <f ca="1">E852/Calcs!$C$2/3.6</f>
        <v>-1.3704469040673946</v>
      </c>
      <c r="F836" s="206">
        <f ca="1">F852/Calcs!$C$2/3.6</f>
        <v>4.108521580099902</v>
      </c>
      <c r="G836" s="206">
        <f>G852/Calcs!$C$2/3.6</f>
        <v>3.6974971877467895</v>
      </c>
      <c r="H836" s="206">
        <f>H852/Calcs!$C$2/3.6</f>
        <v>2.3390136986301364</v>
      </c>
      <c r="I836" s="206">
        <f ca="1">I852/Calcs!$C$2/3.6</f>
        <v>10.145032466476829</v>
      </c>
      <c r="J836" s="206">
        <f t="shared" ca="1" si="198"/>
        <v>-0.13508551190899482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0.22400864260301423</v>
      </c>
      <c r="O836" s="206">
        <f ca="1">O852/Calcs!$C$2/3.6</f>
        <v>2.2629385576642815E-2</v>
      </c>
      <c r="P836" s="206">
        <f ca="1">P852/Calcs!$C$2/3.6</f>
        <v>0.24663802817965705</v>
      </c>
      <c r="Q836" s="206">
        <f ca="1">Q852/Calcs!$C$2/3.6</f>
        <v>4.108521580099902</v>
      </c>
      <c r="R836" s="206">
        <f>R852/Calcs!$C$2/3.6</f>
        <v>3.6974971877467895</v>
      </c>
      <c r="S836" s="206">
        <f>S852/Calcs!$C$2/3.6</f>
        <v>2.3390136986301364</v>
      </c>
      <c r="T836" s="206">
        <f ca="1">T852/Calcs!$C$2/3.6</f>
        <v>10.145032466476829</v>
      </c>
      <c r="U836" s="206">
        <f t="shared" ca="1" si="199"/>
        <v>0.99999999594944211</v>
      </c>
      <c r="V836" s="206">
        <f ca="1">V852/Calcs!$C$2/3.6</f>
        <v>9.898394439296192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-0.31013753104697361</v>
      </c>
      <c r="D837" s="206">
        <f ca="1">D853/Calcs!$C$2/3.6</f>
        <v>-2.8729696447800268E-2</v>
      </c>
      <c r="E837" s="206">
        <f ca="1">E853/Calcs!$C$2/3.6</f>
        <v>-0.33886722749477394</v>
      </c>
      <c r="F837" s="206">
        <f ca="1">F853/Calcs!$C$2/3.6</f>
        <v>3.665630711841521</v>
      </c>
      <c r="G837" s="206">
        <f>G853/Calcs!$C$2/3.6</f>
        <v>3.6974971877467895</v>
      </c>
      <c r="H837" s="206">
        <f>H853/Calcs!$C$2/3.6</f>
        <v>2.3390136986301364</v>
      </c>
      <c r="I837" s="206">
        <f ca="1">I853/Calcs!$C$2/3.6</f>
        <v>9.7021415982184465</v>
      </c>
      <c r="J837" s="206">
        <f t="shared" ca="1" si="198"/>
        <v>-3.4927054410028226E-2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1.1027206524278164</v>
      </c>
      <c r="O837" s="206">
        <f ca="1">O853/Calcs!$C$2/3.6</f>
        <v>0.10278116935058007</v>
      </c>
      <c r="P837" s="206">
        <f ca="1">P853/Calcs!$C$2/3.6</f>
        <v>1.2055018217783964</v>
      </c>
      <c r="Q837" s="206">
        <f ca="1">Q853/Calcs!$C$2/3.6</f>
        <v>3.665630711841521</v>
      </c>
      <c r="R837" s="206">
        <f>R853/Calcs!$C$2/3.6</f>
        <v>3.6974971877467895</v>
      </c>
      <c r="S837" s="206">
        <f>S853/Calcs!$C$2/3.6</f>
        <v>2.3390136986301364</v>
      </c>
      <c r="T837" s="206">
        <f ca="1">T853/Calcs!$C$2/3.6</f>
        <v>9.7021415982184465</v>
      </c>
      <c r="U837" s="206">
        <f t="shared" ca="1" si="199"/>
        <v>0.99998264277796289</v>
      </c>
      <c r="V837" s="206">
        <f ca="1">V853/Calcs!$C$2/3.6</f>
        <v>8.4966607006028383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1.0991560413974204</v>
      </c>
      <c r="D838" s="206">
        <f ca="1">D854/Calcs!$C$2/3.6</f>
        <v>9.2702506698536927E-2</v>
      </c>
      <c r="E838" s="206">
        <f ca="1">E854/Calcs!$C$2/3.6</f>
        <v>1.1918585480959571</v>
      </c>
      <c r="F838" s="206">
        <f ca="1">F854/Calcs!$C$2/3.6</f>
        <v>3.1927747314011672</v>
      </c>
      <c r="G838" s="206">
        <f>G854/Calcs!$C$2/3.6</f>
        <v>3.5782230849162473</v>
      </c>
      <c r="H838" s="206">
        <f>H854/Calcs!$C$2/3.6</f>
        <v>2.2635616438356161</v>
      </c>
      <c r="I838" s="206">
        <f ca="1">I854/Calcs!$C$2/3.6</f>
        <v>9.0345594601530301</v>
      </c>
      <c r="J838" s="206">
        <f t="shared" ca="1" si="198"/>
        <v>0.13191905645352972</v>
      </c>
      <c r="K838" s="206">
        <f ca="1">K854/Calcs!$C$2/3.6</f>
        <v>2.798863925855253E-5</v>
      </c>
      <c r="L838" s="204"/>
      <c r="M838" s="9" t="s">
        <v>122</v>
      </c>
      <c r="N838" s="206">
        <f ca="1">N854/Calcs!$C$2/3.6</f>
        <v>2.3429056673826283</v>
      </c>
      <c r="O838" s="206">
        <f ca="1">O854/Calcs!$C$2/3.6</f>
        <v>0.19894337513502974</v>
      </c>
      <c r="P838" s="206">
        <f ca="1">P854/Calcs!$C$2/3.6</f>
        <v>2.5418490425176579</v>
      </c>
      <c r="Q838" s="206">
        <f ca="1">Q854/Calcs!$C$2/3.6</f>
        <v>3.1927747314011672</v>
      </c>
      <c r="R838" s="206">
        <f>R854/Calcs!$C$2/3.6</f>
        <v>3.5782230849162473</v>
      </c>
      <c r="S838" s="206">
        <f>S854/Calcs!$C$2/3.6</f>
        <v>2.2635616438356161</v>
      </c>
      <c r="T838" s="206">
        <f ca="1">T854/Calcs!$C$2/3.6</f>
        <v>9.0345594601530301</v>
      </c>
      <c r="U838" s="206">
        <f t="shared" ca="1" si="199"/>
        <v>0.99900723206773201</v>
      </c>
      <c r="V838" s="206">
        <f ca="1">V854/Calcs!$C$2/3.6</f>
        <v>6.4952338838534507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3.8276845038171028</v>
      </c>
      <c r="D839" s="206">
        <f ca="1">D855/Calcs!$C$2/3.6</f>
        <v>0.44324775608977146</v>
      </c>
      <c r="E839" s="206">
        <f ca="1">E855/Calcs!$C$2/3.6</f>
        <v>4.270932259906874</v>
      </c>
      <c r="F839" s="206">
        <f ca="1">F855/Calcs!$C$2/3.6</f>
        <v>2.7080453309662786</v>
      </c>
      <c r="G839" s="206">
        <f>G855/Calcs!$C$2/3.6</f>
        <v>3.6974971877467895</v>
      </c>
      <c r="H839" s="206">
        <f>H855/Calcs!$C$2/3.6</f>
        <v>2.3390136986301364</v>
      </c>
      <c r="I839" s="206">
        <f ca="1">I855/Calcs!$C$2/3.6</f>
        <v>8.7445562173432041</v>
      </c>
      <c r="J839" s="206">
        <f t="shared" ca="1" si="198"/>
        <v>0.48228874397686611</v>
      </c>
      <c r="K839" s="206">
        <f ca="1">K855/Calcs!$C$2/3.6</f>
        <v>5.3531225209325149E-2</v>
      </c>
      <c r="L839" s="204"/>
      <c r="M839" s="9" t="s">
        <v>123</v>
      </c>
      <c r="N839" s="206">
        <f ca="1">N855/Calcs!$C$2/3.6</f>
        <v>5.1731431612545178</v>
      </c>
      <c r="O839" s="206">
        <f ca="1">O855/Calcs!$C$2/3.6</f>
        <v>0.60259439562203043</v>
      </c>
      <c r="P839" s="206">
        <f ca="1">P855/Calcs!$C$2/3.6</f>
        <v>5.7757375568765488</v>
      </c>
      <c r="Q839" s="206">
        <f ca="1">Q855/Calcs!$C$2/3.6</f>
        <v>2.7080453309662786</v>
      </c>
      <c r="R839" s="206">
        <f>R855/Calcs!$C$2/3.6</f>
        <v>3.6974971877467895</v>
      </c>
      <c r="S839" s="206">
        <f>S855/Calcs!$C$2/3.6</f>
        <v>2.3390136986301364</v>
      </c>
      <c r="T839" s="206">
        <f ca="1">T855/Calcs!$C$2/3.6</f>
        <v>8.7445562173432041</v>
      </c>
      <c r="U839" s="206">
        <f t="shared" ca="1" si="199"/>
        <v>0.957327936204866</v>
      </c>
      <c r="V839" s="206">
        <f ca="1">V855/Calcs!$C$2/3.6</f>
        <v>3.2152813019576425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5.6768262161054412</v>
      </c>
      <c r="D840" s="206">
        <f ca="1">D856/Calcs!$C$2/3.6</f>
        <v>0.73272709768281419</v>
      </c>
      <c r="E840" s="206">
        <f ca="1">E856/Calcs!$C$2/3.6</f>
        <v>6.4095533137882548</v>
      </c>
      <c r="F840" s="206">
        <f ca="1">F856/Calcs!$C$2/3.6</f>
        <v>1.758676880016679</v>
      </c>
      <c r="G840" s="206">
        <f>G856/Calcs!$C$2/3.6</f>
        <v>3.5782230849162473</v>
      </c>
      <c r="H840" s="206">
        <f>H856/Calcs!$C$2/3.6</f>
        <v>2.2635616438356161</v>
      </c>
      <c r="I840" s="206">
        <f ca="1">I856/Calcs!$C$2/3.6</f>
        <v>7.6004616087685424</v>
      </c>
      <c r="J840" s="206">
        <f t="shared" ca="1" si="198"/>
        <v>0.75965125928017485</v>
      </c>
      <c r="K840" s="206">
        <f ca="1">K856/Calcs!$C$2/3.6</f>
        <v>0.63585308157660803</v>
      </c>
      <c r="L840" s="204"/>
      <c r="M840" s="9" t="s">
        <v>124</v>
      </c>
      <c r="N840" s="206">
        <f ca="1">N856/Calcs!$C$2/3.6</f>
        <v>7.407671786600166</v>
      </c>
      <c r="O840" s="206">
        <f ca="1">O856/Calcs!$C$2/3.6</f>
        <v>0.96286810288459257</v>
      </c>
      <c r="P840" s="206">
        <f ca="1">P856/Calcs!$C$2/3.6</f>
        <v>8.3705398894847587</v>
      </c>
      <c r="Q840" s="206">
        <f ca="1">Q856/Calcs!$C$2/3.6</f>
        <v>1.758676880016679</v>
      </c>
      <c r="R840" s="206">
        <f>R856/Calcs!$C$2/3.6</f>
        <v>3.5782230849162473</v>
      </c>
      <c r="S840" s="206">
        <f>S856/Calcs!$C$2/3.6</f>
        <v>2.2635616438356161</v>
      </c>
      <c r="T840" s="206">
        <f ca="1">T856/Calcs!$C$2/3.6</f>
        <v>7.6004616087685424</v>
      </c>
      <c r="U840" s="206">
        <f t="shared" ca="1" si="199"/>
        <v>0.7955094085995178</v>
      </c>
      <c r="V840" s="206">
        <f ca="1">V856/Calcs!$C$2/3.6</f>
        <v>0.94161837162584883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9.016786531218246</v>
      </c>
      <c r="D841" s="206">
        <f ca="1">D857/Calcs!$C$2/3.6</f>
        <v>1.1245642303912948</v>
      </c>
      <c r="E841" s="206">
        <f ca="1">E857/Calcs!$C$2/3.6</f>
        <v>10.141350761609543</v>
      </c>
      <c r="F841" s="206">
        <f ca="1">F857/Calcs!$C$2/3.6</f>
        <v>1.6639847332143098</v>
      </c>
      <c r="G841" s="206">
        <f>G857/Calcs!$C$2/3.6</f>
        <v>3.6974971877467895</v>
      </c>
      <c r="H841" s="206">
        <f>H857/Calcs!$C$2/3.6</f>
        <v>2.3390136986301364</v>
      </c>
      <c r="I841" s="206">
        <f ca="1">I857/Calcs!$C$2/3.6</f>
        <v>7.7004956195912371</v>
      </c>
      <c r="J841" s="206">
        <f t="shared" ca="1" si="198"/>
        <v>0.92958632964059096</v>
      </c>
      <c r="K841" s="206">
        <f ca="1">K857/Calcs!$C$2/3.6</f>
        <v>2.9830753021802772</v>
      </c>
      <c r="L841" s="204"/>
      <c r="M841" s="9" t="s">
        <v>125</v>
      </c>
      <c r="N841" s="206">
        <f ca="1">N857/Calcs!$C$2/3.6</f>
        <v>10.999424933952582</v>
      </c>
      <c r="O841" s="206">
        <f ca="1">O857/Calcs!$C$2/3.6</f>
        <v>1.5166077646027896</v>
      </c>
      <c r="P841" s="206">
        <f ca="1">P857/Calcs!$C$2/3.6</f>
        <v>12.516032698555371</v>
      </c>
      <c r="Q841" s="206">
        <f ca="1">Q857/Calcs!$C$2/3.6</f>
        <v>1.6639847332143098</v>
      </c>
      <c r="R841" s="206">
        <f>R857/Calcs!$C$2/3.6</f>
        <v>3.6974971877467895</v>
      </c>
      <c r="S841" s="206">
        <f>S857/Calcs!$C$2/3.6</f>
        <v>2.3390136986301364</v>
      </c>
      <c r="T841" s="206">
        <f ca="1">T857/Calcs!$C$2/3.6</f>
        <v>7.7004956195912371</v>
      </c>
      <c r="U841" s="206">
        <f t="shared" ca="1" si="199"/>
        <v>0.59525787989641987</v>
      </c>
      <c r="V841" s="206">
        <f ca="1">V857/Calcs!$C$2/3.6</f>
        <v>0.25022853073489748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47.789323658290542</v>
      </c>
      <c r="D842" s="208">
        <f t="shared" ca="1" si="200"/>
        <v>5.9309521186915317</v>
      </c>
      <c r="E842" s="208">
        <f t="shared" ca="1" si="200"/>
        <v>53.720275776982078</v>
      </c>
      <c r="F842" s="208">
        <f t="shared" ca="1" si="200"/>
        <v>35.117791277258462</v>
      </c>
      <c r="G842" s="208">
        <f t="shared" si="200"/>
        <v>43.535047533147683</v>
      </c>
      <c r="H842" s="208">
        <f t="shared" si="200"/>
        <v>27.539999999999992</v>
      </c>
      <c r="I842" s="208">
        <f t="shared" ca="1" si="200"/>
        <v>106.19283881040613</v>
      </c>
      <c r="J842" s="208" t="s">
        <v>479</v>
      </c>
      <c r="K842" s="208">
        <f ca="1">SUM(K830:K841)</f>
        <v>9.4433916149453996</v>
      </c>
      <c r="L842" s="204"/>
      <c r="M842" s="207" t="s">
        <v>178</v>
      </c>
      <c r="N842" s="208">
        <f t="shared" ref="N842:T842" ca="1" si="201">SUM(N830:N841)</f>
        <v>66.384890286489622</v>
      </c>
      <c r="O842" s="208">
        <f t="shared" ca="1" si="201"/>
        <v>8.5076482049674009</v>
      </c>
      <c r="P842" s="208">
        <f t="shared" ca="1" si="201"/>
        <v>74.892538491457032</v>
      </c>
      <c r="Q842" s="208">
        <f t="shared" ca="1" si="201"/>
        <v>35.117791277258462</v>
      </c>
      <c r="R842" s="208">
        <f>SUM(R830:R841)</f>
        <v>43.535047533147683</v>
      </c>
      <c r="S842" s="208">
        <f t="shared" si="201"/>
        <v>27.539999999999992</v>
      </c>
      <c r="T842" s="208">
        <f t="shared" ca="1" si="201"/>
        <v>106.19283881040613</v>
      </c>
      <c r="U842" s="208" t="s">
        <v>479</v>
      </c>
      <c r="V842" s="208">
        <f ca="1">SUM(V830:V841)</f>
        <v>49.074370733811129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168331.5186282979</v>
      </c>
      <c r="D846" s="208">
        <f t="shared" ref="D846:D857" ca="1" si="203">E345</f>
        <v>21569.246019908736</v>
      </c>
      <c r="E846" s="208">
        <f t="shared" ref="E846:E857" ca="1" si="204">C846+D846</f>
        <v>189900.76464820665</v>
      </c>
      <c r="F846" s="208">
        <f t="shared" ref="F846:F857" ca="1" si="205">AM144</f>
        <v>33872.857623048847</v>
      </c>
      <c r="G846" s="208">
        <f t="shared" ref="G846:G857" si="206">C313+D313</f>
        <v>66315.351561676216</v>
      </c>
      <c r="H846" s="208">
        <f t="shared" ref="H846:H857" si="207">E313</f>
        <v>41950.678487671226</v>
      </c>
      <c r="I846" s="208">
        <f t="shared" ref="I846:I857" ca="1" si="208">F846+G846+H846</f>
        <v>142138.88767239629</v>
      </c>
      <c r="J846" s="209">
        <f t="shared" ref="J846:J857" ca="1" si="209">J345</f>
        <v>0.93297315570774708</v>
      </c>
      <c r="K846" s="208">
        <f t="shared" ref="K846:K857" ca="1" si="210">L345</f>
        <v>57288.998067702079</v>
      </c>
      <c r="L846" s="204"/>
      <c r="M846" s="9" t="s">
        <v>114</v>
      </c>
      <c r="N846" s="208">
        <f t="shared" ref="N846:N857" ca="1" si="211">C371</f>
        <v>204175.94090699995</v>
      </c>
      <c r="O846" s="208">
        <f t="shared" ref="O846:O857" ca="1" si="212">E371</f>
        <v>28863.097739502664</v>
      </c>
      <c r="P846" s="208">
        <f t="shared" ref="P846:P857" ca="1" si="213">N846+O846</f>
        <v>233039.03864650262</v>
      </c>
      <c r="Q846" s="208">
        <f ca="1">AM144</f>
        <v>33872.857623048847</v>
      </c>
      <c r="R846" s="208">
        <f t="shared" ref="R846:R857" si="214">C313+D313</f>
        <v>66315.351561676216</v>
      </c>
      <c r="S846" s="208">
        <f t="shared" ref="S846:S857" si="215">E313</f>
        <v>41950.678487671226</v>
      </c>
      <c r="T846" s="208">
        <f t="shared" ref="T846:T857" ca="1" si="216">Q846+R846+S846</f>
        <v>142138.88767239629</v>
      </c>
      <c r="U846" s="209">
        <f t="shared" ref="U846:U857" ca="1" si="217">J371</f>
        <v>0.59077940736312118</v>
      </c>
      <c r="V846" s="208">
        <f t="shared" ref="V846:V857" ca="1" si="218">L371</f>
        <v>4464.222528343962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138997.23877662275</v>
      </c>
      <c r="D847" s="208">
        <f t="shared" ca="1" si="203"/>
        <v>17358.619178064266</v>
      </c>
      <c r="E847" s="208">
        <f t="shared" ca="1" si="204"/>
        <v>156355.857954687</v>
      </c>
      <c r="F847" s="208">
        <f t="shared" ca="1" si="205"/>
        <v>39299.706029224959</v>
      </c>
      <c r="G847" s="208">
        <f t="shared" si="206"/>
        <v>59897.736894417227</v>
      </c>
      <c r="H847" s="208">
        <f t="shared" si="207"/>
        <v>37890.935408219178</v>
      </c>
      <c r="I847" s="208">
        <f t="shared" ca="1" si="208"/>
        <v>137088.37833186137</v>
      </c>
      <c r="J847" s="209">
        <f t="shared" ca="1" si="209"/>
        <v>0.88825593409444192</v>
      </c>
      <c r="K847" s="208">
        <f t="shared" ca="1" si="210"/>
        <v>34586.292406027234</v>
      </c>
      <c r="L847" s="204"/>
      <c r="M847" s="9" t="s">
        <v>115</v>
      </c>
      <c r="N847" s="208">
        <f t="shared" ca="1" si="211"/>
        <v>170795.49012106561</v>
      </c>
      <c r="O847" s="208">
        <f t="shared" ca="1" si="212"/>
        <v>23266.711185349846</v>
      </c>
      <c r="P847" s="208">
        <f t="shared" ca="1" si="213"/>
        <v>194062.20130641546</v>
      </c>
      <c r="Q847" s="208">
        <f t="shared" ref="Q847:Q858" ca="1" si="219">AM145</f>
        <v>39299.706029224959</v>
      </c>
      <c r="R847" s="208">
        <f t="shared" si="214"/>
        <v>59897.736894417227</v>
      </c>
      <c r="S847" s="208">
        <f t="shared" si="215"/>
        <v>37890.935408219178</v>
      </c>
      <c r="T847" s="208">
        <f t="shared" ca="1" si="216"/>
        <v>137088.37833186137</v>
      </c>
      <c r="U847" s="209">
        <f t="shared" ca="1" si="217"/>
        <v>0.66780596059921993</v>
      </c>
      <c r="V847" s="208">
        <f t="shared" ca="1" si="218"/>
        <v>7492.4835724314034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111981.9159468649</v>
      </c>
      <c r="D848" s="208">
        <f t="shared" ca="1" si="203"/>
        <v>15003.04484116711</v>
      </c>
      <c r="E848" s="208">
        <f t="shared" ca="1" si="204"/>
        <v>126984.96078803201</v>
      </c>
      <c r="F848" s="208">
        <f t="shared" ca="1" si="205"/>
        <v>52024.784745837969</v>
      </c>
      <c r="G848" s="208">
        <f t="shared" si="206"/>
        <v>66315.351561676216</v>
      </c>
      <c r="H848" s="208">
        <f t="shared" si="207"/>
        <v>41950.678487671226</v>
      </c>
      <c r="I848" s="208">
        <f t="shared" ca="1" si="208"/>
        <v>160290.8147951854</v>
      </c>
      <c r="J848" s="209">
        <f t="shared" ca="1" si="209"/>
        <v>0.72790151119413271</v>
      </c>
      <c r="K848" s="208">
        <f t="shared" ca="1" si="210"/>
        <v>10309.034468077705</v>
      </c>
      <c r="L848" s="204"/>
      <c r="M848" s="9" t="s">
        <v>116</v>
      </c>
      <c r="N848" s="208">
        <f t="shared" ca="1" si="211"/>
        <v>143803.67889201123</v>
      </c>
      <c r="O848" s="208">
        <f t="shared" ca="1" si="212"/>
        <v>19399.992663939072</v>
      </c>
      <c r="P848" s="208">
        <f t="shared" ca="1" si="213"/>
        <v>163203.67155595031</v>
      </c>
      <c r="Q848" s="208">
        <f t="shared" ca="1" si="219"/>
        <v>52024.784745837969</v>
      </c>
      <c r="R848" s="208">
        <f t="shared" si="214"/>
        <v>66315.351561676216</v>
      </c>
      <c r="S848" s="208">
        <f t="shared" si="215"/>
        <v>41950.678487671226</v>
      </c>
      <c r="T848" s="208">
        <f t="shared" ca="1" si="216"/>
        <v>160290.8147951854</v>
      </c>
      <c r="U848" s="209">
        <f t="shared" ca="1" si="217"/>
        <v>0.83087148110270925</v>
      </c>
      <c r="V848" s="208">
        <f t="shared" ca="1" si="218"/>
        <v>24689.538488092861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73883.125994952643</v>
      </c>
      <c r="D849" s="208">
        <f t="shared" ca="1" si="203"/>
        <v>8666.3644678291857</v>
      </c>
      <c r="E849" s="208">
        <f t="shared" ca="1" si="204"/>
        <v>82549.490462781832</v>
      </c>
      <c r="F849" s="208">
        <f t="shared" ca="1" si="205"/>
        <v>55613.581858076126</v>
      </c>
      <c r="G849" s="208">
        <f t="shared" si="206"/>
        <v>64176.146672589879</v>
      </c>
      <c r="H849" s="208">
        <f t="shared" si="207"/>
        <v>40597.430794520544</v>
      </c>
      <c r="I849" s="208">
        <f t="shared" ca="1" si="208"/>
        <v>160387.15932518654</v>
      </c>
      <c r="J849" s="209">
        <f t="shared" ca="1" si="209"/>
        <v>0.50661827981732221</v>
      </c>
      <c r="K849" s="208">
        <f t="shared" ca="1" si="210"/>
        <v>1294.4237006690382</v>
      </c>
      <c r="L849" s="204"/>
      <c r="M849" s="9" t="s">
        <v>117</v>
      </c>
      <c r="N849" s="208">
        <f t="shared" ca="1" si="211"/>
        <v>96993.857899195151</v>
      </c>
      <c r="O849" s="208">
        <f t="shared" ca="1" si="212"/>
        <v>11441.945378902954</v>
      </c>
      <c r="P849" s="208">
        <f t="shared" ca="1" si="213"/>
        <v>108435.8032780981</v>
      </c>
      <c r="Q849" s="208">
        <f t="shared" ca="1" si="219"/>
        <v>55613.581858076126</v>
      </c>
      <c r="R849" s="208">
        <f t="shared" si="214"/>
        <v>64176.146672589879</v>
      </c>
      <c r="S849" s="208">
        <f t="shared" si="215"/>
        <v>40597.430794520544</v>
      </c>
      <c r="T849" s="208">
        <f t="shared" ca="1" si="216"/>
        <v>160387.15932518654</v>
      </c>
      <c r="U849" s="209">
        <f t="shared" ca="1" si="217"/>
        <v>0.95344304160976301</v>
      </c>
      <c r="V849" s="208">
        <f t="shared" ca="1" si="218"/>
        <v>56999.797228318785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40648.667517482405</v>
      </c>
      <c r="D850" s="208">
        <f t="shared" ca="1" si="203"/>
        <v>3727.1613105248316</v>
      </c>
      <c r="E850" s="208">
        <f t="shared" ca="1" si="204"/>
        <v>44375.828828007237</v>
      </c>
      <c r="F850" s="208">
        <f t="shared" ca="1" si="205"/>
        <v>71241.605525153427</v>
      </c>
      <c r="G850" s="208">
        <f t="shared" si="206"/>
        <v>66315.351561676216</v>
      </c>
      <c r="H850" s="208">
        <f t="shared" si="207"/>
        <v>41950.678487671226</v>
      </c>
      <c r="I850" s="208">
        <f t="shared" ca="1" si="208"/>
        <v>179507.63557450086</v>
      </c>
      <c r="J850" s="209">
        <f t="shared" ca="1" si="209"/>
        <v>0.24707728780863308</v>
      </c>
      <c r="K850" s="208">
        <f t="shared" ca="1" si="210"/>
        <v>23.569089319062186</v>
      </c>
      <c r="L850" s="204"/>
      <c r="M850" s="9" t="s">
        <v>118</v>
      </c>
      <c r="N850" s="208">
        <f t="shared" ca="1" si="211"/>
        <v>62406.597999578298</v>
      </c>
      <c r="O850" s="208">
        <f t="shared" ca="1" si="212"/>
        <v>5754.4797925116636</v>
      </c>
      <c r="P850" s="208">
        <f t="shared" ca="1" si="213"/>
        <v>68161.077792089956</v>
      </c>
      <c r="Q850" s="208">
        <f t="shared" ca="1" si="219"/>
        <v>71241.605525153427</v>
      </c>
      <c r="R850" s="208">
        <f t="shared" si="214"/>
        <v>66315.351561676216</v>
      </c>
      <c r="S850" s="208">
        <f t="shared" si="215"/>
        <v>41950.678487671226</v>
      </c>
      <c r="T850" s="208">
        <f t="shared" ca="1" si="216"/>
        <v>179507.63557450086</v>
      </c>
      <c r="U850" s="209">
        <f t="shared" ca="1" si="217"/>
        <v>0.9959265485186457</v>
      </c>
      <c r="V850" s="208">
        <f t="shared" ca="1" si="218"/>
        <v>111624.2086257138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-758.76746267522071</v>
      </c>
      <c r="D851" s="208">
        <f t="shared" ca="1" si="203"/>
        <v>-87.374764083604703</v>
      </c>
      <c r="E851" s="208">
        <f t="shared" ca="1" si="204"/>
        <v>-846.14222675882547</v>
      </c>
      <c r="F851" s="208">
        <f t="shared" ca="1" si="205"/>
        <v>71142.589599923856</v>
      </c>
      <c r="G851" s="208">
        <f t="shared" si="206"/>
        <v>64176.146672589879</v>
      </c>
      <c r="H851" s="208">
        <f t="shared" si="207"/>
        <v>40597.430794520544</v>
      </c>
      <c r="I851" s="208">
        <f t="shared" ca="1" si="208"/>
        <v>175916.16706703429</v>
      </c>
      <c r="J851" s="209">
        <f t="shared" ca="1" si="209"/>
        <v>-4.8099173649934976E-3</v>
      </c>
      <c r="K851" s="208">
        <f t="shared" ca="1" si="210"/>
        <v>0</v>
      </c>
      <c r="L851" s="204"/>
      <c r="M851" s="9" t="s">
        <v>119</v>
      </c>
      <c r="N851" s="208">
        <f t="shared" ca="1" si="211"/>
        <v>23718.763141330739</v>
      </c>
      <c r="O851" s="208">
        <f t="shared" ca="1" si="212"/>
        <v>2765.2461361526944</v>
      </c>
      <c r="P851" s="208">
        <f t="shared" ca="1" si="213"/>
        <v>26484.009277483434</v>
      </c>
      <c r="Q851" s="208">
        <f t="shared" ca="1" si="219"/>
        <v>71142.589599923856</v>
      </c>
      <c r="R851" s="208">
        <f t="shared" si="214"/>
        <v>64176.146672589879</v>
      </c>
      <c r="S851" s="208">
        <f t="shared" si="215"/>
        <v>40597.430794520544</v>
      </c>
      <c r="T851" s="208">
        <f t="shared" ca="1" si="216"/>
        <v>175916.16706703429</v>
      </c>
      <c r="U851" s="209">
        <f t="shared" ca="1" si="217"/>
        <v>0.99995437685856481</v>
      </c>
      <c r="V851" s="208">
        <f t="shared" ca="1" si="218"/>
        <v>149433.36607325188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-22306.996970870321</v>
      </c>
      <c r="D852" s="208">
        <f t="shared" ca="1" si="203"/>
        <v>-2272.2423429592141</v>
      </c>
      <c r="E852" s="208">
        <f t="shared" ca="1" si="204"/>
        <v>-24579.239313829534</v>
      </c>
      <c r="F852" s="208">
        <f t="shared" ca="1" si="205"/>
        <v>73687.156243407764</v>
      </c>
      <c r="G852" s="208">
        <f t="shared" si="206"/>
        <v>66315.351561676216</v>
      </c>
      <c r="H852" s="208">
        <f t="shared" si="207"/>
        <v>41950.678487671226</v>
      </c>
      <c r="I852" s="208">
        <f t="shared" ca="1" si="208"/>
        <v>181953.18629275521</v>
      </c>
      <c r="J852" s="209">
        <f t="shared" ca="1" si="209"/>
        <v>-0.13508551190899482</v>
      </c>
      <c r="K852" s="208">
        <f t="shared" ca="1" si="210"/>
        <v>0</v>
      </c>
      <c r="L852" s="204"/>
      <c r="M852" s="9" t="s">
        <v>120</v>
      </c>
      <c r="N852" s="208">
        <f t="shared" ca="1" si="211"/>
        <v>4017.6398068135809</v>
      </c>
      <c r="O852" s="208">
        <f t="shared" ca="1" si="212"/>
        <v>405.86255619420422</v>
      </c>
      <c r="P852" s="208">
        <f t="shared" ca="1" si="213"/>
        <v>4423.5023630077849</v>
      </c>
      <c r="Q852" s="208">
        <f t="shared" ca="1" si="219"/>
        <v>73687.156243407764</v>
      </c>
      <c r="R852" s="208">
        <f t="shared" si="214"/>
        <v>66315.351561676216</v>
      </c>
      <c r="S852" s="208">
        <f t="shared" si="215"/>
        <v>41950.678487671226</v>
      </c>
      <c r="T852" s="208">
        <f t="shared" ca="1" si="216"/>
        <v>181953.18629275521</v>
      </c>
      <c r="U852" s="209">
        <f t="shared" ca="1" si="217"/>
        <v>0.99999999594944211</v>
      </c>
      <c r="V852" s="208">
        <f t="shared" ca="1" si="218"/>
        <v>177529.68394766506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-5562.3786468336821</v>
      </c>
      <c r="D853" s="208">
        <f t="shared" ca="1" si="203"/>
        <v>-515.27285173058738</v>
      </c>
      <c r="E853" s="208">
        <f t="shared" ca="1" si="204"/>
        <v>-6077.6514985642698</v>
      </c>
      <c r="F853" s="208">
        <f t="shared" ca="1" si="205"/>
        <v>65743.819943020048</v>
      </c>
      <c r="G853" s="208">
        <f t="shared" si="206"/>
        <v>66315.351561676216</v>
      </c>
      <c r="H853" s="208">
        <f t="shared" si="207"/>
        <v>41950.678487671226</v>
      </c>
      <c r="I853" s="208">
        <f t="shared" ca="1" si="208"/>
        <v>174009.84999236747</v>
      </c>
      <c r="J853" s="209">
        <f t="shared" ca="1" si="209"/>
        <v>-3.4927054410028226E-2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19777.515445423371</v>
      </c>
      <c r="O853" s="208">
        <f t="shared" ca="1" si="212"/>
        <v>1843.4008285365237</v>
      </c>
      <c r="P853" s="208">
        <f t="shared" ca="1" si="213"/>
        <v>21620.916273959894</v>
      </c>
      <c r="Q853" s="208">
        <f t="shared" ca="1" si="219"/>
        <v>65743.819943020048</v>
      </c>
      <c r="R853" s="208">
        <f t="shared" si="214"/>
        <v>66315.351561676216</v>
      </c>
      <c r="S853" s="208">
        <f t="shared" si="215"/>
        <v>41950.678487671226</v>
      </c>
      <c r="T853" s="208">
        <f t="shared" ca="1" si="216"/>
        <v>174009.84999236747</v>
      </c>
      <c r="U853" s="209">
        <f t="shared" ca="1" si="217"/>
        <v>0.99998264277796289</v>
      </c>
      <c r="V853" s="208">
        <f t="shared" ca="1" si="218"/>
        <v>152389.30899745203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19713.583433671014</v>
      </c>
      <c r="D854" s="208">
        <f t="shared" ca="1" si="203"/>
        <v>1662.6379981395994</v>
      </c>
      <c r="E854" s="208">
        <f t="shared" ca="1" si="204"/>
        <v>21376.221431810613</v>
      </c>
      <c r="F854" s="208">
        <f t="shared" ca="1" si="205"/>
        <v>57263.053362626219</v>
      </c>
      <c r="G854" s="208">
        <f t="shared" si="206"/>
        <v>64176.146672589879</v>
      </c>
      <c r="H854" s="208">
        <f t="shared" si="207"/>
        <v>40597.430794520544</v>
      </c>
      <c r="I854" s="208">
        <f t="shared" ca="1" si="208"/>
        <v>162036.63082973665</v>
      </c>
      <c r="J854" s="209">
        <f t="shared" ca="1" si="209"/>
        <v>0.13191905645352972</v>
      </c>
      <c r="K854" s="208">
        <f t="shared" ca="1" si="210"/>
        <v>0.50198184282999136</v>
      </c>
      <c r="L854" s="204"/>
      <c r="M854" s="9" t="s">
        <v>122</v>
      </c>
      <c r="N854" s="208">
        <f t="shared" ca="1" si="211"/>
        <v>42020.481725640915</v>
      </c>
      <c r="O854" s="208">
        <f t="shared" ca="1" si="212"/>
        <v>3568.0892217217856</v>
      </c>
      <c r="P854" s="208">
        <f t="shared" ca="1" si="213"/>
        <v>45588.570947362699</v>
      </c>
      <c r="Q854" s="208">
        <f t="shared" ca="1" si="219"/>
        <v>57263.053362626219</v>
      </c>
      <c r="R854" s="208">
        <f t="shared" si="214"/>
        <v>64176.146672589879</v>
      </c>
      <c r="S854" s="208">
        <f t="shared" si="215"/>
        <v>40597.430794520544</v>
      </c>
      <c r="T854" s="208">
        <f t="shared" ca="1" si="216"/>
        <v>162036.63082973665</v>
      </c>
      <c r="U854" s="209">
        <f t="shared" ca="1" si="217"/>
        <v>0.99900723206773201</v>
      </c>
      <c r="V854" s="208">
        <f t="shared" ca="1" si="218"/>
        <v>116493.31875368842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68650.287112860504</v>
      </c>
      <c r="D855" s="208">
        <f t="shared" ca="1" si="203"/>
        <v>7949.7371550212692</v>
      </c>
      <c r="E855" s="208">
        <f t="shared" ca="1" si="204"/>
        <v>76600.024267881774</v>
      </c>
      <c r="F855" s="208">
        <f t="shared" ca="1" si="205"/>
        <v>48569.334619946399</v>
      </c>
      <c r="G855" s="208">
        <f t="shared" si="206"/>
        <v>66315.351561676216</v>
      </c>
      <c r="H855" s="208">
        <f t="shared" si="207"/>
        <v>41950.678487671226</v>
      </c>
      <c r="I855" s="208">
        <f t="shared" ca="1" si="208"/>
        <v>156835.36466929383</v>
      </c>
      <c r="J855" s="209">
        <f t="shared" ca="1" si="209"/>
        <v>0.48228874397686611</v>
      </c>
      <c r="K855" s="208">
        <f t="shared" ca="1" si="210"/>
        <v>960.0932303742884</v>
      </c>
      <c r="L855" s="204"/>
      <c r="M855" s="9" t="s">
        <v>123</v>
      </c>
      <c r="N855" s="208">
        <f t="shared" ca="1" si="211"/>
        <v>92781.357225732034</v>
      </c>
      <c r="O855" s="208">
        <f t="shared" ca="1" si="212"/>
        <v>10807.651004360241</v>
      </c>
      <c r="P855" s="208">
        <f t="shared" ca="1" si="213"/>
        <v>103589.00823009228</v>
      </c>
      <c r="Q855" s="208">
        <f t="shared" ca="1" si="219"/>
        <v>48569.334619946399</v>
      </c>
      <c r="R855" s="208">
        <f t="shared" si="214"/>
        <v>66315.351561676216</v>
      </c>
      <c r="S855" s="208">
        <f t="shared" si="215"/>
        <v>41950.678487671226</v>
      </c>
      <c r="T855" s="208">
        <f t="shared" ca="1" si="216"/>
        <v>156835.36466929383</v>
      </c>
      <c r="U855" s="209">
        <f t="shared" ca="1" si="217"/>
        <v>0.957327936204866</v>
      </c>
      <c r="V855" s="208">
        <f t="shared" ca="1" si="218"/>
        <v>57666.713206870714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101815.01355109431</v>
      </c>
      <c r="D856" s="208">
        <f t="shared" ca="1" si="203"/>
        <v>13141.607042360809</v>
      </c>
      <c r="E856" s="208">
        <f t="shared" ca="1" si="204"/>
        <v>114956.62059345511</v>
      </c>
      <c r="F856" s="208">
        <f t="shared" ca="1" si="205"/>
        <v>31542.221578475142</v>
      </c>
      <c r="G856" s="208">
        <f t="shared" si="206"/>
        <v>64176.146672589879</v>
      </c>
      <c r="H856" s="208">
        <f t="shared" si="207"/>
        <v>40597.430794520544</v>
      </c>
      <c r="I856" s="208">
        <f t="shared" ca="1" si="208"/>
        <v>136315.79904558556</v>
      </c>
      <c r="J856" s="209">
        <f t="shared" ca="1" si="209"/>
        <v>0.75965125928017485</v>
      </c>
      <c r="K856" s="208">
        <f t="shared" ca="1" si="210"/>
        <v>11404.15218869278</v>
      </c>
      <c r="L856" s="204"/>
      <c r="M856" s="9" t="s">
        <v>124</v>
      </c>
      <c r="N856" s="208">
        <f t="shared" ca="1" si="211"/>
        <v>132858.0750270313</v>
      </c>
      <c r="O856" s="208">
        <f t="shared" ca="1" si="212"/>
        <v>17269.231998855746</v>
      </c>
      <c r="P856" s="208">
        <f t="shared" ca="1" si="213"/>
        <v>150127.30702588704</v>
      </c>
      <c r="Q856" s="208">
        <f t="shared" ca="1" si="219"/>
        <v>31542.221578475142</v>
      </c>
      <c r="R856" s="208">
        <f t="shared" si="214"/>
        <v>64176.146672589879</v>
      </c>
      <c r="S856" s="208">
        <f t="shared" si="215"/>
        <v>40597.430794520544</v>
      </c>
      <c r="T856" s="208">
        <f t="shared" ca="1" si="216"/>
        <v>136315.79904558556</v>
      </c>
      <c r="U856" s="209">
        <f t="shared" ca="1" si="217"/>
        <v>0.7955094085995178</v>
      </c>
      <c r="V856" s="208">
        <f t="shared" ca="1" si="218"/>
        <v>16888.113818783924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161717.8697947055</v>
      </c>
      <c r="D857" s="208">
        <f t="shared" ca="1" si="203"/>
        <v>20169.284384913954</v>
      </c>
      <c r="E857" s="208">
        <f t="shared" ca="1" si="204"/>
        <v>181887.15417961945</v>
      </c>
      <c r="F857" s="208">
        <f t="shared" ca="1" si="205"/>
        <v>29843.89898714529</v>
      </c>
      <c r="G857" s="208">
        <f t="shared" si="206"/>
        <v>66315.351561676216</v>
      </c>
      <c r="H857" s="208">
        <f t="shared" si="207"/>
        <v>41950.678487671226</v>
      </c>
      <c r="I857" s="208">
        <f t="shared" ca="1" si="208"/>
        <v>138109.92903649274</v>
      </c>
      <c r="J857" s="209">
        <f t="shared" ca="1" si="209"/>
        <v>0.92958632964059096</v>
      </c>
      <c r="K857" s="208">
        <f t="shared" ca="1" si="210"/>
        <v>53502.052159663712</v>
      </c>
      <c r="L857" s="204"/>
      <c r="M857" s="9" t="s">
        <v>125</v>
      </c>
      <c r="N857" s="208">
        <f t="shared" ca="1" si="211"/>
        <v>197276.88607542636</v>
      </c>
      <c r="O857" s="208">
        <f t="shared" ca="1" si="212"/>
        <v>27200.663579703953</v>
      </c>
      <c r="P857" s="208">
        <f t="shared" ca="1" si="213"/>
        <v>224477.54965513031</v>
      </c>
      <c r="Q857" s="208">
        <f t="shared" ca="1" si="219"/>
        <v>29843.89898714529</v>
      </c>
      <c r="R857" s="208">
        <f t="shared" si="214"/>
        <v>66315.351561676216</v>
      </c>
      <c r="S857" s="208">
        <f t="shared" si="215"/>
        <v>41950.678487671226</v>
      </c>
      <c r="T857" s="208">
        <f t="shared" ca="1" si="216"/>
        <v>138109.92903649274</v>
      </c>
      <c r="U857" s="209">
        <f t="shared" ca="1" si="217"/>
        <v>0.59525787989641987</v>
      </c>
      <c r="V857" s="208">
        <f t="shared" ca="1" si="218"/>
        <v>4487.8987444365339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857111.07767617272</v>
      </c>
      <c r="D858" s="208">
        <f t="shared" ca="1" si="220"/>
        <v>106372.81243915635</v>
      </c>
      <c r="E858" s="208">
        <f t="shared" ca="1" si="220"/>
        <v>963483.89011532906</v>
      </c>
      <c r="F858" s="208">
        <f t="shared" ca="1" si="220"/>
        <v>629844.61011588597</v>
      </c>
      <c r="G858" s="208">
        <f t="shared" si="220"/>
        <v>780809.78451651032</v>
      </c>
      <c r="H858" s="208">
        <f t="shared" si="220"/>
        <v>493935.408</v>
      </c>
      <c r="I858" s="208">
        <f t="shared" ca="1" si="220"/>
        <v>1904589.8026323961</v>
      </c>
      <c r="J858" s="208" t="s">
        <v>479</v>
      </c>
      <c r="K858" s="208">
        <f ca="1">SUM(K846:K857)</f>
        <v>169369.11729236873</v>
      </c>
      <c r="L858" s="204"/>
      <c r="M858" s="207" t="s">
        <v>178</v>
      </c>
      <c r="N858" s="208">
        <f t="shared" ref="N858:T858" ca="1" si="221">SUM(N846:N857)</f>
        <v>1190626.2842662486</v>
      </c>
      <c r="O858" s="208">
        <f t="shared" ca="1" si="221"/>
        <v>152586.37208573136</v>
      </c>
      <c r="P858" s="208">
        <f t="shared" ca="1" si="221"/>
        <v>1343212.6563519798</v>
      </c>
      <c r="Q858" s="208">
        <f t="shared" ca="1" si="219"/>
        <v>629844.61011588597</v>
      </c>
      <c r="R858" s="208">
        <f>SUM(R846:R857)</f>
        <v>780809.78451651032</v>
      </c>
      <c r="S858" s="208">
        <f t="shared" si="221"/>
        <v>493935.408</v>
      </c>
      <c r="T858" s="208">
        <f t="shared" ca="1" si="221"/>
        <v>1904589.8026323961</v>
      </c>
      <c r="U858" s="208" t="s">
        <v>479</v>
      </c>
      <c r="V858" s="208">
        <f ca="1">SUM(V846:V857)</f>
        <v>880158.65398504934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54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0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Outputs</vt:lpstr>
      <vt:lpstr>Calcs</vt:lpstr>
      <vt:lpstr>Weather</vt:lpstr>
      <vt:lpstr>OfficeMedium</vt:lpstr>
      <vt:lpstr>OfficeLarge</vt:lpstr>
      <vt:lpstr>AptMidrise</vt:lpstr>
      <vt:lpstr>AptHighrise</vt:lpstr>
      <vt:lpstr>OfficeSmall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2013-11-20T20:52:28Z</dcterms:modified>
</cp:coreProperties>
</file>