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embeddings/oleObject1.bin" ContentType="application/vnd.openxmlformats-officedocument.oleObject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40" yWindow="450" windowWidth="13950" windowHeight="7365" tabRatio="691" firstSheet="2" activeTab="2"/>
  </bookViews>
  <sheets>
    <sheet name="Notes" sheetId="51" r:id="rId1"/>
    <sheet name="ismfile" sheetId="50" r:id="rId2"/>
    <sheet name="Inputs" sheetId="1" r:id="rId3"/>
    <sheet name="PrimarySchool" sheetId="66" r:id="rId4"/>
    <sheet name="AptMidrise" sheetId="60" r:id="rId5"/>
    <sheet name="AptHighrise" sheetId="61" r:id="rId6"/>
    <sheet name="OfficeSmall" sheetId="64" r:id="rId7"/>
    <sheet name="OfficeLarge" sheetId="59" r:id="rId8"/>
    <sheet name="Outputs" sheetId="5" r:id="rId9"/>
    <sheet name="Calcs" sheetId="2" state="hidden" r:id="rId10"/>
    <sheet name="Weather" sheetId="4" state="hidden" r:id="rId11"/>
    <sheet name="OfficeMedium" sheetId="68" r:id="rId12"/>
    <sheet name="RetailStandalone" sheetId="69" r:id="rId13"/>
  </sheets>
  <definedNames>
    <definedName name="acool">Calcs!$G$477</definedName>
    <definedName name="Days_Occ">Calcs!$E$15</definedName>
    <definedName name="Days_Unocc">Calcs!$F$15</definedName>
    <definedName name="DHWDistEff">Calcs!$E$730</definedName>
    <definedName name="DHWSysEff" localSheetId="5">AptHighrise!$C$64</definedName>
    <definedName name="DHWSysEff" localSheetId="4">AptMidrise!$C$64</definedName>
    <definedName name="DHWSysEff" localSheetId="7">OfficeLarge!$C$64</definedName>
    <definedName name="DHWSysEff" localSheetId="11">OfficeMedium!$C$64</definedName>
    <definedName name="DHWSysEff" localSheetId="6">OfficeSmall!$C$64</definedName>
    <definedName name="DHWSysEff" localSheetId="3">PrimarySchool!$C$64</definedName>
    <definedName name="DHWSysEff" localSheetId="12">RetailStandalone!$C$64</definedName>
    <definedName name="DHWSysEff">Inputs!$C$64</definedName>
    <definedName name="HC">Calcs!$K$205</definedName>
    <definedName name="hours_occ">Calcs!$E$16</definedName>
    <definedName name="hours_unocc">Calcs!$F$16</definedName>
    <definedName name="LPD" localSheetId="5">AptHighrise!$C$33</definedName>
    <definedName name="LPD" localSheetId="4">AptMidrise!$C$33</definedName>
    <definedName name="LPD" localSheetId="7">OfficeLarge!$C$33</definedName>
    <definedName name="LPD" localSheetId="11">OfficeMedium!$C$33</definedName>
    <definedName name="LPD" localSheetId="6">OfficeSmall!$C$33</definedName>
    <definedName name="LPD" localSheetId="3">PrimarySchool!$C$33</definedName>
    <definedName name="LPD" localSheetId="12">RetailStandalone!$C$33</definedName>
    <definedName name="LPD">Inputs!$C$33</definedName>
    <definedName name="PeoDOcc" localSheetId="5">AptHighrise!$C$12</definedName>
    <definedName name="PeoDOcc" localSheetId="4">AptMidrise!$C$12</definedName>
    <definedName name="PeoDOcc" localSheetId="7">OfficeLarge!$C$12</definedName>
    <definedName name="PeoDOcc" localSheetId="11">OfficeMedium!$C$12</definedName>
    <definedName name="PeoDOcc" localSheetId="6">OfficeSmall!$C$12</definedName>
    <definedName name="PeoDOcc" localSheetId="3">PrimarySchool!$C$12</definedName>
    <definedName name="PeoDOcc" localSheetId="12">RetailStandalone!$C$12</definedName>
    <definedName name="PeoDOcc">Inputs!$C$12</definedName>
    <definedName name="PeoDUnocc" localSheetId="5">AptHighrise!$C$13</definedName>
    <definedName name="PeoDUnocc" localSheetId="4">AptMidrise!$C$13</definedName>
    <definedName name="PeoDUnocc" localSheetId="7">OfficeLarge!$C$13</definedName>
    <definedName name="PeoDUnocc" localSheetId="11">OfficeMedium!$C$13</definedName>
    <definedName name="PeoDUnocc" localSheetId="6">OfficeSmall!$C$13</definedName>
    <definedName name="PeoDUnocc" localSheetId="3">PrimarySchool!$C$13</definedName>
    <definedName name="PeoDUnocc" localSheetId="12">RetailStandalone!$C$13</definedName>
    <definedName name="PeoDUnocc">Inputs!$C$13</definedName>
    <definedName name="Qinf" localSheetId="5">AptHighrise!$C$75</definedName>
    <definedName name="Qinf" localSheetId="4">AptMidrise!$C$75</definedName>
    <definedName name="Qinf" localSheetId="7">OfficeLarge!$C$75</definedName>
    <definedName name="Qinf" localSheetId="11">OfficeMedium!$C$75</definedName>
    <definedName name="Qinf" localSheetId="6">OfficeSmall!$C$75</definedName>
    <definedName name="Qinf" localSheetId="3">PrimarySchool!$C$75</definedName>
    <definedName name="Qinf" localSheetId="12">RetailStandalone!$C$75</definedName>
    <definedName name="Qinf">Inputs!$C$75</definedName>
    <definedName name="RoofAbs" localSheetId="5">AptHighrise!$K$80</definedName>
    <definedName name="RoofAbs" localSheetId="4">AptMidrise!$K$80</definedName>
    <definedName name="RoofAbs" localSheetId="7">OfficeLarge!$K$80</definedName>
    <definedName name="RoofAbs" localSheetId="11">OfficeMedium!$K$80</definedName>
    <definedName name="RoofAbs" localSheetId="6">OfficeSmall!$K$80</definedName>
    <definedName name="RoofAbs" localSheetId="3">PrimarySchool!$K$80</definedName>
    <definedName name="RoofAbs" localSheetId="12">RetailStandalone!$K$80</definedName>
    <definedName name="RoofAbs">Inputs!$K$80</definedName>
    <definedName name="RoofEmis" localSheetId="5">AptHighrise!$K$81</definedName>
    <definedName name="RoofEmis" localSheetId="4">AptMidrise!$K$81</definedName>
    <definedName name="RoofEmis" localSheetId="7">OfficeLarge!$K$81</definedName>
    <definedName name="RoofEmis" localSheetId="11">OfficeMedium!$K$81</definedName>
    <definedName name="RoofEmis" localSheetId="6">OfficeSmall!$K$81</definedName>
    <definedName name="RoofEmis" localSheetId="3">PrimarySchool!$K$81</definedName>
    <definedName name="RoofEmis" localSheetId="12">RetailStandalone!$K$81</definedName>
    <definedName name="RoofEmis">Inputs!$K$81</definedName>
    <definedName name="RoofU" localSheetId="5">AptHighrise!$K$79</definedName>
    <definedName name="RoofU" localSheetId="4">AptMidrise!$K$79</definedName>
    <definedName name="RoofU" localSheetId="7">OfficeLarge!$K$79</definedName>
    <definedName name="RoofU" localSheetId="11">OfficeMedium!$K$79</definedName>
    <definedName name="RoofU" localSheetId="6">OfficeSmall!$K$79</definedName>
    <definedName name="RoofU" localSheetId="3">PrimarySchool!$K$79</definedName>
    <definedName name="RoofU" localSheetId="12">RetailStandalone!$K$79</definedName>
    <definedName name="RoofU">Inputs!$K$79</definedName>
    <definedName name="SHGC" localSheetId="5">AptHighrise!$J$85</definedName>
    <definedName name="SHGC" localSheetId="4">AptMidrise!$J$85</definedName>
    <definedName name="SHGC" localSheetId="7">OfficeLarge!$J$85</definedName>
    <definedName name="SHGC" localSheetId="11">OfficeMedium!$J$85</definedName>
    <definedName name="SHGC" localSheetId="6">OfficeSmall!$J$85</definedName>
    <definedName name="SHGC" localSheetId="3">PrimarySchool!$J$85</definedName>
    <definedName name="SHGC" localSheetId="12">RetailStandalone!$J$85</definedName>
    <definedName name="SHGC">Inputs!$J$85</definedName>
    <definedName name="TCoolOcc" localSheetId="5">AptHighrise!$C$23</definedName>
    <definedName name="TCoolOcc" localSheetId="4">AptMidrise!$C$23</definedName>
    <definedName name="TCoolOcc" localSheetId="7">OfficeLarge!$C$23</definedName>
    <definedName name="TCoolOcc" localSheetId="11">OfficeMedium!$C$23</definedName>
    <definedName name="TCoolOcc" localSheetId="6">OfficeSmall!$C$23</definedName>
    <definedName name="TCoolOcc" localSheetId="3">PrimarySchool!$C$23</definedName>
    <definedName name="TCoolOcc" localSheetId="12">RetailStandalone!$C$23</definedName>
    <definedName name="TCoolOcc">Inputs!$C$23</definedName>
    <definedName name="TCoolUnocc" localSheetId="5">AptHighrise!$C$24</definedName>
    <definedName name="TCoolUnocc" localSheetId="4">AptMidrise!$C$24</definedName>
    <definedName name="TCoolUnocc" localSheetId="7">OfficeLarge!$C$24</definedName>
    <definedName name="TCoolUnocc" localSheetId="11">OfficeMedium!$C$24</definedName>
    <definedName name="TCoolUnocc" localSheetId="6">OfficeSmall!$C$24</definedName>
    <definedName name="TCoolUnocc" localSheetId="3">PrimarySchool!$C$24</definedName>
    <definedName name="TCoolUnocc" localSheetId="12">RetailStandalone!$C$24</definedName>
    <definedName name="TCoolUnocc">Inputs!$C$24</definedName>
    <definedName name="THeatOcc" localSheetId="5">AptHighrise!$C$21</definedName>
    <definedName name="THeatOcc" localSheetId="4">AptMidrise!$C$21</definedName>
    <definedName name="THeatOcc" localSheetId="7">OfficeLarge!$C$21</definedName>
    <definedName name="THeatOcc" localSheetId="11">OfficeMedium!$C$21</definedName>
    <definedName name="THeatOcc" localSheetId="6">OfficeSmall!$C$21</definedName>
    <definedName name="THeatOcc" localSheetId="3">PrimarySchool!$C$21</definedName>
    <definedName name="THeatOcc" localSheetId="12">RetailStandalone!$C$21</definedName>
    <definedName name="THeatOcc">Inputs!$C$21</definedName>
    <definedName name="THeatUnocc" localSheetId="5">AptHighrise!$C$22</definedName>
    <definedName name="THeatUnocc" localSheetId="4">AptMidrise!$C$22</definedName>
    <definedName name="THeatUnocc" localSheetId="7">OfficeLarge!$C$22</definedName>
    <definedName name="THeatUnocc" localSheetId="11">OfficeMedium!$C$22</definedName>
    <definedName name="THeatUnocc" localSheetId="6">OfficeSmall!$C$22</definedName>
    <definedName name="THeatUnocc" localSheetId="3">PrimarySchool!$C$22</definedName>
    <definedName name="THeatUnocc" localSheetId="12">RetailStandalone!$C$22</definedName>
    <definedName name="THeatUnocc">Inputs!$C$22</definedName>
    <definedName name="WallAbs" localSheetId="5">AptHighrise!$J$80</definedName>
    <definedName name="WallAbs" localSheetId="4">AptMidrise!$J$80</definedName>
    <definedName name="WallAbs" localSheetId="7">OfficeLarge!$J$80</definedName>
    <definedName name="WallAbs" localSheetId="11">OfficeMedium!$J$80</definedName>
    <definedName name="WallAbs" localSheetId="6">OfficeSmall!$J$80</definedName>
    <definedName name="WallAbs" localSheetId="3">PrimarySchool!$J$80</definedName>
    <definedName name="WallAbs" localSheetId="12">RetailStandalone!$J$80</definedName>
    <definedName name="WallAbs">Inputs!$J$80</definedName>
    <definedName name="WallEmis" localSheetId="5">AptHighrise!$J$81</definedName>
    <definedName name="WallEmis" localSheetId="4">AptMidrise!$J$81</definedName>
    <definedName name="WallEmis" localSheetId="7">OfficeLarge!$J$81</definedName>
    <definedName name="WallEmis" localSheetId="11">OfficeMedium!$J$81</definedName>
    <definedName name="WallEmis" localSheetId="6">OfficeSmall!$J$81</definedName>
    <definedName name="WallEmis" localSheetId="3">PrimarySchool!$J$81</definedName>
    <definedName name="WallEmis" localSheetId="12">RetailStandalone!$J$81</definedName>
    <definedName name="WallEmis">Inputs!$J$81</definedName>
    <definedName name="WallU" localSheetId="5">AptHighrise!$J$79</definedName>
    <definedName name="WallU" localSheetId="4">AptMidrise!$J$79</definedName>
    <definedName name="WallU" localSheetId="7">OfficeLarge!$J$79</definedName>
    <definedName name="WallU" localSheetId="11">OfficeMedium!$J$79</definedName>
    <definedName name="WallU" localSheetId="6">OfficeSmall!$J$79</definedName>
    <definedName name="WallU" localSheetId="3">PrimarySchool!$J$79</definedName>
    <definedName name="WallU" localSheetId="12">RetailStandalone!$J$79</definedName>
    <definedName name="WallU">Inputs!$J$79</definedName>
    <definedName name="WinU" localSheetId="5">AptHighrise!$J$84</definedName>
    <definedName name="WinU" localSheetId="4">AptMidrise!$J$84</definedName>
    <definedName name="WinU" localSheetId="7">OfficeLarge!$J$84</definedName>
    <definedName name="WinU" localSheetId="11">OfficeMedium!$J$84</definedName>
    <definedName name="WinU" localSheetId="6">OfficeSmall!$J$84</definedName>
    <definedName name="WinU" localSheetId="3">PrimarySchool!$J$84</definedName>
    <definedName name="WinU" localSheetId="12">RetailStandalone!$J$84</definedName>
    <definedName name="WinU">Inputs!$J$84</definedName>
  </definedNames>
  <calcPr calcId="145621"/>
</workbook>
</file>

<file path=xl/calcChain.xml><?xml version="1.0" encoding="utf-8"?>
<calcChain xmlns="http://schemas.openxmlformats.org/spreadsheetml/2006/main">
  <c r="C109" i="69" l="1"/>
  <c r="C91" i="69"/>
  <c r="D91" i="69" s="1"/>
  <c r="C90" i="69"/>
  <c r="D90" i="69" s="1"/>
  <c r="C89" i="69"/>
  <c r="D89" i="69" s="1"/>
  <c r="N58" i="69"/>
  <c r="M58" i="69"/>
  <c r="L58" i="69"/>
  <c r="C109" i="68"/>
  <c r="C91" i="68"/>
  <c r="D91" i="68" s="1"/>
  <c r="D90" i="68"/>
  <c r="C90" i="68"/>
  <c r="C89" i="68"/>
  <c r="D89" i="68" s="1"/>
  <c r="N58" i="68"/>
  <c r="M58" i="68"/>
  <c r="L58" i="68"/>
  <c r="C109" i="66"/>
  <c r="C91" i="66"/>
  <c r="D91" i="66" s="1"/>
  <c r="C90" i="66"/>
  <c r="D90" i="66" s="1"/>
  <c r="C89" i="66"/>
  <c r="D89" i="66" s="1"/>
  <c r="N58" i="66"/>
  <c r="M58" i="66"/>
  <c r="L58" i="66"/>
  <c r="C109" i="64"/>
  <c r="D91" i="64"/>
  <c r="C91" i="64"/>
  <c r="C93" i="64" s="1"/>
  <c r="C90" i="64"/>
  <c r="D90" i="64" s="1"/>
  <c r="D89" i="64"/>
  <c r="C89" i="64"/>
  <c r="N58" i="64"/>
  <c r="M58" i="64"/>
  <c r="L58" i="64"/>
  <c r="C109" i="61"/>
  <c r="C91" i="61"/>
  <c r="D91" i="61" s="1"/>
  <c r="D90" i="61"/>
  <c r="C90" i="61"/>
  <c r="C89" i="61"/>
  <c r="D89" i="61" s="1"/>
  <c r="N58" i="61"/>
  <c r="M58" i="61"/>
  <c r="L58" i="61"/>
  <c r="C91" i="1"/>
  <c r="D91" i="1" s="1"/>
  <c r="C90" i="1"/>
  <c r="D90" i="1" s="1"/>
  <c r="C89" i="1"/>
  <c r="N58" i="1"/>
  <c r="M58" i="1"/>
  <c r="L58" i="1"/>
  <c r="C109" i="60"/>
  <c r="C109" i="59"/>
  <c r="D91" i="59"/>
  <c r="C91" i="59"/>
  <c r="C93" i="59" s="1"/>
  <c r="C90" i="59"/>
  <c r="D90" i="59" s="1"/>
  <c r="D89" i="59"/>
  <c r="C89" i="59"/>
  <c r="N58" i="59"/>
  <c r="M58" i="59"/>
  <c r="L58" i="59"/>
  <c r="C93" i="69" l="1"/>
  <c r="C92" i="69"/>
  <c r="D92" i="69" s="1"/>
  <c r="C93" i="68"/>
  <c r="C92" i="68"/>
  <c r="D92" i="68" s="1"/>
  <c r="C92" i="66"/>
  <c r="D92" i="66" s="1"/>
  <c r="C93" i="66"/>
  <c r="C92" i="64"/>
  <c r="D92" i="64" s="1"/>
  <c r="C92" i="1"/>
  <c r="D92" i="1" s="1"/>
  <c r="C93" i="61"/>
  <c r="C92" i="61"/>
  <c r="D92" i="61" s="1"/>
  <c r="C93" i="1"/>
  <c r="D89" i="1"/>
  <c r="C92" i="59"/>
  <c r="D92" i="59" s="1"/>
  <c r="A14" i="50" l="1"/>
  <c r="A13" i="50"/>
  <c r="A12" i="50"/>
  <c r="A11" i="50"/>
  <c r="A82" i="50" l="1"/>
  <c r="A84" i="50"/>
  <c r="A83" i="50"/>
  <c r="A70" i="50" l="1"/>
  <c r="A47" i="50"/>
  <c r="A69" i="50"/>
  <c r="A49" i="50"/>
  <c r="A46" i="50"/>
  <c r="A41" i="50"/>
  <c r="A58" i="50"/>
  <c r="A32" i="50"/>
  <c r="A31" i="50"/>
  <c r="A30" i="50"/>
  <c r="A29" i="50"/>
  <c r="A21" i="50"/>
  <c r="A20" i="50"/>
  <c r="A19" i="50"/>
  <c r="A18" i="50"/>
  <c r="A17" i="50"/>
  <c r="A16" i="50"/>
  <c r="A3" i="50" l="1"/>
  <c r="A2" i="50"/>
  <c r="L94" i="2"/>
  <c r="K94" i="2"/>
  <c r="C800" i="2"/>
  <c r="A114" i="50"/>
  <c r="A110" i="50"/>
  <c r="A106" i="50"/>
  <c r="A102" i="50"/>
  <c r="A98" i="50"/>
  <c r="A94" i="50"/>
  <c r="A90" i="50"/>
  <c r="A86" i="50"/>
  <c r="A42" i="50"/>
  <c r="A67" i="50"/>
  <c r="A156" i="50"/>
  <c r="A155" i="50"/>
  <c r="A152" i="50"/>
  <c r="A151" i="50"/>
  <c r="A150" i="50"/>
  <c r="A147" i="50"/>
  <c r="A146" i="50"/>
  <c r="A145" i="50"/>
  <c r="A142" i="50"/>
  <c r="A141" i="50"/>
  <c r="A140" i="50"/>
  <c r="A137" i="50"/>
  <c r="A136" i="50"/>
  <c r="A135" i="50"/>
  <c r="A132" i="50"/>
  <c r="A131" i="50"/>
  <c r="A130" i="50"/>
  <c r="A127" i="50"/>
  <c r="A126" i="50"/>
  <c r="A125" i="50"/>
  <c r="A122" i="50"/>
  <c r="A121" i="50"/>
  <c r="A120" i="50"/>
  <c r="A117" i="50"/>
  <c r="A116" i="50"/>
  <c r="A115" i="50"/>
  <c r="A113" i="50"/>
  <c r="A112" i="50"/>
  <c r="A111" i="50"/>
  <c r="A109" i="50"/>
  <c r="A108" i="50"/>
  <c r="A107" i="50"/>
  <c r="A105" i="50"/>
  <c r="A104" i="50"/>
  <c r="A103" i="50"/>
  <c r="A101" i="50"/>
  <c r="A100" i="50"/>
  <c r="A99" i="50"/>
  <c r="A97" i="50"/>
  <c r="A96" i="50"/>
  <c r="A95" i="50"/>
  <c r="A93" i="50"/>
  <c r="A92" i="50"/>
  <c r="A91" i="50"/>
  <c r="A89" i="50"/>
  <c r="A88" i="50"/>
  <c r="A87" i="50"/>
  <c r="A85" i="50"/>
  <c r="A10" i="50"/>
  <c r="A76" i="50"/>
  <c r="G6" i="2"/>
  <c r="L67" i="2"/>
  <c r="A124" i="50"/>
  <c r="A129" i="50"/>
  <c r="A134" i="50"/>
  <c r="A139" i="50"/>
  <c r="A144" i="50"/>
  <c r="A149" i="50"/>
  <c r="A154" i="50"/>
  <c r="A119" i="50"/>
  <c r="A123" i="50"/>
  <c r="A128" i="50"/>
  <c r="A133" i="50"/>
  <c r="A138" i="50"/>
  <c r="A143" i="50"/>
  <c r="A148" i="50"/>
  <c r="A153" i="50"/>
  <c r="A118" i="50"/>
  <c r="D40" i="2" l="1"/>
  <c r="D38" i="2"/>
  <c r="D36" i="2"/>
  <c r="J94" i="2" l="1"/>
  <c r="I94" i="2"/>
  <c r="H94" i="2"/>
  <c r="G94" i="2"/>
  <c r="F94" i="2"/>
  <c r="E94" i="2"/>
  <c r="D94" i="2"/>
  <c r="A65" i="50"/>
  <c r="A63" i="50"/>
  <c r="A56" i="50"/>
  <c r="A54" i="50"/>
  <c r="A52" i="50"/>
  <c r="A51" i="50"/>
  <c r="A44" i="50"/>
  <c r="A39" i="50"/>
  <c r="A38" i="50"/>
  <c r="A23" i="50"/>
  <c r="A22" i="50"/>
  <c r="A9" i="50"/>
  <c r="A1" i="50"/>
  <c r="A8" i="50"/>
  <c r="A7" i="50"/>
  <c r="A5" i="50"/>
  <c r="A48" i="50" l="1"/>
  <c r="A61" i="50" l="1"/>
  <c r="K207" i="2" l="1"/>
  <c r="A36" i="50"/>
  <c r="A35" i="50"/>
  <c r="A26" i="50"/>
  <c r="A25" i="50"/>
  <c r="A73" i="50"/>
  <c r="A72" i="50"/>
  <c r="J67" i="2"/>
  <c r="K67" i="2"/>
  <c r="L68" i="2" l="1"/>
  <c r="A80" i="50"/>
  <c r="D67" i="2"/>
  <c r="I67" i="2"/>
  <c r="J68" i="2"/>
  <c r="F68" i="2"/>
  <c r="D68" i="2"/>
  <c r="I68" i="2"/>
  <c r="E68" i="2"/>
  <c r="G67" i="2"/>
  <c r="H68" i="2"/>
  <c r="E67" i="2"/>
  <c r="H67" i="2"/>
  <c r="F67" i="2"/>
  <c r="K68" i="2"/>
  <c r="G68" i="2"/>
  <c r="A27" i="50"/>
  <c r="D476" i="2"/>
  <c r="D477" i="2"/>
  <c r="N766" i="2"/>
  <c r="M67" i="2" l="1"/>
  <c r="K208" i="2" s="1"/>
  <c r="V116" i="2"/>
  <c r="V117" i="2"/>
  <c r="V118" i="2"/>
  <c r="V119" i="2"/>
  <c r="V120" i="2"/>
  <c r="V121" i="2"/>
  <c r="V123" i="2"/>
  <c r="V124" i="2" s="1"/>
  <c r="V125" i="2"/>
  <c r="V126" i="2"/>
  <c r="V128" i="2"/>
  <c r="V129" i="2" s="1"/>
  <c r="V143" i="2"/>
  <c r="V134" i="2" s="1"/>
  <c r="V160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C364" i="2"/>
  <c r="V778" i="2" l="1"/>
  <c r="V135" i="2"/>
  <c r="D205" i="2"/>
  <c r="E176" i="2" l="1"/>
  <c r="D176" i="2"/>
  <c r="I176" i="2" s="1"/>
  <c r="H176" i="2" l="1"/>
  <c r="G176" i="2"/>
  <c r="A81" i="50"/>
  <c r="A79" i="50" l="1"/>
  <c r="A78" i="50"/>
  <c r="A77" i="50"/>
  <c r="D37" i="2"/>
  <c r="D175" i="2" l="1"/>
  <c r="H175" i="2" l="1"/>
  <c r="I175" i="2"/>
  <c r="G175" i="2"/>
  <c r="P143" i="2"/>
  <c r="P134" i="2" s="1"/>
  <c r="Q143" i="2"/>
  <c r="Q134" i="2" s="1"/>
  <c r="R143" i="2"/>
  <c r="R134" i="2" s="1"/>
  <c r="S143" i="2"/>
  <c r="S134" i="2" s="1"/>
  <c r="T143" i="2"/>
  <c r="T134" i="2" s="1"/>
  <c r="U143" i="2"/>
  <c r="U134" i="2" s="1"/>
  <c r="W143" i="2"/>
  <c r="W134" i="2" s="1"/>
  <c r="X143" i="2"/>
  <c r="X134" i="2" s="1"/>
  <c r="Y143" i="2"/>
  <c r="AK139" i="2" s="1"/>
  <c r="AI143" i="2"/>
  <c r="AI139" i="2" s="1"/>
  <c r="AB143" i="2"/>
  <c r="AB134" i="2" s="1"/>
  <c r="AC143" i="2"/>
  <c r="AC134" i="2" s="1"/>
  <c r="AD143" i="2"/>
  <c r="AD134" i="2" s="1"/>
  <c r="AE143" i="2"/>
  <c r="AE139" i="2" s="1"/>
  <c r="AF143" i="2"/>
  <c r="AF134" i="2" s="1"/>
  <c r="AG143" i="2"/>
  <c r="AG139" i="2" s="1"/>
  <c r="AH143" i="2"/>
  <c r="AH139" i="2" s="1"/>
  <c r="AJ143" i="2"/>
  <c r="AJ139" i="2" s="1"/>
  <c r="AK143" i="2"/>
  <c r="P160" i="2"/>
  <c r="Q160" i="2"/>
  <c r="R160" i="2"/>
  <c r="S160" i="2"/>
  <c r="T160" i="2"/>
  <c r="U160" i="2"/>
  <c r="W160" i="2"/>
  <c r="X160" i="2"/>
  <c r="Y160" i="2"/>
  <c r="P116" i="2"/>
  <c r="Q116" i="2"/>
  <c r="R116" i="2"/>
  <c r="S116" i="2"/>
  <c r="T116" i="2"/>
  <c r="U116" i="2"/>
  <c r="W116" i="2"/>
  <c r="X116" i="2"/>
  <c r="P117" i="2"/>
  <c r="Q117" i="2"/>
  <c r="R117" i="2"/>
  <c r="S117" i="2"/>
  <c r="T117" i="2"/>
  <c r="U117" i="2"/>
  <c r="W117" i="2"/>
  <c r="X117" i="2"/>
  <c r="P118" i="2"/>
  <c r="Q118" i="2"/>
  <c r="R118" i="2"/>
  <c r="S118" i="2"/>
  <c r="T118" i="2"/>
  <c r="U118" i="2"/>
  <c r="W118" i="2"/>
  <c r="X118" i="2"/>
  <c r="K119" i="2"/>
  <c r="D119" i="2"/>
  <c r="E119" i="2"/>
  <c r="F119" i="2"/>
  <c r="G119" i="2"/>
  <c r="H119" i="2"/>
  <c r="I119" i="2"/>
  <c r="J119" i="2"/>
  <c r="L119" i="2"/>
  <c r="P119" i="2"/>
  <c r="Q119" i="2"/>
  <c r="R119" i="2"/>
  <c r="S119" i="2"/>
  <c r="T119" i="2"/>
  <c r="U119" i="2"/>
  <c r="W119" i="2"/>
  <c r="X119" i="2"/>
  <c r="P120" i="2"/>
  <c r="Q120" i="2"/>
  <c r="R120" i="2"/>
  <c r="S120" i="2"/>
  <c r="T120" i="2"/>
  <c r="U120" i="2"/>
  <c r="W120" i="2"/>
  <c r="X120" i="2"/>
  <c r="K121" i="2"/>
  <c r="D121" i="2"/>
  <c r="E121" i="2"/>
  <c r="F121" i="2"/>
  <c r="G121" i="2"/>
  <c r="H121" i="2"/>
  <c r="I121" i="2"/>
  <c r="J121" i="2"/>
  <c r="L121" i="2"/>
  <c r="P121" i="2"/>
  <c r="Q121" i="2"/>
  <c r="R121" i="2"/>
  <c r="S121" i="2"/>
  <c r="T121" i="2"/>
  <c r="U121" i="2"/>
  <c r="W121" i="2"/>
  <c r="X121" i="2"/>
  <c r="K123" i="2"/>
  <c r="K124" i="2" s="1"/>
  <c r="D123" i="2"/>
  <c r="D124" i="2" s="1"/>
  <c r="E123" i="2"/>
  <c r="E124" i="2" s="1"/>
  <c r="F123" i="2"/>
  <c r="F124" i="2" s="1"/>
  <c r="G123" i="2"/>
  <c r="G124" i="2" s="1"/>
  <c r="H123" i="2"/>
  <c r="H124" i="2" s="1"/>
  <c r="I123" i="2"/>
  <c r="I124" i="2" s="1"/>
  <c r="J123" i="2"/>
  <c r="J124" i="2" s="1"/>
  <c r="L123" i="2"/>
  <c r="L124" i="2" s="1"/>
  <c r="P123" i="2"/>
  <c r="P124" i="2" s="1"/>
  <c r="Q123" i="2"/>
  <c r="Q124" i="2" s="1"/>
  <c r="R123" i="2"/>
  <c r="R124" i="2" s="1"/>
  <c r="S123" i="2"/>
  <c r="S124" i="2" s="1"/>
  <c r="T123" i="2"/>
  <c r="T124" i="2" s="1"/>
  <c r="U123" i="2"/>
  <c r="U124" i="2" s="1"/>
  <c r="W123" i="2"/>
  <c r="W124" i="2" s="1"/>
  <c r="X123" i="2"/>
  <c r="X124" i="2" s="1"/>
  <c r="K125" i="2"/>
  <c r="D125" i="2"/>
  <c r="E125" i="2"/>
  <c r="F125" i="2"/>
  <c r="G125" i="2"/>
  <c r="H125" i="2"/>
  <c r="I125" i="2"/>
  <c r="J125" i="2"/>
  <c r="L125" i="2"/>
  <c r="P125" i="2"/>
  <c r="Q125" i="2"/>
  <c r="R125" i="2"/>
  <c r="S125" i="2"/>
  <c r="T125" i="2"/>
  <c r="U125" i="2"/>
  <c r="W125" i="2"/>
  <c r="X125" i="2"/>
  <c r="K126" i="2"/>
  <c r="D126" i="2"/>
  <c r="E126" i="2"/>
  <c r="F126" i="2"/>
  <c r="G126" i="2"/>
  <c r="H126" i="2"/>
  <c r="I126" i="2"/>
  <c r="J126" i="2"/>
  <c r="L126" i="2"/>
  <c r="P126" i="2"/>
  <c r="Q126" i="2"/>
  <c r="R126" i="2"/>
  <c r="S126" i="2"/>
  <c r="T126" i="2"/>
  <c r="U126" i="2"/>
  <c r="W126" i="2"/>
  <c r="X126" i="2"/>
  <c r="AI126" i="2"/>
  <c r="AB126" i="2"/>
  <c r="AC126" i="2"/>
  <c r="AD126" i="2"/>
  <c r="AE126" i="2"/>
  <c r="AF126" i="2"/>
  <c r="AG126" i="2"/>
  <c r="AH126" i="2"/>
  <c r="AJ126" i="2"/>
  <c r="P128" i="2"/>
  <c r="P129" i="2" s="1"/>
  <c r="Q128" i="2"/>
  <c r="Q129" i="2" s="1"/>
  <c r="R128" i="2"/>
  <c r="R129" i="2" s="1"/>
  <c r="S128" i="2"/>
  <c r="S129" i="2" s="1"/>
  <c r="T128" i="2"/>
  <c r="T129" i="2" s="1"/>
  <c r="U128" i="2"/>
  <c r="U129" i="2" s="1"/>
  <c r="W128" i="2"/>
  <c r="W129" i="2" s="1"/>
  <c r="X128" i="2"/>
  <c r="X129" i="2" s="1"/>
  <c r="C336" i="2"/>
  <c r="AD139" i="2" l="1"/>
  <c r="AB139" i="2"/>
  <c r="AC139" i="2"/>
  <c r="AF139" i="2"/>
  <c r="T135" i="2"/>
  <c r="S135" i="2"/>
  <c r="AE134" i="2"/>
  <c r="P135" i="2"/>
  <c r="W135" i="2"/>
  <c r="Y116" i="2"/>
  <c r="AG134" i="2"/>
  <c r="AJ134" i="2"/>
  <c r="AI134" i="2"/>
  <c r="X135" i="2"/>
  <c r="AH134" i="2"/>
  <c r="Y134" i="2"/>
  <c r="R135" i="2"/>
  <c r="U135" i="2"/>
  <c r="Q135" i="2"/>
  <c r="E175" i="2"/>
  <c r="Y135" i="2" l="1"/>
  <c r="C109" i="1"/>
  <c r="A60" i="50" l="1"/>
  <c r="C2" i="2"/>
  <c r="D418" i="2"/>
  <c r="C418" i="2"/>
  <c r="D7" i="2"/>
  <c r="D6" i="2"/>
  <c r="G7" i="2"/>
  <c r="D419" i="2"/>
  <c r="G693" i="2"/>
  <c r="D693" i="2"/>
  <c r="D672" i="2"/>
  <c r="D673" i="2" s="1"/>
  <c r="D670" i="2"/>
  <c r="D671" i="2" s="1"/>
  <c r="D39" i="2"/>
  <c r="D35" i="2"/>
  <c r="D33" i="2"/>
  <c r="D34" i="2"/>
  <c r="K93" i="2"/>
  <c r="K120" i="2" s="1"/>
  <c r="K116" i="2"/>
  <c r="B31" i="4"/>
  <c r="K89" i="2"/>
  <c r="K118" i="2" s="1"/>
  <c r="D93" i="2"/>
  <c r="D120" i="2" s="1"/>
  <c r="D116" i="2"/>
  <c r="D89" i="2"/>
  <c r="D118" i="2" s="1"/>
  <c r="E93" i="2"/>
  <c r="E116" i="2"/>
  <c r="E89" i="2"/>
  <c r="E118" i="2" s="1"/>
  <c r="F93" i="2"/>
  <c r="F116" i="2"/>
  <c r="F89" i="2"/>
  <c r="F118" i="2" s="1"/>
  <c r="G93" i="2"/>
  <c r="G120" i="2" s="1"/>
  <c r="G116" i="2"/>
  <c r="G89" i="2"/>
  <c r="G118" i="2" s="1"/>
  <c r="H93" i="2"/>
  <c r="H120" i="2" s="1"/>
  <c r="H116" i="2"/>
  <c r="H89" i="2"/>
  <c r="H118" i="2" s="1"/>
  <c r="I93" i="2"/>
  <c r="I120" i="2" s="1"/>
  <c r="I116" i="2"/>
  <c r="I89" i="2"/>
  <c r="I118" i="2" s="1"/>
  <c r="J93" i="2"/>
  <c r="J120" i="2" s="1"/>
  <c r="J116" i="2"/>
  <c r="J89" i="2"/>
  <c r="J118" i="2" s="1"/>
  <c r="L93" i="2"/>
  <c r="L120" i="2" s="1"/>
  <c r="L116" i="2"/>
  <c r="L89" i="2"/>
  <c r="L118" i="2" s="1"/>
  <c r="AI116" i="2"/>
  <c r="AB116" i="2"/>
  <c r="AC116" i="2"/>
  <c r="AD116" i="2"/>
  <c r="AE116" i="2"/>
  <c r="AF116" i="2"/>
  <c r="AG116" i="2"/>
  <c r="AH116" i="2"/>
  <c r="AJ116" i="2"/>
  <c r="D294" i="2"/>
  <c r="D295" i="2" s="1"/>
  <c r="D293" i="2"/>
  <c r="F623" i="2" s="1"/>
  <c r="L85" i="2"/>
  <c r="L128" i="2" s="1"/>
  <c r="L129" i="2" s="1"/>
  <c r="L73" i="2"/>
  <c r="AJ117" i="2" s="1"/>
  <c r="AJ125" i="2"/>
  <c r="L100" i="2"/>
  <c r="AJ123" i="2" s="1"/>
  <c r="AJ124" i="2" s="1"/>
  <c r="L649" i="2"/>
  <c r="L650" i="2"/>
  <c r="L651" i="2"/>
  <c r="L652" i="2"/>
  <c r="L653" i="2"/>
  <c r="L654" i="2"/>
  <c r="L655" i="2"/>
  <c r="L656" i="2"/>
  <c r="L657" i="2"/>
  <c r="L658" i="2"/>
  <c r="L659" i="2"/>
  <c r="L648" i="2"/>
  <c r="L627" i="2"/>
  <c r="L628" i="2"/>
  <c r="L629" i="2"/>
  <c r="L630" i="2"/>
  <c r="L631" i="2"/>
  <c r="L632" i="2"/>
  <c r="L633" i="2"/>
  <c r="L634" i="2"/>
  <c r="L635" i="2"/>
  <c r="L636" i="2"/>
  <c r="L637" i="2"/>
  <c r="L626" i="2"/>
  <c r="C693" i="2"/>
  <c r="O767" i="2"/>
  <c r="O768" i="2"/>
  <c r="O769" i="2"/>
  <c r="O770" i="2"/>
  <c r="O771" i="2"/>
  <c r="AL771" i="2" s="1"/>
  <c r="AP771" i="2" s="1"/>
  <c r="O772" i="2"/>
  <c r="O773" i="2"/>
  <c r="O774" i="2"/>
  <c r="O775" i="2"/>
  <c r="AL775" i="2" s="1"/>
  <c r="AP775" i="2" s="1"/>
  <c r="O776" i="2"/>
  <c r="O777" i="2"/>
  <c r="O766" i="2"/>
  <c r="AL766" i="2" s="1"/>
  <c r="C419" i="2"/>
  <c r="D768" i="2"/>
  <c r="D770" i="2"/>
  <c r="N767" i="2"/>
  <c r="N768" i="2"/>
  <c r="N769" i="2"/>
  <c r="N770" i="2"/>
  <c r="N771" i="2"/>
  <c r="N772" i="2"/>
  <c r="N773" i="2"/>
  <c r="N774" i="2"/>
  <c r="N775" i="2"/>
  <c r="N776" i="2"/>
  <c r="N777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D740" i="2" s="1"/>
  <c r="S766" i="2"/>
  <c r="S767" i="2"/>
  <c r="S768" i="2"/>
  <c r="S769" i="2"/>
  <c r="S770" i="2"/>
  <c r="S771" i="2"/>
  <c r="S772" i="2"/>
  <c r="S773" i="2"/>
  <c r="S774" i="2"/>
  <c r="S775" i="2"/>
  <c r="S776" i="2"/>
  <c r="S777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F766" i="2"/>
  <c r="AF767" i="2"/>
  <c r="AF768" i="2"/>
  <c r="AF769" i="2"/>
  <c r="AF770" i="2"/>
  <c r="AF771" i="2"/>
  <c r="AF772" i="2"/>
  <c r="AF773" i="2"/>
  <c r="AF774" i="2"/>
  <c r="AF775" i="2"/>
  <c r="AF776" i="2"/>
  <c r="AF777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H766" i="2"/>
  <c r="AH767" i="2"/>
  <c r="AH768" i="2"/>
  <c r="AH769" i="2"/>
  <c r="AH770" i="2"/>
  <c r="AH771" i="2"/>
  <c r="AH772" i="2"/>
  <c r="AH773" i="2"/>
  <c r="AH774" i="2"/>
  <c r="AH775" i="2"/>
  <c r="AH776" i="2"/>
  <c r="AH777" i="2"/>
  <c r="D17" i="2"/>
  <c r="N22" i="2"/>
  <c r="D472" i="2"/>
  <c r="D471" i="2"/>
  <c r="A57" i="50"/>
  <c r="D301" i="2"/>
  <c r="L74" i="2"/>
  <c r="L117" i="2" s="1"/>
  <c r="E205" i="2"/>
  <c r="D282" i="2"/>
  <c r="D279" i="2"/>
  <c r="D304" i="2" s="1"/>
  <c r="D206" i="2"/>
  <c r="D250" i="2" s="1"/>
  <c r="F250" i="2" s="1"/>
  <c r="E206" i="2"/>
  <c r="D469" i="2"/>
  <c r="D410" i="2"/>
  <c r="O17" i="2"/>
  <c r="D725" i="2"/>
  <c r="D726" i="2" s="1"/>
  <c r="Q17" i="2"/>
  <c r="D731" i="2"/>
  <c r="Q29" i="5"/>
  <c r="S29" i="5" s="1"/>
  <c r="Q28" i="5"/>
  <c r="S28" i="5" s="1"/>
  <c r="C799" i="2"/>
  <c r="D810" i="2"/>
  <c r="F810" i="2" s="1"/>
  <c r="H810" i="2" s="1"/>
  <c r="C802" i="2"/>
  <c r="D812" i="2" s="1"/>
  <c r="F812" i="2" s="1"/>
  <c r="H812" i="2" s="1"/>
  <c r="H808" i="2"/>
  <c r="F813" i="2"/>
  <c r="H813" i="2" s="1"/>
  <c r="F814" i="2"/>
  <c r="H814" i="2" s="1"/>
  <c r="T15" i="2"/>
  <c r="U15" i="2"/>
  <c r="T16" i="2"/>
  <c r="U16" i="2"/>
  <c r="T17" i="2"/>
  <c r="U17" i="2"/>
  <c r="D791" i="2"/>
  <c r="D748" i="2"/>
  <c r="D749" i="2"/>
  <c r="C749" i="2"/>
  <c r="C748" i="2"/>
  <c r="N49" i="2"/>
  <c r="N48" i="2"/>
  <c r="D414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482" i="2"/>
  <c r="D412" i="2"/>
  <c r="AB303" i="2"/>
  <c r="AC303" i="2" s="1"/>
  <c r="AB304" i="2"/>
  <c r="AC304" i="2" s="1"/>
  <c r="AB305" i="2"/>
  <c r="AC305" i="2" s="1"/>
  <c r="AB306" i="2"/>
  <c r="AC306" i="2" s="1"/>
  <c r="D411" i="2"/>
  <c r="J51" i="5"/>
  <c r="G51" i="5"/>
  <c r="F51" i="5"/>
  <c r="D51" i="5"/>
  <c r="K728" i="2"/>
  <c r="K724" i="2"/>
  <c r="R287" i="2"/>
  <c r="R286" i="2"/>
  <c r="R285" i="2"/>
  <c r="D10" i="2"/>
  <c r="AL774" i="2" l="1"/>
  <c r="AP774" i="2" s="1"/>
  <c r="AL770" i="2"/>
  <c r="AP770" i="2" s="1"/>
  <c r="AL777" i="2"/>
  <c r="AP777" i="2" s="1"/>
  <c r="AL773" i="2"/>
  <c r="AP773" i="2" s="1"/>
  <c r="AL769" i="2"/>
  <c r="AP769" i="2" s="1"/>
  <c r="AL776" i="2"/>
  <c r="AP776" i="2" s="1"/>
  <c r="AL772" i="2"/>
  <c r="AP772" i="2" s="1"/>
  <c r="AL768" i="2"/>
  <c r="AP768" i="2" s="1"/>
  <c r="D809" i="2"/>
  <c r="F809" i="2" s="1"/>
  <c r="H809" i="2" s="1"/>
  <c r="F120" i="2"/>
  <c r="E120" i="2"/>
  <c r="D415" i="2"/>
  <c r="K205" i="2"/>
  <c r="K206" i="2" s="1"/>
  <c r="D212" i="2" s="1"/>
  <c r="K670" i="2"/>
  <c r="G477" i="2"/>
  <c r="I621" i="2"/>
  <c r="H543" i="2"/>
  <c r="I543" i="2" s="1"/>
  <c r="H547" i="2"/>
  <c r="I547" i="2" s="1"/>
  <c r="H551" i="2"/>
  <c r="I551" i="2" s="1"/>
  <c r="H545" i="2"/>
  <c r="I545" i="2" s="1"/>
  <c r="H549" i="2"/>
  <c r="I549" i="2" s="1"/>
  <c r="H541" i="2"/>
  <c r="H546" i="2"/>
  <c r="I546" i="2" s="1"/>
  <c r="H544" i="2"/>
  <c r="I544" i="2" s="1"/>
  <c r="H548" i="2"/>
  <c r="I548" i="2" s="1"/>
  <c r="H552" i="2"/>
  <c r="I552" i="2" s="1"/>
  <c r="H542" i="2"/>
  <c r="I542" i="2" s="1"/>
  <c r="H550" i="2"/>
  <c r="I550" i="2" s="1"/>
  <c r="BB23" i="4"/>
  <c r="CF16" i="2" s="1"/>
  <c r="J100" i="2"/>
  <c r="AH123" i="2" s="1"/>
  <c r="AH124" i="2" s="1"/>
  <c r="J73" i="2"/>
  <c r="AH117" i="2" s="1"/>
  <c r="P49" i="2"/>
  <c r="P53" i="2"/>
  <c r="P57" i="2"/>
  <c r="P50" i="2"/>
  <c r="P54" i="2"/>
  <c r="P58" i="2"/>
  <c r="P51" i="2"/>
  <c r="P55" i="2"/>
  <c r="P59" i="2"/>
  <c r="P48" i="2"/>
  <c r="P52" i="2"/>
  <c r="P56" i="2"/>
  <c r="O778" i="2"/>
  <c r="K74" i="2"/>
  <c r="K117" i="2" s="1"/>
  <c r="AI125" i="2"/>
  <c r="AJ135" i="2"/>
  <c r="AH778" i="2"/>
  <c r="AG778" i="2"/>
  <c r="AF778" i="2"/>
  <c r="AE778" i="2"/>
  <c r="AD778" i="2"/>
  <c r="AC778" i="2"/>
  <c r="AB778" i="2"/>
  <c r="AA778" i="2"/>
  <c r="Z778" i="2"/>
  <c r="Y778" i="2"/>
  <c r="X778" i="2"/>
  <c r="W778" i="2"/>
  <c r="U778" i="2"/>
  <c r="T778" i="2"/>
  <c r="S778" i="2"/>
  <c r="R778" i="2"/>
  <c r="Q778" i="2"/>
  <c r="P778" i="2"/>
  <c r="N778" i="2"/>
  <c r="AL767" i="2"/>
  <c r="AP767" i="2" s="1"/>
  <c r="AJ140" i="2"/>
  <c r="L135" i="2"/>
  <c r="AX20" i="4"/>
  <c r="CB13" i="2" s="1"/>
  <c r="K73" i="2"/>
  <c r="AI117" i="2" s="1"/>
  <c r="W19" i="4"/>
  <c r="BA12" i="2" s="1"/>
  <c r="W12" i="4"/>
  <c r="BA5" i="2" s="1"/>
  <c r="C12" i="4"/>
  <c r="AG5" i="2" s="1"/>
  <c r="H741" i="2"/>
  <c r="BF22" i="4"/>
  <c r="CJ15" i="2" s="1"/>
  <c r="AA17" i="4"/>
  <c r="BE10" i="2" s="1"/>
  <c r="BE21" i="4"/>
  <c r="CI14" i="2" s="1"/>
  <c r="AW14" i="4"/>
  <c r="CA7" i="2" s="1"/>
  <c r="AP23" i="4"/>
  <c r="BT16" i="2" s="1"/>
  <c r="AS21" i="4"/>
  <c r="BW14" i="2" s="1"/>
  <c r="BA16" i="4"/>
  <c r="CE9" i="2" s="1"/>
  <c r="D13" i="4"/>
  <c r="AH6" i="2" s="1"/>
  <c r="V23" i="4"/>
  <c r="AZ16" i="2" s="1"/>
  <c r="W22" i="4"/>
  <c r="BA15" i="2" s="1"/>
  <c r="N21" i="4"/>
  <c r="AR14" i="2" s="1"/>
  <c r="AR19" i="4"/>
  <c r="BV12" i="2" s="1"/>
  <c r="O18" i="4"/>
  <c r="AS11" i="2" s="1"/>
  <c r="AK15" i="4"/>
  <c r="BO8" i="2" s="1"/>
  <c r="AU22" i="4"/>
  <c r="BY15" i="2" s="1"/>
  <c r="AF20" i="4"/>
  <c r="BJ13" i="2" s="1"/>
  <c r="AZ18" i="4"/>
  <c r="CD11" i="2" s="1"/>
  <c r="Q14" i="4"/>
  <c r="AU7" i="2" s="1"/>
  <c r="AE23" i="4"/>
  <c r="BI16" i="2" s="1"/>
  <c r="AL22" i="4"/>
  <c r="BP15" i="2" s="1"/>
  <c r="AC21" i="4"/>
  <c r="BG14" i="2" s="1"/>
  <c r="BH19" i="4"/>
  <c r="CL12" i="2" s="1"/>
  <c r="AJ18" i="4"/>
  <c r="BN11" i="2" s="1"/>
  <c r="AG16" i="4"/>
  <c r="BK9" i="2" s="1"/>
  <c r="Y12" i="4"/>
  <c r="BC5" i="2" s="1"/>
  <c r="K85" i="2"/>
  <c r="K128" i="2" s="1"/>
  <c r="K129" i="2" s="1"/>
  <c r="K135" i="2" s="1"/>
  <c r="L79" i="2"/>
  <c r="AQ17" i="4"/>
  <c r="BU10" i="2" s="1"/>
  <c r="Q16" i="4"/>
  <c r="AU9" i="2" s="1"/>
  <c r="W13" i="4"/>
  <c r="BA6" i="2" s="1"/>
  <c r="K100" i="2"/>
  <c r="AI123" i="2" s="1"/>
  <c r="AI124" i="2" s="1"/>
  <c r="AH125" i="2"/>
  <c r="D20" i="4"/>
  <c r="AH13" i="2" s="1"/>
  <c r="BF23" i="4"/>
  <c r="CJ16" i="2" s="1"/>
  <c r="AU23" i="4"/>
  <c r="BY16" i="2" s="1"/>
  <c r="AL23" i="4"/>
  <c r="BP16" i="2" s="1"/>
  <c r="Z23" i="4"/>
  <c r="BD16" i="2" s="1"/>
  <c r="O23" i="4"/>
  <c r="AS16" i="2" s="1"/>
  <c r="BB22" i="4"/>
  <c r="CF15" i="2" s="1"/>
  <c r="AP22" i="4"/>
  <c r="BT15" i="2" s="1"/>
  <c r="AD22" i="4"/>
  <c r="BH15" i="2" s="1"/>
  <c r="R22" i="4"/>
  <c r="AV15" i="2" s="1"/>
  <c r="AX21" i="4"/>
  <c r="CB14" i="2" s="1"/>
  <c r="AI21" i="4"/>
  <c r="BM14" i="2" s="1"/>
  <c r="W21" i="4"/>
  <c r="BA14" i="2" s="1"/>
  <c r="BC20" i="4"/>
  <c r="CG13" i="2" s="1"/>
  <c r="AO20" i="4"/>
  <c r="BS13" i="2" s="1"/>
  <c r="Y20" i="4"/>
  <c r="BC13" i="2" s="1"/>
  <c r="AZ19" i="4"/>
  <c r="CD12" i="2" s="1"/>
  <c r="AF19" i="4"/>
  <c r="BJ12" i="2" s="1"/>
  <c r="P19" i="4"/>
  <c r="AT12" i="2" s="1"/>
  <c r="AQ18" i="4"/>
  <c r="BU11" i="2" s="1"/>
  <c r="W18" i="4"/>
  <c r="BA11" i="2" s="1"/>
  <c r="BC17" i="4"/>
  <c r="CG10" i="2" s="1"/>
  <c r="AG17" i="4"/>
  <c r="BK10" i="2" s="1"/>
  <c r="O17" i="4"/>
  <c r="AS10" i="2" s="1"/>
  <c r="AU16" i="4"/>
  <c r="BY9" i="2" s="1"/>
  <c r="Y16" i="4"/>
  <c r="BC9" i="2" s="1"/>
  <c r="AW15" i="4"/>
  <c r="CA8" i="2" s="1"/>
  <c r="Y15" i="4"/>
  <c r="BC8" i="2" s="1"/>
  <c r="AE14" i="4"/>
  <c r="BI7" i="2" s="1"/>
  <c r="AM13" i="4"/>
  <c r="BQ6" i="2" s="1"/>
  <c r="BC12" i="4"/>
  <c r="CG5" i="2" s="1"/>
  <c r="F263" i="2"/>
  <c r="D16" i="4"/>
  <c r="AH9" i="2" s="1"/>
  <c r="BC23" i="4"/>
  <c r="CG16" i="2" s="1"/>
  <c r="AT23" i="4"/>
  <c r="BX16" i="2" s="1"/>
  <c r="AH23" i="4"/>
  <c r="BL16" i="2" s="1"/>
  <c r="W23" i="4"/>
  <c r="BA16" i="2" s="1"/>
  <c r="N23" i="4"/>
  <c r="AR16" i="2" s="1"/>
  <c r="AX22" i="4"/>
  <c r="CB15" i="2" s="1"/>
  <c r="AM22" i="4"/>
  <c r="BQ15" i="2" s="1"/>
  <c r="AC22" i="4"/>
  <c r="BG15" i="2" s="1"/>
  <c r="BI21" i="4"/>
  <c r="CM14" i="2" s="1"/>
  <c r="AT21" i="4"/>
  <c r="BX14" i="2" s="1"/>
  <c r="AH21" i="4"/>
  <c r="BL14" i="2" s="1"/>
  <c r="R21" i="4"/>
  <c r="AV14" i="2" s="1"/>
  <c r="AY20" i="4"/>
  <c r="CC13" i="2" s="1"/>
  <c r="AM20" i="4"/>
  <c r="BQ13" i="2" s="1"/>
  <c r="Q20" i="4"/>
  <c r="AU13" i="2" s="1"/>
  <c r="AU19" i="4"/>
  <c r="BY12" i="2" s="1"/>
  <c r="AE19" i="4"/>
  <c r="BI12" i="2" s="1"/>
  <c r="BE18" i="4"/>
  <c r="CI11" i="2" s="1"/>
  <c r="AK18" i="4"/>
  <c r="BO11" i="2" s="1"/>
  <c r="U18" i="4"/>
  <c r="AY11" i="2" s="1"/>
  <c r="AV17" i="4"/>
  <c r="BZ10" i="2" s="1"/>
  <c r="AB17" i="4"/>
  <c r="BF10" i="2" s="1"/>
  <c r="BH16" i="4"/>
  <c r="CL9" i="2" s="1"/>
  <c r="AM16" i="4"/>
  <c r="BQ9" i="2" s="1"/>
  <c r="T16" i="4"/>
  <c r="AX9" i="2" s="1"/>
  <c r="AU15" i="4"/>
  <c r="BY8" i="2" s="1"/>
  <c r="BI14" i="4"/>
  <c r="CM7" i="2" s="1"/>
  <c r="U14" i="4"/>
  <c r="AY7" i="2" s="1"/>
  <c r="AK13" i="4"/>
  <c r="BO6" i="2" s="1"/>
  <c r="AM12" i="4"/>
  <c r="BQ5" i="2" s="1"/>
  <c r="D247" i="2"/>
  <c r="F247" i="2" s="1"/>
  <c r="F260" i="2" s="1"/>
  <c r="D21" i="4"/>
  <c r="AH14" i="2" s="1"/>
  <c r="D12" i="4"/>
  <c r="AH5" i="2" s="1"/>
  <c r="AX23" i="4"/>
  <c r="CB16" i="2" s="1"/>
  <c r="AM23" i="4"/>
  <c r="BQ16" i="2" s="1"/>
  <c r="AD23" i="4"/>
  <c r="BH16" i="2" s="1"/>
  <c r="R23" i="4"/>
  <c r="AV16" i="2" s="1"/>
  <c r="BC22" i="4"/>
  <c r="CG15" i="2" s="1"/>
  <c r="AT22" i="4"/>
  <c r="BX15" i="2" s="1"/>
  <c r="AH22" i="4"/>
  <c r="BL15" i="2" s="1"/>
  <c r="S22" i="4"/>
  <c r="AW15" i="2" s="1"/>
  <c r="BC21" i="4"/>
  <c r="CG14" i="2" s="1"/>
  <c r="AM21" i="4"/>
  <c r="BQ14" i="2" s="1"/>
  <c r="Y21" i="4"/>
  <c r="BC14" i="2" s="1"/>
  <c r="BI20" i="4"/>
  <c r="CM13" i="2" s="1"/>
  <c r="AS20" i="4"/>
  <c r="BW13" i="2" s="1"/>
  <c r="AA20" i="4"/>
  <c r="BE13" i="2" s="1"/>
  <c r="BG19" i="4"/>
  <c r="CK12" i="2" s="1"/>
  <c r="AK19" i="4"/>
  <c r="BO12" i="2" s="1"/>
  <c r="Q19" i="4"/>
  <c r="AU12" i="2" s="1"/>
  <c r="AW18" i="4"/>
  <c r="CA11" i="2" s="1"/>
  <c r="AB18" i="4"/>
  <c r="BF11" i="2" s="1"/>
  <c r="BE17" i="4"/>
  <c r="CI10" i="2" s="1"/>
  <c r="AO17" i="4"/>
  <c r="BS10" i="2" s="1"/>
  <c r="T17" i="4"/>
  <c r="AX10" i="2" s="1"/>
  <c r="AV16" i="4"/>
  <c r="BZ9" i="2" s="1"/>
  <c r="AF16" i="4"/>
  <c r="BJ9" i="2" s="1"/>
  <c r="BE15" i="4"/>
  <c r="CI8" i="2" s="1"/>
  <c r="AC15" i="4"/>
  <c r="BG8" i="2" s="1"/>
  <c r="AS14" i="4"/>
  <c r="BW7" i="2" s="1"/>
  <c r="AW13" i="4"/>
  <c r="CA6" i="2" s="1"/>
  <c r="BI12" i="4"/>
  <c r="CM5" i="2" s="1"/>
  <c r="M14" i="4"/>
  <c r="AQ7" i="2" s="1"/>
  <c r="H18" i="4"/>
  <c r="AL11" i="2" s="1"/>
  <c r="T150" i="2" s="1"/>
  <c r="L22" i="4"/>
  <c r="AP15" i="2" s="1"/>
  <c r="P154" i="2" s="1"/>
  <c r="F12" i="4"/>
  <c r="AJ5" i="2" s="1"/>
  <c r="R144" i="2" s="1"/>
  <c r="E17" i="4"/>
  <c r="AI10" i="2" s="1"/>
  <c r="Q149" i="2" s="1"/>
  <c r="J20" i="4"/>
  <c r="AN13" i="2" s="1"/>
  <c r="V152" i="2" s="1"/>
  <c r="K23" i="4"/>
  <c r="AO16" i="2" s="1"/>
  <c r="W155" i="2" s="1"/>
  <c r="C19" i="4"/>
  <c r="AG12" i="2" s="1"/>
  <c r="U12" i="4"/>
  <c r="AY5" i="2" s="1"/>
  <c r="AE12" i="4"/>
  <c r="BI5" i="2" s="1"/>
  <c r="AO12" i="4"/>
  <c r="BS5" i="2" s="1"/>
  <c r="AY12" i="4"/>
  <c r="CC5" i="2" s="1"/>
  <c r="BG12" i="4"/>
  <c r="CK5" i="2" s="1"/>
  <c r="S13" i="4"/>
  <c r="AW6" i="2" s="1"/>
  <c r="AA13" i="4"/>
  <c r="BE6" i="2" s="1"/>
  <c r="AI13" i="4"/>
  <c r="BM6" i="2" s="1"/>
  <c r="AQ13" i="4"/>
  <c r="BU6" i="2" s="1"/>
  <c r="AY13" i="4"/>
  <c r="CC6" i="2" s="1"/>
  <c r="BG13" i="4"/>
  <c r="CK6" i="2" s="1"/>
  <c r="S14" i="4"/>
  <c r="AW7" i="2" s="1"/>
  <c r="AA14" i="4"/>
  <c r="BE7" i="2" s="1"/>
  <c r="AI14" i="4"/>
  <c r="BM7" i="2" s="1"/>
  <c r="AQ14" i="4"/>
  <c r="BU7" i="2" s="1"/>
  <c r="AY14" i="4"/>
  <c r="CC7" i="2" s="1"/>
  <c r="BG14" i="4"/>
  <c r="CK7" i="2" s="1"/>
  <c r="S15" i="4"/>
  <c r="AW8" i="2" s="1"/>
  <c r="AA15" i="4"/>
  <c r="BE8" i="2" s="1"/>
  <c r="AH15" i="4"/>
  <c r="BL8" i="2" s="1"/>
  <c r="AM15" i="4"/>
  <c r="BQ8" i="2" s="1"/>
  <c r="AS15" i="4"/>
  <c r="BW8" i="2" s="1"/>
  <c r="AX15" i="4"/>
  <c r="CB8" i="2" s="1"/>
  <c r="BC15" i="4"/>
  <c r="CG8" i="2" s="1"/>
  <c r="BI15" i="4"/>
  <c r="CM8" i="2" s="1"/>
  <c r="R16" i="4"/>
  <c r="AV9" i="2" s="1"/>
  <c r="V16" i="4"/>
  <c r="AZ9" i="2" s="1"/>
  <c r="Z16" i="4"/>
  <c r="BD9" i="2" s="1"/>
  <c r="AD16" i="4"/>
  <c r="BH9" i="2" s="1"/>
  <c r="AH16" i="4"/>
  <c r="BL9" i="2" s="1"/>
  <c r="AL16" i="4"/>
  <c r="BP9" i="2" s="1"/>
  <c r="AP16" i="4"/>
  <c r="BT9" i="2" s="1"/>
  <c r="AT16" i="4"/>
  <c r="BX9" i="2" s="1"/>
  <c r="AX16" i="4"/>
  <c r="CB9" i="2" s="1"/>
  <c r="BB16" i="4"/>
  <c r="CF9" i="2" s="1"/>
  <c r="BF16" i="4"/>
  <c r="CJ9" i="2" s="1"/>
  <c r="N17" i="4"/>
  <c r="AR10" i="2" s="1"/>
  <c r="R17" i="4"/>
  <c r="AV10" i="2" s="1"/>
  <c r="V17" i="4"/>
  <c r="AZ10" i="2" s="1"/>
  <c r="Z17" i="4"/>
  <c r="BD10" i="2" s="1"/>
  <c r="AD17" i="4"/>
  <c r="BH10" i="2" s="1"/>
  <c r="AH17" i="4"/>
  <c r="BL10" i="2" s="1"/>
  <c r="AL17" i="4"/>
  <c r="BP10" i="2" s="1"/>
  <c r="AP17" i="4"/>
  <c r="BT10" i="2" s="1"/>
  <c r="AT17" i="4"/>
  <c r="BX10" i="2" s="1"/>
  <c r="AX17" i="4"/>
  <c r="CB10" i="2" s="1"/>
  <c r="BB17" i="4"/>
  <c r="CF10" i="2" s="1"/>
  <c r="BF17" i="4"/>
  <c r="CJ10" i="2" s="1"/>
  <c r="N18" i="4"/>
  <c r="AR11" i="2" s="1"/>
  <c r="R18" i="4"/>
  <c r="AV11" i="2" s="1"/>
  <c r="V18" i="4"/>
  <c r="AZ11" i="2" s="1"/>
  <c r="Z18" i="4"/>
  <c r="BD11" i="2" s="1"/>
  <c r="AD18" i="4"/>
  <c r="BH11" i="2" s="1"/>
  <c r="AH18" i="4"/>
  <c r="BL11" i="2" s="1"/>
  <c r="AL18" i="4"/>
  <c r="BP11" i="2" s="1"/>
  <c r="AP18" i="4"/>
  <c r="BT11" i="2" s="1"/>
  <c r="AT18" i="4"/>
  <c r="BX11" i="2" s="1"/>
  <c r="AX18" i="4"/>
  <c r="CB11" i="2" s="1"/>
  <c r="BB18" i="4"/>
  <c r="CF11" i="2" s="1"/>
  <c r="BF18" i="4"/>
  <c r="CJ11" i="2" s="1"/>
  <c r="N19" i="4"/>
  <c r="AR12" i="2" s="1"/>
  <c r="R19" i="4"/>
  <c r="AV12" i="2" s="1"/>
  <c r="V19" i="4"/>
  <c r="AZ12" i="2" s="1"/>
  <c r="Z19" i="4"/>
  <c r="BD12" i="2" s="1"/>
  <c r="AD19" i="4"/>
  <c r="BH12" i="2" s="1"/>
  <c r="AH19" i="4"/>
  <c r="BL12" i="2" s="1"/>
  <c r="AL19" i="4"/>
  <c r="BP12" i="2" s="1"/>
  <c r="AP19" i="4"/>
  <c r="BT12" i="2" s="1"/>
  <c r="AT19" i="4"/>
  <c r="BX12" i="2" s="1"/>
  <c r="AX19" i="4"/>
  <c r="CB12" i="2" s="1"/>
  <c r="BB19" i="4"/>
  <c r="CF12" i="2" s="1"/>
  <c r="BF19" i="4"/>
  <c r="CJ12" i="2" s="1"/>
  <c r="N20" i="4"/>
  <c r="AR13" i="2" s="1"/>
  <c r="R20" i="4"/>
  <c r="AV13" i="2" s="1"/>
  <c r="V20" i="4"/>
  <c r="AZ13" i="2" s="1"/>
  <c r="Z20" i="4"/>
  <c r="BD13" i="2" s="1"/>
  <c r="AD20" i="4"/>
  <c r="BH13" i="2" s="1"/>
  <c r="AH20" i="4"/>
  <c r="BL13" i="2" s="1"/>
  <c r="AL20" i="4"/>
  <c r="BP13" i="2" s="1"/>
  <c r="G15" i="4"/>
  <c r="AK8" i="2" s="1"/>
  <c r="S147" i="2" s="1"/>
  <c r="H22" i="4"/>
  <c r="AL15" i="2" s="1"/>
  <c r="T154" i="2" s="1"/>
  <c r="J16" i="4"/>
  <c r="AN9" i="2" s="1"/>
  <c r="V148" i="2" s="1"/>
  <c r="G23" i="4"/>
  <c r="AK16" i="2" s="1"/>
  <c r="S155" i="2" s="1"/>
  <c r="Q12" i="4"/>
  <c r="AU5" i="2" s="1"/>
  <c r="AG12" i="4"/>
  <c r="BK5" i="2" s="1"/>
  <c r="AU12" i="4"/>
  <c r="BY5" i="2" s="1"/>
  <c r="BE12" i="4"/>
  <c r="CI5" i="2" s="1"/>
  <c r="U13" i="4"/>
  <c r="AY6" i="2" s="1"/>
  <c r="AE13" i="4"/>
  <c r="BI6" i="2" s="1"/>
  <c r="AO13" i="4"/>
  <c r="BS6" i="2" s="1"/>
  <c r="BA13" i="4"/>
  <c r="CE6" i="2" s="1"/>
  <c r="O14" i="4"/>
  <c r="AS7" i="2" s="1"/>
  <c r="Y14" i="4"/>
  <c r="BC7" i="2" s="1"/>
  <c r="AK14" i="4"/>
  <c r="BO7" i="2" s="1"/>
  <c r="AU14" i="4"/>
  <c r="BY7" i="2" s="1"/>
  <c r="BE14" i="4"/>
  <c r="CI7" i="2" s="1"/>
  <c r="U15" i="4"/>
  <c r="AY8" i="2" s="1"/>
  <c r="AE15" i="4"/>
  <c r="BI8" i="2" s="1"/>
  <c r="AL15" i="4"/>
  <c r="BP8" i="2" s="1"/>
  <c r="AT15" i="4"/>
  <c r="BX8" i="2" s="1"/>
  <c r="BA15" i="4"/>
  <c r="CE8" i="2" s="1"/>
  <c r="BG15" i="4"/>
  <c r="CK8" i="2" s="1"/>
  <c r="S16" i="4"/>
  <c r="AW9" i="2" s="1"/>
  <c r="X16" i="4"/>
  <c r="BB9" i="2" s="1"/>
  <c r="AC16" i="4"/>
  <c r="BG9" i="2" s="1"/>
  <c r="AI16" i="4"/>
  <c r="BM9" i="2" s="1"/>
  <c r="AN16" i="4"/>
  <c r="BR9" i="2" s="1"/>
  <c r="AS16" i="4"/>
  <c r="BW9" i="2" s="1"/>
  <c r="AY16" i="4"/>
  <c r="CC9" i="2" s="1"/>
  <c r="BD16" i="4"/>
  <c r="CH9" i="2" s="1"/>
  <c r="BI16" i="4"/>
  <c r="CM9" i="2" s="1"/>
  <c r="S17" i="4"/>
  <c r="AW10" i="2" s="1"/>
  <c r="X17" i="4"/>
  <c r="BB10" i="2" s="1"/>
  <c r="AC17" i="4"/>
  <c r="BG10" i="2" s="1"/>
  <c r="AI17" i="4"/>
  <c r="BM10" i="2" s="1"/>
  <c r="AN17" i="4"/>
  <c r="BR10" i="2" s="1"/>
  <c r="AS17" i="4"/>
  <c r="BW10" i="2" s="1"/>
  <c r="AY17" i="4"/>
  <c r="CC10" i="2" s="1"/>
  <c r="BD17" i="4"/>
  <c r="CH10" i="2" s="1"/>
  <c r="BI17" i="4"/>
  <c r="CM10" i="2" s="1"/>
  <c r="S18" i="4"/>
  <c r="AW11" i="2" s="1"/>
  <c r="X18" i="4"/>
  <c r="BB11" i="2" s="1"/>
  <c r="AC18" i="4"/>
  <c r="BG11" i="2" s="1"/>
  <c r="AI18" i="4"/>
  <c r="BM11" i="2" s="1"/>
  <c r="AN18" i="4"/>
  <c r="BR11" i="2" s="1"/>
  <c r="AS18" i="4"/>
  <c r="BW11" i="2" s="1"/>
  <c r="AY18" i="4"/>
  <c r="CC11" i="2" s="1"/>
  <c r="BD18" i="4"/>
  <c r="CH11" i="2" s="1"/>
  <c r="BI18" i="4"/>
  <c r="CM11" i="2" s="1"/>
  <c r="S19" i="4"/>
  <c r="AW12" i="2" s="1"/>
  <c r="X19" i="4"/>
  <c r="BB12" i="2" s="1"/>
  <c r="AC19" i="4"/>
  <c r="BG12" i="2" s="1"/>
  <c r="AI19" i="4"/>
  <c r="BM12" i="2" s="1"/>
  <c r="AN19" i="4"/>
  <c r="BR12" i="2" s="1"/>
  <c r="AS19" i="4"/>
  <c r="BW12" i="2" s="1"/>
  <c r="AY19" i="4"/>
  <c r="CC12" i="2" s="1"/>
  <c r="BD19" i="4"/>
  <c r="CH12" i="2" s="1"/>
  <c r="BI19" i="4"/>
  <c r="CM12" i="2" s="1"/>
  <c r="S20" i="4"/>
  <c r="AW13" i="2" s="1"/>
  <c r="X20" i="4"/>
  <c r="BB13" i="2" s="1"/>
  <c r="AC20" i="4"/>
  <c r="BG13" i="2" s="1"/>
  <c r="AI20" i="4"/>
  <c r="BM13" i="2" s="1"/>
  <c r="AN20" i="4"/>
  <c r="BR13" i="2" s="1"/>
  <c r="AR20" i="4"/>
  <c r="BV13" i="2" s="1"/>
  <c r="AV20" i="4"/>
  <c r="BZ13" i="2" s="1"/>
  <c r="AZ20" i="4"/>
  <c r="CD13" i="2" s="1"/>
  <c r="BD20" i="4"/>
  <c r="CH13" i="2" s="1"/>
  <c r="BH20" i="4"/>
  <c r="CL13" i="2" s="1"/>
  <c r="P21" i="4"/>
  <c r="AT14" i="2" s="1"/>
  <c r="T21" i="4"/>
  <c r="AX14" i="2" s="1"/>
  <c r="X21" i="4"/>
  <c r="BB14" i="2" s="1"/>
  <c r="AB21" i="4"/>
  <c r="BF14" i="2" s="1"/>
  <c r="AF21" i="4"/>
  <c r="BJ14" i="2" s="1"/>
  <c r="AJ21" i="4"/>
  <c r="BN14" i="2" s="1"/>
  <c r="AN21" i="4"/>
  <c r="BR14" i="2" s="1"/>
  <c r="AR21" i="4"/>
  <c r="BV14" i="2" s="1"/>
  <c r="AV21" i="4"/>
  <c r="BZ14" i="2" s="1"/>
  <c r="AZ21" i="4"/>
  <c r="CD14" i="2" s="1"/>
  <c r="BD21" i="4"/>
  <c r="CH14" i="2" s="1"/>
  <c r="BH21" i="4"/>
  <c r="CL14" i="2" s="1"/>
  <c r="P22" i="4"/>
  <c r="AT15" i="2" s="1"/>
  <c r="T22" i="4"/>
  <c r="AX15" i="2" s="1"/>
  <c r="X22" i="4"/>
  <c r="BB15" i="2" s="1"/>
  <c r="AB22" i="4"/>
  <c r="BF15" i="2" s="1"/>
  <c r="AF22" i="4"/>
  <c r="BJ15" i="2" s="1"/>
  <c r="M18" i="4"/>
  <c r="AQ11" i="2" s="1"/>
  <c r="O12" i="4"/>
  <c r="AS5" i="2" s="1"/>
  <c r="AK12" i="4"/>
  <c r="BO5" i="2" s="1"/>
  <c r="BA12" i="4"/>
  <c r="CE5" i="2" s="1"/>
  <c r="Q13" i="4"/>
  <c r="AU6" i="2" s="1"/>
  <c r="AG13" i="4"/>
  <c r="BK6" i="2" s="1"/>
  <c r="AU13" i="4"/>
  <c r="BY6" i="2" s="1"/>
  <c r="BI13" i="4"/>
  <c r="CM6" i="2" s="1"/>
  <c r="AC14" i="4"/>
  <c r="BG7" i="2" s="1"/>
  <c r="AO14" i="4"/>
  <c r="BS7" i="2" s="1"/>
  <c r="BC14" i="4"/>
  <c r="CG7" i="2" s="1"/>
  <c r="W15" i="4"/>
  <c r="BA8" i="2" s="1"/>
  <c r="AI15" i="4"/>
  <c r="BM8" i="2" s="1"/>
  <c r="AQ15" i="4"/>
  <c r="BU8" i="2" s="1"/>
  <c r="BB15" i="4"/>
  <c r="CF8" i="2" s="1"/>
  <c r="O16" i="4"/>
  <c r="AS9" i="2" s="1"/>
  <c r="W16" i="4"/>
  <c r="BA9" i="2" s="1"/>
  <c r="AE16" i="4"/>
  <c r="BI9" i="2" s="1"/>
  <c r="AK16" i="4"/>
  <c r="BO9" i="2" s="1"/>
  <c r="AR16" i="4"/>
  <c r="BV9" i="2" s="1"/>
  <c r="AZ16" i="4"/>
  <c r="CD9" i="2" s="1"/>
  <c r="BG16" i="4"/>
  <c r="CK9" i="2" s="1"/>
  <c r="Q17" i="4"/>
  <c r="AU10" i="2" s="1"/>
  <c r="Y17" i="4"/>
  <c r="BC10" i="2" s="1"/>
  <c r="AF17" i="4"/>
  <c r="BJ10" i="2" s="1"/>
  <c r="AM17" i="4"/>
  <c r="BQ10" i="2" s="1"/>
  <c r="AU17" i="4"/>
  <c r="BY10" i="2" s="1"/>
  <c r="BA17" i="4"/>
  <c r="CE10" i="2" s="1"/>
  <c r="BH17" i="4"/>
  <c r="CL10" i="2" s="1"/>
  <c r="T18" i="4"/>
  <c r="AX11" i="2" s="1"/>
  <c r="AA18" i="4"/>
  <c r="BE11" i="2" s="1"/>
  <c r="AG18" i="4"/>
  <c r="BK11" i="2" s="1"/>
  <c r="AO18" i="4"/>
  <c r="BS11" i="2" s="1"/>
  <c r="AV18" i="4"/>
  <c r="BZ11" i="2" s="1"/>
  <c r="BC18" i="4"/>
  <c r="CG11" i="2" s="1"/>
  <c r="O19" i="4"/>
  <c r="AS12" i="2" s="1"/>
  <c r="U19" i="4"/>
  <c r="AY12" i="2" s="1"/>
  <c r="AB19" i="4"/>
  <c r="BF12" i="2" s="1"/>
  <c r="AJ19" i="4"/>
  <c r="BN12" i="2" s="1"/>
  <c r="AQ19" i="4"/>
  <c r="BU12" i="2" s="1"/>
  <c r="AW19" i="4"/>
  <c r="CA12" i="2" s="1"/>
  <c r="BE19" i="4"/>
  <c r="CI12" i="2" s="1"/>
  <c r="P20" i="4"/>
  <c r="AT13" i="2" s="1"/>
  <c r="W20" i="4"/>
  <c r="BA13" i="2" s="1"/>
  <c r="AE20" i="4"/>
  <c r="BI13" i="2" s="1"/>
  <c r="AK20" i="4"/>
  <c r="BO13" i="2" s="1"/>
  <c r="AQ20" i="4"/>
  <c r="BU13" i="2" s="1"/>
  <c r="AW20" i="4"/>
  <c r="CA13" i="2" s="1"/>
  <c r="BB20" i="4"/>
  <c r="CF13" i="2" s="1"/>
  <c r="BG20" i="4"/>
  <c r="CK13" i="2" s="1"/>
  <c r="Q21" i="4"/>
  <c r="AU14" i="2" s="1"/>
  <c r="V21" i="4"/>
  <c r="AZ14" i="2" s="1"/>
  <c r="AA21" i="4"/>
  <c r="BE14" i="2" s="1"/>
  <c r="AG21" i="4"/>
  <c r="BK14" i="2" s="1"/>
  <c r="AL21" i="4"/>
  <c r="BP14" i="2" s="1"/>
  <c r="AQ21" i="4"/>
  <c r="BU14" i="2" s="1"/>
  <c r="AW21" i="4"/>
  <c r="CA14" i="2" s="1"/>
  <c r="BB21" i="4"/>
  <c r="CF14" i="2" s="1"/>
  <c r="BG21" i="4"/>
  <c r="CK14" i="2" s="1"/>
  <c r="Q22" i="4"/>
  <c r="AU15" i="2" s="1"/>
  <c r="V22" i="4"/>
  <c r="AZ15" i="2" s="1"/>
  <c r="AA22" i="4"/>
  <c r="BE15" i="2" s="1"/>
  <c r="AG22" i="4"/>
  <c r="BK15" i="2" s="1"/>
  <c r="AK22" i="4"/>
  <c r="BO15" i="2" s="1"/>
  <c r="AO22" i="4"/>
  <c r="BS15" i="2" s="1"/>
  <c r="AS22" i="4"/>
  <c r="BW15" i="2" s="1"/>
  <c r="AW22" i="4"/>
  <c r="CA15" i="2" s="1"/>
  <c r="BA22" i="4"/>
  <c r="CE15" i="2" s="1"/>
  <c r="BE22" i="4"/>
  <c r="CI15" i="2" s="1"/>
  <c r="BI22" i="4"/>
  <c r="CM15" i="2" s="1"/>
  <c r="Q23" i="4"/>
  <c r="AU16" i="2" s="1"/>
  <c r="U23" i="4"/>
  <c r="AY16" i="2" s="1"/>
  <c r="Y23" i="4"/>
  <c r="BC16" i="2" s="1"/>
  <c r="AC23" i="4"/>
  <c r="BG16" i="2" s="1"/>
  <c r="AG23" i="4"/>
  <c r="BK16" i="2" s="1"/>
  <c r="AK23" i="4"/>
  <c r="BO16" i="2" s="1"/>
  <c r="AO23" i="4"/>
  <c r="BS16" i="2" s="1"/>
  <c r="AS23" i="4"/>
  <c r="BW16" i="2" s="1"/>
  <c r="AW23" i="4"/>
  <c r="CA16" i="2" s="1"/>
  <c r="BA23" i="4"/>
  <c r="CE16" i="2" s="1"/>
  <c r="BE23" i="4"/>
  <c r="CI16" i="2" s="1"/>
  <c r="BI23" i="4"/>
  <c r="CM16" i="2" s="1"/>
  <c r="D15" i="4"/>
  <c r="AH8" i="2" s="1"/>
  <c r="D19" i="4"/>
  <c r="AH12" i="2" s="1"/>
  <c r="D23" i="4"/>
  <c r="AH16" i="2" s="1"/>
  <c r="C15" i="4"/>
  <c r="AG8" i="2" s="1"/>
  <c r="AC12" i="4"/>
  <c r="BG5" i="2" s="1"/>
  <c r="AW12" i="4"/>
  <c r="CA5" i="2" s="1"/>
  <c r="O13" i="4"/>
  <c r="AS6" i="2" s="1"/>
  <c r="AC13" i="4"/>
  <c r="BG6" i="2" s="1"/>
  <c r="AS13" i="4"/>
  <c r="BW6" i="2" s="1"/>
  <c r="BE13" i="4"/>
  <c r="CI6" i="2" s="1"/>
  <c r="W14" i="4"/>
  <c r="BA7" i="2" s="1"/>
  <c r="AM14" i="4"/>
  <c r="BQ7" i="2" s="1"/>
  <c r="BA14" i="4"/>
  <c r="CE7" i="2" s="1"/>
  <c r="Q15" i="4"/>
  <c r="AU8" i="2" s="1"/>
  <c r="AG15" i="4"/>
  <c r="BK8" i="2" s="1"/>
  <c r="AP15" i="4"/>
  <c r="BT8" i="2" s="1"/>
  <c r="AY15" i="4"/>
  <c r="CC8" i="2" s="1"/>
  <c r="N16" i="4"/>
  <c r="AR9" i="2" s="1"/>
  <c r="U16" i="4"/>
  <c r="AY9" i="2" s="1"/>
  <c r="AB16" i="4"/>
  <c r="BF9" i="2" s="1"/>
  <c r="AJ16" i="4"/>
  <c r="BN9" i="2" s="1"/>
  <c r="AQ16" i="4"/>
  <c r="BU9" i="2" s="1"/>
  <c r="AW16" i="4"/>
  <c r="CA9" i="2" s="1"/>
  <c r="BE16" i="4"/>
  <c r="CI9" i="2" s="1"/>
  <c r="P17" i="4"/>
  <c r="AT10" i="2" s="1"/>
  <c r="W17" i="4"/>
  <c r="BA10" i="2" s="1"/>
  <c r="AE17" i="4"/>
  <c r="BI10" i="2" s="1"/>
  <c r="AK17" i="4"/>
  <c r="BO10" i="2" s="1"/>
  <c r="AR17" i="4"/>
  <c r="BV10" i="2" s="1"/>
  <c r="AZ17" i="4"/>
  <c r="CD10" i="2" s="1"/>
  <c r="BG17" i="4"/>
  <c r="CK10" i="2" s="1"/>
  <c r="Q18" i="4"/>
  <c r="AU11" i="2" s="1"/>
  <c r="Y18" i="4"/>
  <c r="BC11" i="2" s="1"/>
  <c r="AF18" i="4"/>
  <c r="BJ11" i="2" s="1"/>
  <c r="AM18" i="4"/>
  <c r="BQ11" i="2" s="1"/>
  <c r="AU18" i="4"/>
  <c r="BY11" i="2" s="1"/>
  <c r="BA18" i="4"/>
  <c r="CE11" i="2" s="1"/>
  <c r="BH18" i="4"/>
  <c r="CL11" i="2" s="1"/>
  <c r="T19" i="4"/>
  <c r="AX12" i="2" s="1"/>
  <c r="AA19" i="4"/>
  <c r="BE12" i="2" s="1"/>
  <c r="AG19" i="4"/>
  <c r="BK12" i="2" s="1"/>
  <c r="AO19" i="4"/>
  <c r="BS12" i="2" s="1"/>
  <c r="AV19" i="4"/>
  <c r="BZ12" i="2" s="1"/>
  <c r="BC19" i="4"/>
  <c r="CG12" i="2" s="1"/>
  <c r="O20" i="4"/>
  <c r="AS13" i="2" s="1"/>
  <c r="U20" i="4"/>
  <c r="AY13" i="2" s="1"/>
  <c r="AB20" i="4"/>
  <c r="BF13" i="2" s="1"/>
  <c r="AJ20" i="4"/>
  <c r="BN13" i="2" s="1"/>
  <c r="AP20" i="4"/>
  <c r="BT13" i="2" s="1"/>
  <c r="AU20" i="4"/>
  <c r="BY13" i="2" s="1"/>
  <c r="BA20" i="4"/>
  <c r="CE13" i="2" s="1"/>
  <c r="BF20" i="4"/>
  <c r="CJ13" i="2" s="1"/>
  <c r="O21" i="4"/>
  <c r="AS14" i="2" s="1"/>
  <c r="U21" i="4"/>
  <c r="AY14" i="2" s="1"/>
  <c r="Z21" i="4"/>
  <c r="BD14" i="2" s="1"/>
  <c r="AE21" i="4"/>
  <c r="BI14" i="2" s="1"/>
  <c r="AK21" i="4"/>
  <c r="BO14" i="2" s="1"/>
  <c r="AP21" i="4"/>
  <c r="BT14" i="2" s="1"/>
  <c r="AU21" i="4"/>
  <c r="BY14" i="2" s="1"/>
  <c r="BA21" i="4"/>
  <c r="CE14" i="2" s="1"/>
  <c r="BF21" i="4"/>
  <c r="CJ14" i="2" s="1"/>
  <c r="O22" i="4"/>
  <c r="AS15" i="2" s="1"/>
  <c r="U22" i="4"/>
  <c r="AY15" i="2" s="1"/>
  <c r="Z22" i="4"/>
  <c r="BD15" i="2" s="1"/>
  <c r="AE22" i="4"/>
  <c r="BI15" i="2" s="1"/>
  <c r="AJ22" i="4"/>
  <c r="BN15" i="2" s="1"/>
  <c r="AN22" i="4"/>
  <c r="BR15" i="2" s="1"/>
  <c r="AR22" i="4"/>
  <c r="BV15" i="2" s="1"/>
  <c r="AV22" i="4"/>
  <c r="BZ15" i="2" s="1"/>
  <c r="AZ22" i="4"/>
  <c r="CD15" i="2" s="1"/>
  <c r="BD22" i="4"/>
  <c r="CH15" i="2" s="1"/>
  <c r="BH22" i="4"/>
  <c r="CL15" i="2" s="1"/>
  <c r="P23" i="4"/>
  <c r="AT16" i="2" s="1"/>
  <c r="T23" i="4"/>
  <c r="AX16" i="2" s="1"/>
  <c r="X23" i="4"/>
  <c r="BB16" i="2" s="1"/>
  <c r="AB23" i="4"/>
  <c r="BF16" i="2" s="1"/>
  <c r="AF23" i="4"/>
  <c r="BJ16" i="2" s="1"/>
  <c r="AJ23" i="4"/>
  <c r="BN16" i="2" s="1"/>
  <c r="AN23" i="4"/>
  <c r="BR16" i="2" s="1"/>
  <c r="AR23" i="4"/>
  <c r="BV16" i="2" s="1"/>
  <c r="AV23" i="4"/>
  <c r="BZ16" i="2" s="1"/>
  <c r="AZ23" i="4"/>
  <c r="CD16" i="2" s="1"/>
  <c r="BD23" i="4"/>
  <c r="CH16" i="2" s="1"/>
  <c r="BH23" i="4"/>
  <c r="CL16" i="2" s="1"/>
  <c r="D14" i="4"/>
  <c r="AH7" i="2" s="1"/>
  <c r="D18" i="4"/>
  <c r="AH11" i="2" s="1"/>
  <c r="D22" i="4"/>
  <c r="AH15" i="2" s="1"/>
  <c r="D17" i="4"/>
  <c r="AH10" i="2" s="1"/>
  <c r="BG23" i="4"/>
  <c r="CK16" i="2" s="1"/>
  <c r="AY23" i="4"/>
  <c r="CC16" i="2" s="1"/>
  <c r="AQ23" i="4"/>
  <c r="BU16" i="2" s="1"/>
  <c r="AI23" i="4"/>
  <c r="BM16" i="2" s="1"/>
  <c r="AA23" i="4"/>
  <c r="BE16" i="2" s="1"/>
  <c r="S23" i="4"/>
  <c r="AW16" i="2" s="1"/>
  <c r="BG22" i="4"/>
  <c r="CK15" i="2" s="1"/>
  <c r="AY22" i="4"/>
  <c r="CC15" i="2" s="1"/>
  <c r="AQ22" i="4"/>
  <c r="BU15" i="2" s="1"/>
  <c r="AI22" i="4"/>
  <c r="BM15" i="2" s="1"/>
  <c r="Y22" i="4"/>
  <c r="BC15" i="2" s="1"/>
  <c r="N22" i="4"/>
  <c r="AR15" i="2" s="1"/>
  <c r="AY21" i="4"/>
  <c r="CC14" i="2" s="1"/>
  <c r="AO21" i="4"/>
  <c r="BS14" i="2" s="1"/>
  <c r="AD21" i="4"/>
  <c r="BH14" i="2" s="1"/>
  <c r="S21" i="4"/>
  <c r="AW14" i="2" s="1"/>
  <c r="BE20" i="4"/>
  <c r="CI13" i="2" s="1"/>
  <c r="AT20" i="4"/>
  <c r="BX13" i="2" s="1"/>
  <c r="AG20" i="4"/>
  <c r="BK13" i="2" s="1"/>
  <c r="T20" i="4"/>
  <c r="AX13" i="2" s="1"/>
  <c r="BA19" i="4"/>
  <c r="CE12" i="2" s="1"/>
  <c r="AM19" i="4"/>
  <c r="BQ12" i="2" s="1"/>
  <c r="Y19" i="4"/>
  <c r="BC12" i="2" s="1"/>
  <c r="BG18" i="4"/>
  <c r="CK11" i="2" s="1"/>
  <c r="AR18" i="4"/>
  <c r="BV11" i="2" s="1"/>
  <c r="AE18" i="4"/>
  <c r="BI11" i="2" s="1"/>
  <c r="P18" i="4"/>
  <c r="AT11" i="2" s="1"/>
  <c r="AW17" i="4"/>
  <c r="CA10" i="2" s="1"/>
  <c r="AJ17" i="4"/>
  <c r="BN10" i="2" s="1"/>
  <c r="U17" i="4"/>
  <c r="AY10" i="2" s="1"/>
  <c r="BC16" i="4"/>
  <c r="CG9" i="2" s="1"/>
  <c r="AO16" i="4"/>
  <c r="BS9" i="2" s="1"/>
  <c r="AA16" i="4"/>
  <c r="BE9" i="2" s="1"/>
  <c r="BF15" i="4"/>
  <c r="CJ8" i="2" s="1"/>
  <c r="AO15" i="4"/>
  <c r="BS8" i="2" s="1"/>
  <c r="O15" i="4"/>
  <c r="AS8" i="2" s="1"/>
  <c r="AG14" i="4"/>
  <c r="BK7" i="2" s="1"/>
  <c r="BC13" i="4"/>
  <c r="CG6" i="2" s="1"/>
  <c r="Y13" i="4"/>
  <c r="BC6" i="2" s="1"/>
  <c r="AS12" i="4"/>
  <c r="BW5" i="2" s="1"/>
  <c r="F20" i="4"/>
  <c r="AJ13" i="2" s="1"/>
  <c r="R152" i="2" s="1"/>
  <c r="D473" i="2"/>
  <c r="D11" i="2"/>
  <c r="D281" i="2" s="1"/>
  <c r="D283" i="2" s="1"/>
  <c r="E713" i="2"/>
  <c r="H13" i="4"/>
  <c r="AL6" i="2" s="1"/>
  <c r="T145" i="2" s="1"/>
  <c r="E13" i="4"/>
  <c r="AI6" i="2" s="1"/>
  <c r="Q145" i="2" s="1"/>
  <c r="F13" i="4"/>
  <c r="AJ6" i="2" s="1"/>
  <c r="R145" i="2" s="1"/>
  <c r="E14" i="4"/>
  <c r="AI7" i="2" s="1"/>
  <c r="Q146" i="2" s="1"/>
  <c r="I14" i="4"/>
  <c r="AM7" i="2" s="1"/>
  <c r="U146" i="2" s="1"/>
  <c r="L15" i="4"/>
  <c r="AP8" i="2" s="1"/>
  <c r="P147" i="2" s="1"/>
  <c r="H15" i="4"/>
  <c r="AL8" i="2" s="1"/>
  <c r="T147" i="2" s="1"/>
  <c r="M15" i="4"/>
  <c r="AQ8" i="2" s="1"/>
  <c r="X147" i="2" s="1"/>
  <c r="G16" i="4"/>
  <c r="AK9" i="2" s="1"/>
  <c r="S148" i="2" s="1"/>
  <c r="K16" i="4"/>
  <c r="AO9" i="2" s="1"/>
  <c r="W148" i="2" s="1"/>
  <c r="F17" i="4"/>
  <c r="AJ10" i="2" s="1"/>
  <c r="R149" i="2" s="1"/>
  <c r="J17" i="4"/>
  <c r="AN10" i="2" s="1"/>
  <c r="V149" i="2" s="1"/>
  <c r="E18" i="4"/>
  <c r="AI11" i="2" s="1"/>
  <c r="Q150" i="2" s="1"/>
  <c r="I18" i="4"/>
  <c r="AM11" i="2" s="1"/>
  <c r="U150" i="2" s="1"/>
  <c r="L19" i="4"/>
  <c r="AP12" i="2" s="1"/>
  <c r="P151" i="2" s="1"/>
  <c r="H19" i="4"/>
  <c r="AL12" i="2" s="1"/>
  <c r="T151" i="2" s="1"/>
  <c r="M19" i="4"/>
  <c r="G20" i="4"/>
  <c r="AK13" i="2" s="1"/>
  <c r="S152" i="2" s="1"/>
  <c r="K20" i="4"/>
  <c r="AO13" i="2" s="1"/>
  <c r="W152" i="2" s="1"/>
  <c r="F21" i="4"/>
  <c r="AJ14" i="2" s="1"/>
  <c r="R153" i="2" s="1"/>
  <c r="J21" i="4"/>
  <c r="AN14" i="2" s="1"/>
  <c r="V153" i="2" s="1"/>
  <c r="E22" i="4"/>
  <c r="AI15" i="2" s="1"/>
  <c r="Q154" i="2" s="1"/>
  <c r="I22" i="4"/>
  <c r="AM15" i="2" s="1"/>
  <c r="U154" i="2" s="1"/>
  <c r="L23" i="4"/>
  <c r="AP16" i="2" s="1"/>
  <c r="P155" i="2" s="1"/>
  <c r="H23" i="4"/>
  <c r="AL16" i="2" s="1"/>
  <c r="T155" i="2" s="1"/>
  <c r="M23" i="4"/>
  <c r="G12" i="4"/>
  <c r="AK5" i="2" s="1"/>
  <c r="S144" i="2" s="1"/>
  <c r="K12" i="4"/>
  <c r="AO5" i="2" s="1"/>
  <c r="W144" i="2" s="1"/>
  <c r="C16" i="4"/>
  <c r="AG9" i="2" s="1"/>
  <c r="E652" i="2" s="1"/>
  <c r="C20" i="4"/>
  <c r="AG13" i="2" s="1"/>
  <c r="P12" i="4"/>
  <c r="AT5" i="2" s="1"/>
  <c r="T12" i="4"/>
  <c r="AX5" i="2" s="1"/>
  <c r="X12" i="4"/>
  <c r="BB5" i="2" s="1"/>
  <c r="AB12" i="4"/>
  <c r="BF5" i="2" s="1"/>
  <c r="AF12" i="4"/>
  <c r="BJ5" i="2" s="1"/>
  <c r="AJ12" i="4"/>
  <c r="BN5" i="2" s="1"/>
  <c r="AN12" i="4"/>
  <c r="BR5" i="2" s="1"/>
  <c r="AR12" i="4"/>
  <c r="BV5" i="2" s="1"/>
  <c r="AV12" i="4"/>
  <c r="BZ5" i="2" s="1"/>
  <c r="AZ12" i="4"/>
  <c r="CD5" i="2" s="1"/>
  <c r="BD12" i="4"/>
  <c r="CH5" i="2" s="1"/>
  <c r="BH12" i="4"/>
  <c r="CL5" i="2" s="1"/>
  <c r="P13" i="4"/>
  <c r="AT6" i="2" s="1"/>
  <c r="T13" i="4"/>
  <c r="AX6" i="2" s="1"/>
  <c r="X13" i="4"/>
  <c r="BB6" i="2" s="1"/>
  <c r="AB13" i="4"/>
  <c r="BF6" i="2" s="1"/>
  <c r="AF13" i="4"/>
  <c r="BJ6" i="2" s="1"/>
  <c r="AJ13" i="4"/>
  <c r="BN6" i="2" s="1"/>
  <c r="AN13" i="4"/>
  <c r="BR6" i="2" s="1"/>
  <c r="AR13" i="4"/>
  <c r="BV6" i="2" s="1"/>
  <c r="AV13" i="4"/>
  <c r="BZ6" i="2" s="1"/>
  <c r="AZ13" i="4"/>
  <c r="CD6" i="2" s="1"/>
  <c r="BD13" i="4"/>
  <c r="CH6" i="2" s="1"/>
  <c r="BH13" i="4"/>
  <c r="CL6" i="2" s="1"/>
  <c r="P14" i="4"/>
  <c r="AT7" i="2" s="1"/>
  <c r="T14" i="4"/>
  <c r="AX7" i="2" s="1"/>
  <c r="X14" i="4"/>
  <c r="BB7" i="2" s="1"/>
  <c r="AB14" i="4"/>
  <c r="BF7" i="2" s="1"/>
  <c r="AF14" i="4"/>
  <c r="BJ7" i="2" s="1"/>
  <c r="AJ14" i="4"/>
  <c r="BN7" i="2" s="1"/>
  <c r="AN14" i="4"/>
  <c r="BR7" i="2" s="1"/>
  <c r="AR14" i="4"/>
  <c r="BV7" i="2" s="1"/>
  <c r="AV14" i="4"/>
  <c r="BZ7" i="2" s="1"/>
  <c r="AZ14" i="4"/>
  <c r="CD7" i="2" s="1"/>
  <c r="BD14" i="4"/>
  <c r="CH7" i="2" s="1"/>
  <c r="BH14" i="4"/>
  <c r="CL7" i="2" s="1"/>
  <c r="P15" i="4"/>
  <c r="AT8" i="2" s="1"/>
  <c r="T15" i="4"/>
  <c r="AX8" i="2" s="1"/>
  <c r="X15" i="4"/>
  <c r="BB8" i="2" s="1"/>
  <c r="AB15" i="4"/>
  <c r="BF8" i="2" s="1"/>
  <c r="AF15" i="4"/>
  <c r="BJ8" i="2" s="1"/>
  <c r="AJ15" i="4"/>
  <c r="BN8" i="2" s="1"/>
  <c r="AN15" i="4"/>
  <c r="BR8" i="2" s="1"/>
  <c r="AR15" i="4"/>
  <c r="BV8" i="2" s="1"/>
  <c r="AV15" i="4"/>
  <c r="BZ8" i="2" s="1"/>
  <c r="AZ15" i="4"/>
  <c r="CD8" i="2" s="1"/>
  <c r="BD15" i="4"/>
  <c r="CH8" i="2" s="1"/>
  <c r="BH15" i="4"/>
  <c r="CL8" i="2" s="1"/>
  <c r="P16" i="4"/>
  <c r="AT9" i="2" s="1"/>
  <c r="K13" i="4"/>
  <c r="AO6" i="2" s="1"/>
  <c r="W145" i="2" s="1"/>
  <c r="M13" i="4"/>
  <c r="AQ6" i="2" s="1"/>
  <c r="F14" i="4"/>
  <c r="AJ7" i="2" s="1"/>
  <c r="R146" i="2" s="1"/>
  <c r="J14" i="4"/>
  <c r="AN7" i="2" s="1"/>
  <c r="V146" i="2" s="1"/>
  <c r="E15" i="4"/>
  <c r="I15" i="4"/>
  <c r="AM8" i="2" s="1"/>
  <c r="U147" i="2" s="1"/>
  <c r="L16" i="4"/>
  <c r="AP9" i="2" s="1"/>
  <c r="P148" i="2" s="1"/>
  <c r="H16" i="4"/>
  <c r="AL9" i="2" s="1"/>
  <c r="T148" i="2" s="1"/>
  <c r="M16" i="4"/>
  <c r="AQ9" i="2" s="1"/>
  <c r="G17" i="4"/>
  <c r="AK10" i="2" s="1"/>
  <c r="S149" i="2" s="1"/>
  <c r="K17" i="4"/>
  <c r="AO10" i="2" s="1"/>
  <c r="W149" i="2" s="1"/>
  <c r="F18" i="4"/>
  <c r="AJ11" i="2" s="1"/>
  <c r="R150" i="2" s="1"/>
  <c r="J18" i="4"/>
  <c r="AN11" i="2" s="1"/>
  <c r="V150" i="2" s="1"/>
  <c r="E19" i="4"/>
  <c r="AI12" i="2" s="1"/>
  <c r="Q151" i="2" s="1"/>
  <c r="I19" i="4"/>
  <c r="AM12" i="2" s="1"/>
  <c r="U151" i="2" s="1"/>
  <c r="L20" i="4"/>
  <c r="AP13" i="2" s="1"/>
  <c r="P152" i="2" s="1"/>
  <c r="H20" i="4"/>
  <c r="AL13" i="2" s="1"/>
  <c r="T152" i="2" s="1"/>
  <c r="M20" i="4"/>
  <c r="AQ13" i="2" s="1"/>
  <c r="X152" i="2" s="1"/>
  <c r="G21" i="4"/>
  <c r="AK14" i="2" s="1"/>
  <c r="S153" i="2" s="1"/>
  <c r="K21" i="4"/>
  <c r="AO14" i="2" s="1"/>
  <c r="W153" i="2" s="1"/>
  <c r="F22" i="4"/>
  <c r="AJ15" i="2" s="1"/>
  <c r="R154" i="2" s="1"/>
  <c r="J22" i="4"/>
  <c r="AN15" i="2" s="1"/>
  <c r="V154" i="2" s="1"/>
  <c r="E23" i="4"/>
  <c r="AI16" i="2" s="1"/>
  <c r="Q155" i="2" s="1"/>
  <c r="I23" i="4"/>
  <c r="AM16" i="2" s="1"/>
  <c r="U155" i="2" s="1"/>
  <c r="L12" i="4"/>
  <c r="AP5" i="2" s="1"/>
  <c r="P144" i="2" s="1"/>
  <c r="H12" i="4"/>
  <c r="AL5" i="2" s="1"/>
  <c r="T144" i="2" s="1"/>
  <c r="M12" i="4"/>
  <c r="AQ5" i="2" s="1"/>
  <c r="X144" i="2" s="1"/>
  <c r="C13" i="4"/>
  <c r="AG6" i="2" s="1"/>
  <c r="C17" i="4"/>
  <c r="AG10" i="2" s="1"/>
  <c r="E631" i="2" s="1"/>
  <c r="C21" i="4"/>
  <c r="AG14" i="2" s="1"/>
  <c r="E635" i="2" s="1"/>
  <c r="I13" i="4"/>
  <c r="AM6" i="2" s="1"/>
  <c r="U145" i="2" s="1"/>
  <c r="G14" i="4"/>
  <c r="AK7" i="2" s="1"/>
  <c r="S146" i="2" s="1"/>
  <c r="K14" i="4"/>
  <c r="AO7" i="2" s="1"/>
  <c r="W146" i="2" s="1"/>
  <c r="F15" i="4"/>
  <c r="AJ8" i="2" s="1"/>
  <c r="R147" i="2" s="1"/>
  <c r="J15" i="4"/>
  <c r="AN8" i="2" s="1"/>
  <c r="V147" i="2" s="1"/>
  <c r="E16" i="4"/>
  <c r="I16" i="4"/>
  <c r="AM9" i="2" s="1"/>
  <c r="U148" i="2" s="1"/>
  <c r="L17" i="4"/>
  <c r="AP10" i="2" s="1"/>
  <c r="P149" i="2" s="1"/>
  <c r="H17" i="4"/>
  <c r="AL10" i="2" s="1"/>
  <c r="T149" i="2" s="1"/>
  <c r="M17" i="4"/>
  <c r="G18" i="4"/>
  <c r="AK11" i="2" s="1"/>
  <c r="S150" i="2" s="1"/>
  <c r="K18" i="4"/>
  <c r="AO11" i="2" s="1"/>
  <c r="W150" i="2" s="1"/>
  <c r="F19" i="4"/>
  <c r="AJ12" i="2" s="1"/>
  <c r="R151" i="2" s="1"/>
  <c r="J19" i="4"/>
  <c r="AN12" i="2" s="1"/>
  <c r="V151" i="2" s="1"/>
  <c r="E20" i="4"/>
  <c r="AI13" i="2" s="1"/>
  <c r="Q152" i="2" s="1"/>
  <c r="I20" i="4"/>
  <c r="AM13" i="2" s="1"/>
  <c r="U152" i="2" s="1"/>
  <c r="L21" i="4"/>
  <c r="AP14" i="2" s="1"/>
  <c r="P153" i="2" s="1"/>
  <c r="H21" i="4"/>
  <c r="AL14" i="2" s="1"/>
  <c r="T153" i="2" s="1"/>
  <c r="M21" i="4"/>
  <c r="AQ14" i="2" s="1"/>
  <c r="X153" i="2" s="1"/>
  <c r="G22" i="4"/>
  <c r="AK15" i="2" s="1"/>
  <c r="S154" i="2" s="1"/>
  <c r="K22" i="4"/>
  <c r="AO15" i="2" s="1"/>
  <c r="W154" i="2" s="1"/>
  <c r="F23" i="4"/>
  <c r="AJ16" i="2" s="1"/>
  <c r="R155" i="2" s="1"/>
  <c r="J23" i="4"/>
  <c r="AN16" i="2" s="1"/>
  <c r="V155" i="2" s="1"/>
  <c r="E12" i="4"/>
  <c r="AI5" i="2" s="1"/>
  <c r="Q144" i="2" s="1"/>
  <c r="I12" i="4"/>
  <c r="AM5" i="2" s="1"/>
  <c r="U144" i="2" s="1"/>
  <c r="C14" i="4"/>
  <c r="AG7" i="2" s="1"/>
  <c r="C18" i="4"/>
  <c r="AG11" i="2" s="1"/>
  <c r="C22" i="4"/>
  <c r="AG15" i="2" s="1"/>
  <c r="N12" i="4"/>
  <c r="AR5" i="2" s="1"/>
  <c r="R12" i="4"/>
  <c r="AV5" i="2" s="1"/>
  <c r="V12" i="4"/>
  <c r="AZ5" i="2" s="1"/>
  <c r="Z12" i="4"/>
  <c r="BD5" i="2" s="1"/>
  <c r="AD12" i="4"/>
  <c r="BH5" i="2" s="1"/>
  <c r="AH12" i="4"/>
  <c r="BL5" i="2" s="1"/>
  <c r="AL12" i="4"/>
  <c r="BP5" i="2" s="1"/>
  <c r="AP12" i="4"/>
  <c r="BT5" i="2" s="1"/>
  <c r="AT12" i="4"/>
  <c r="BX5" i="2" s="1"/>
  <c r="AX12" i="4"/>
  <c r="CB5" i="2" s="1"/>
  <c r="BB12" i="4"/>
  <c r="CF5" i="2" s="1"/>
  <c r="BF12" i="4"/>
  <c r="CJ5" i="2" s="1"/>
  <c r="N13" i="4"/>
  <c r="AR6" i="2" s="1"/>
  <c r="R13" i="4"/>
  <c r="AV6" i="2" s="1"/>
  <c r="V13" i="4"/>
  <c r="AZ6" i="2" s="1"/>
  <c r="Z13" i="4"/>
  <c r="BD6" i="2" s="1"/>
  <c r="AD13" i="4"/>
  <c r="BH6" i="2" s="1"/>
  <c r="AH13" i="4"/>
  <c r="BL6" i="2" s="1"/>
  <c r="AL13" i="4"/>
  <c r="BP6" i="2" s="1"/>
  <c r="AP13" i="4"/>
  <c r="BT6" i="2" s="1"/>
  <c r="AT13" i="4"/>
  <c r="BX6" i="2" s="1"/>
  <c r="AX13" i="4"/>
  <c r="CB6" i="2" s="1"/>
  <c r="BB13" i="4"/>
  <c r="CF6" i="2" s="1"/>
  <c r="BF13" i="4"/>
  <c r="CJ6" i="2" s="1"/>
  <c r="N14" i="4"/>
  <c r="AR7" i="2" s="1"/>
  <c r="R14" i="4"/>
  <c r="AV7" i="2" s="1"/>
  <c r="V14" i="4"/>
  <c r="AZ7" i="2" s="1"/>
  <c r="Z14" i="4"/>
  <c r="BD7" i="2" s="1"/>
  <c r="AD14" i="4"/>
  <c r="BH7" i="2" s="1"/>
  <c r="AH14" i="4"/>
  <c r="BL7" i="2" s="1"/>
  <c r="AL14" i="4"/>
  <c r="BP7" i="2" s="1"/>
  <c r="AP14" i="4"/>
  <c r="BT7" i="2" s="1"/>
  <c r="AT14" i="4"/>
  <c r="BX7" i="2" s="1"/>
  <c r="AX14" i="4"/>
  <c r="CB7" i="2" s="1"/>
  <c r="BB14" i="4"/>
  <c r="CF7" i="2" s="1"/>
  <c r="BF14" i="4"/>
  <c r="CJ7" i="2" s="1"/>
  <c r="N15" i="4"/>
  <c r="AR8" i="2" s="1"/>
  <c r="R15" i="4"/>
  <c r="AV8" i="2" s="1"/>
  <c r="V15" i="4"/>
  <c r="AZ8" i="2" s="1"/>
  <c r="Z15" i="4"/>
  <c r="BD8" i="2" s="1"/>
  <c r="AD15" i="4"/>
  <c r="BH8" i="2" s="1"/>
  <c r="D249" i="2"/>
  <c r="F249" i="2" s="1"/>
  <c r="F262" i="2" s="1"/>
  <c r="I21" i="4"/>
  <c r="AM14" i="2" s="1"/>
  <c r="U153" i="2" s="1"/>
  <c r="K19" i="4"/>
  <c r="AO12" i="2" s="1"/>
  <c r="W151" i="2" s="1"/>
  <c r="L18" i="4"/>
  <c r="AP11" i="2" s="1"/>
  <c r="P150" i="2" s="1"/>
  <c r="F16" i="4"/>
  <c r="AJ9" i="2" s="1"/>
  <c r="R148" i="2" s="1"/>
  <c r="H14" i="4"/>
  <c r="AL7" i="2" s="1"/>
  <c r="T146" i="2" s="1"/>
  <c r="D248" i="2"/>
  <c r="F248" i="2" s="1"/>
  <c r="F261" i="2" s="1"/>
  <c r="AQ12" i="4"/>
  <c r="BU5" i="2" s="1"/>
  <c r="AI12" i="4"/>
  <c r="BM5" i="2" s="1"/>
  <c r="AA12" i="4"/>
  <c r="BE5" i="2" s="1"/>
  <c r="S12" i="4"/>
  <c r="AW5" i="2" s="1"/>
  <c r="C23" i="4"/>
  <c r="AG16" i="2" s="1"/>
  <c r="J12" i="4"/>
  <c r="AN5" i="2" s="1"/>
  <c r="V144" i="2" s="1"/>
  <c r="M22" i="4"/>
  <c r="AQ15" i="2" s="1"/>
  <c r="E21" i="4"/>
  <c r="AI14" i="2" s="1"/>
  <c r="Q153" i="2" s="1"/>
  <c r="G19" i="4"/>
  <c r="AK12" i="2" s="1"/>
  <c r="S151" i="2" s="1"/>
  <c r="I17" i="4"/>
  <c r="AM10" i="2" s="1"/>
  <c r="U149" i="2" s="1"/>
  <c r="K15" i="4"/>
  <c r="AO8" i="2" s="1"/>
  <c r="W147" i="2" s="1"/>
  <c r="L14" i="4"/>
  <c r="AP7" i="2" s="1"/>
  <c r="P146" i="2" s="1"/>
  <c r="D730" i="2"/>
  <c r="E730" i="2"/>
  <c r="E47" i="2"/>
  <c r="E49" i="2" s="1"/>
  <c r="I49" i="2" s="1"/>
  <c r="D289" i="2"/>
  <c r="D288" i="2"/>
  <c r="G300" i="2" s="1"/>
  <c r="L78" i="2"/>
  <c r="H713" i="2"/>
  <c r="D43" i="2"/>
  <c r="G13" i="4"/>
  <c r="AK6" i="2" s="1"/>
  <c r="S145" i="2" s="1"/>
  <c r="D42" i="2"/>
  <c r="L13" i="4"/>
  <c r="AP6" i="2" s="1"/>
  <c r="P145" i="2" s="1"/>
  <c r="H733" i="2"/>
  <c r="H731" i="2"/>
  <c r="H732" i="2"/>
  <c r="H735" i="2"/>
  <c r="H738" i="2"/>
  <c r="H740" i="2"/>
  <c r="H734" i="2"/>
  <c r="H737" i="2"/>
  <c r="H742" i="2"/>
  <c r="H739" i="2"/>
  <c r="H736" i="2"/>
  <c r="D219" i="2"/>
  <c r="F219" i="2" s="1"/>
  <c r="F232" i="2" s="1"/>
  <c r="D220" i="2"/>
  <c r="F220" i="2" s="1"/>
  <c r="F233" i="2" s="1"/>
  <c r="D218" i="2"/>
  <c r="D225" i="2"/>
  <c r="F225" i="2" s="1"/>
  <c r="F238" i="2" s="1"/>
  <c r="D226" i="2"/>
  <c r="F226" i="2" s="1"/>
  <c r="F239" i="2" s="1"/>
  <c r="D227" i="2"/>
  <c r="F227" i="2" s="1"/>
  <c r="F240" i="2" s="1"/>
  <c r="D228" i="2"/>
  <c r="F228" i="2" s="1"/>
  <c r="F241" i="2" s="1"/>
  <c r="D229" i="2"/>
  <c r="F229" i="2" s="1"/>
  <c r="F242" i="2" s="1"/>
  <c r="F621" i="2"/>
  <c r="F648" i="2" s="1"/>
  <c r="D251" i="2"/>
  <c r="F251" i="2" s="1"/>
  <c r="F264" i="2" s="1"/>
  <c r="D252" i="2"/>
  <c r="F252" i="2" s="1"/>
  <c r="F265" i="2" s="1"/>
  <c r="D253" i="2"/>
  <c r="F253" i="2" s="1"/>
  <c r="F266" i="2" s="1"/>
  <c r="D254" i="2"/>
  <c r="F254" i="2" s="1"/>
  <c r="F267" i="2" s="1"/>
  <c r="D255" i="2"/>
  <c r="F255" i="2" s="1"/>
  <c r="F268" i="2" s="1"/>
  <c r="D256" i="2"/>
  <c r="F256" i="2" s="1"/>
  <c r="F269" i="2" s="1"/>
  <c r="D246" i="2"/>
  <c r="F246" i="2" s="1"/>
  <c r="F259" i="2" s="1"/>
  <c r="D224" i="2"/>
  <c r="F224" i="2" s="1"/>
  <c r="F237" i="2" s="1"/>
  <c r="D223" i="2"/>
  <c r="F223" i="2" s="1"/>
  <c r="F236" i="2" s="1"/>
  <c r="D222" i="2"/>
  <c r="F222" i="2" s="1"/>
  <c r="F235" i="2" s="1"/>
  <c r="D221" i="2"/>
  <c r="F221" i="2" s="1"/>
  <c r="F234" i="2" s="1"/>
  <c r="AP766" i="2"/>
  <c r="D257" i="2"/>
  <c r="F257" i="2" s="1"/>
  <c r="F270" i="2" s="1"/>
  <c r="D772" i="2"/>
  <c r="D8" i="2"/>
  <c r="E16" i="2" s="1"/>
  <c r="I643" i="2"/>
  <c r="G8" i="2"/>
  <c r="E15" i="2" s="1"/>
  <c r="J13" i="4"/>
  <c r="AN6" i="2" s="1"/>
  <c r="V145" i="2" s="1"/>
  <c r="D302" i="2"/>
  <c r="D303" i="2" s="1"/>
  <c r="I85" i="2" l="1"/>
  <c r="I128" i="2" s="1"/>
  <c r="I129" i="2" s="1"/>
  <c r="I135" i="2" s="1"/>
  <c r="I148" i="2" s="1"/>
  <c r="I73" i="2"/>
  <c r="AG117" i="2" s="1"/>
  <c r="F74" i="2"/>
  <c r="F117" i="2" s="1"/>
  <c r="G85" i="2"/>
  <c r="G128" i="2" s="1"/>
  <c r="G129" i="2" s="1"/>
  <c r="G135" i="2" s="1"/>
  <c r="G145" i="2" s="1"/>
  <c r="G74" i="2"/>
  <c r="G117" i="2" s="1"/>
  <c r="J74" i="2"/>
  <c r="J117" i="2" s="1"/>
  <c r="AG125" i="2"/>
  <c r="E85" i="2"/>
  <c r="E128" i="2" s="1"/>
  <c r="E129" i="2" s="1"/>
  <c r="E135" i="2" s="1"/>
  <c r="H73" i="2"/>
  <c r="AF117" i="2" s="1"/>
  <c r="F85" i="2"/>
  <c r="F128" i="2" s="1"/>
  <c r="F129" i="2" s="1"/>
  <c r="F135" i="2" s="1"/>
  <c r="AC125" i="2"/>
  <c r="F73" i="2"/>
  <c r="AD117" i="2" s="1"/>
  <c r="J85" i="2"/>
  <c r="J128" i="2" s="1"/>
  <c r="J129" i="2" s="1"/>
  <c r="J135" i="2" s="1"/>
  <c r="J145" i="2" s="1"/>
  <c r="D74" i="2"/>
  <c r="D79" i="2" s="1"/>
  <c r="G100" i="2"/>
  <c r="AE123" i="2" s="1"/>
  <c r="AE124" i="2" s="1"/>
  <c r="AB125" i="2"/>
  <c r="G73" i="2"/>
  <c r="AE117" i="2" s="1"/>
  <c r="F100" i="2"/>
  <c r="AD123" i="2" s="1"/>
  <c r="AD124" i="2" s="1"/>
  <c r="D85" i="2"/>
  <c r="D128" i="2" s="1"/>
  <c r="D129" i="2" s="1"/>
  <c r="D135" i="2" s="1"/>
  <c r="D154" i="2" s="1"/>
  <c r="D100" i="2"/>
  <c r="AB123" i="2" s="1"/>
  <c r="AB124" i="2" s="1"/>
  <c r="H74" i="2"/>
  <c r="H79" i="2" s="1"/>
  <c r="I100" i="2"/>
  <c r="AG123" i="2" s="1"/>
  <c r="AG124" i="2" s="1"/>
  <c r="AF125" i="2"/>
  <c r="H100" i="2"/>
  <c r="AF123" i="2" s="1"/>
  <c r="AF124" i="2" s="1"/>
  <c r="AD125" i="2"/>
  <c r="I74" i="2"/>
  <c r="I117" i="2" s="1"/>
  <c r="H85" i="2"/>
  <c r="H128" i="2" s="1"/>
  <c r="H129" i="2" s="1"/>
  <c r="H135" i="2" s="1"/>
  <c r="H155" i="2" s="1"/>
  <c r="E73" i="2"/>
  <c r="AC117" i="2" s="1"/>
  <c r="D73" i="2"/>
  <c r="AB117" i="2" s="1"/>
  <c r="AE125" i="2"/>
  <c r="E74" i="2"/>
  <c r="E117" i="2" s="1"/>
  <c r="E100" i="2"/>
  <c r="AC123" i="2" s="1"/>
  <c r="AC124" i="2" s="1"/>
  <c r="K677" i="2"/>
  <c r="K673" i="2"/>
  <c r="K683" i="2"/>
  <c r="K674" i="2"/>
  <c r="K680" i="2"/>
  <c r="K678" i="2"/>
  <c r="K679" i="2"/>
  <c r="K675" i="2"/>
  <c r="K681" i="2"/>
  <c r="K672" i="2"/>
  <c r="K676" i="2"/>
  <c r="K682" i="2"/>
  <c r="I541" i="2"/>
  <c r="I553" i="2" s="1"/>
  <c r="H553" i="2"/>
  <c r="V156" i="2"/>
  <c r="N779" i="2"/>
  <c r="V779" i="2"/>
  <c r="F218" i="2"/>
  <c r="F231" i="2" s="1"/>
  <c r="E626" i="2"/>
  <c r="Q51" i="2"/>
  <c r="E8" i="5" s="1"/>
  <c r="E25" i="5" s="1"/>
  <c r="Q56" i="2"/>
  <c r="E13" i="5" s="1"/>
  <c r="E30" i="5" s="1"/>
  <c r="Q55" i="2"/>
  <c r="E12" i="5" s="1"/>
  <c r="E29" i="5" s="1"/>
  <c r="Q53" i="2"/>
  <c r="E10" i="5" s="1"/>
  <c r="E27" i="5" s="1"/>
  <c r="Q52" i="2"/>
  <c r="E9" i="5" s="1"/>
  <c r="E26" i="5" s="1"/>
  <c r="Q50" i="2"/>
  <c r="E7" i="5" s="1"/>
  <c r="E24" i="5" s="1"/>
  <c r="Q49" i="2"/>
  <c r="E6" i="5" s="1"/>
  <c r="E23" i="5" s="1"/>
  <c r="Q57" i="2"/>
  <c r="E14" i="5" s="1"/>
  <c r="E31" i="5" s="1"/>
  <c r="Q59" i="2"/>
  <c r="E16" i="5" s="1"/>
  <c r="E33" i="5" s="1"/>
  <c r="Q58" i="2"/>
  <c r="E15" i="5" s="1"/>
  <c r="E32" i="5" s="1"/>
  <c r="Q54" i="2"/>
  <c r="E11" i="5" s="1"/>
  <c r="E28" i="5" s="1"/>
  <c r="CK19" i="2"/>
  <c r="CG19" i="2"/>
  <c r="CC19" i="2"/>
  <c r="BY19" i="2"/>
  <c r="BU19" i="2"/>
  <c r="BQ19" i="2"/>
  <c r="CJ19" i="2"/>
  <c r="CF19" i="2"/>
  <c r="CB19" i="2"/>
  <c r="BX19" i="2"/>
  <c r="BT19" i="2"/>
  <c r="BP19" i="2"/>
  <c r="CM19" i="2"/>
  <c r="CI19" i="2"/>
  <c r="CE19" i="2"/>
  <c r="CA19" i="2"/>
  <c r="BW19" i="2"/>
  <c r="BS19" i="2"/>
  <c r="CL19" i="2"/>
  <c r="CH19" i="2"/>
  <c r="CD19" i="2"/>
  <c r="BZ19" i="2"/>
  <c r="BV19" i="2"/>
  <c r="BR19" i="2"/>
  <c r="AI9" i="2"/>
  <c r="Q148" i="2" s="1"/>
  <c r="AI8" i="2"/>
  <c r="Q147" i="2" s="1"/>
  <c r="O779" i="2"/>
  <c r="R779" i="2"/>
  <c r="Z779" i="2"/>
  <c r="AD779" i="2"/>
  <c r="AH779" i="2"/>
  <c r="K79" i="2"/>
  <c r="AH140" i="2"/>
  <c r="L146" i="2"/>
  <c r="AI140" i="2"/>
  <c r="L145" i="2"/>
  <c r="L150" i="2"/>
  <c r="L144" i="2"/>
  <c r="AJ145" i="2"/>
  <c r="AJ144" i="2"/>
  <c r="AJ152" i="2"/>
  <c r="K150" i="2"/>
  <c r="K151" i="2"/>
  <c r="K152" i="2"/>
  <c r="K153" i="2"/>
  <c r="K144" i="2"/>
  <c r="K149" i="2"/>
  <c r="K147" i="2"/>
  <c r="K146" i="2"/>
  <c r="K148" i="2"/>
  <c r="K155" i="2"/>
  <c r="K154" i="2"/>
  <c r="K145" i="2"/>
  <c r="I741" i="2"/>
  <c r="J741" i="2" s="1"/>
  <c r="K741" i="2" s="1"/>
  <c r="X154" i="2"/>
  <c r="Y154" i="2" s="1"/>
  <c r="Y144" i="2"/>
  <c r="P156" i="2"/>
  <c r="I735" i="2"/>
  <c r="J735" i="2" s="1"/>
  <c r="K735" i="2" s="1"/>
  <c r="X148" i="2"/>
  <c r="W156" i="2"/>
  <c r="L153" i="2"/>
  <c r="S779" i="2"/>
  <c r="AA779" i="2"/>
  <c r="AE779" i="2"/>
  <c r="AI135" i="2"/>
  <c r="AL778" i="2"/>
  <c r="T156" i="2"/>
  <c r="I732" i="2"/>
  <c r="J732" i="2" s="1"/>
  <c r="K732" i="2" s="1"/>
  <c r="X145" i="2"/>
  <c r="Y145" i="2" s="1"/>
  <c r="AH135" i="2"/>
  <c r="AJ153" i="2"/>
  <c r="Q779" i="2"/>
  <c r="U779" i="2"/>
  <c r="Y779" i="2"/>
  <c r="AC779" i="2"/>
  <c r="AG779" i="2"/>
  <c r="I737" i="2"/>
  <c r="J737" i="2" s="1"/>
  <c r="K737" i="2" s="1"/>
  <c r="X150" i="2"/>
  <c r="Y150" i="2" s="1"/>
  <c r="L148" i="2"/>
  <c r="AJ154" i="2"/>
  <c r="AJ148" i="2"/>
  <c r="Y152" i="2"/>
  <c r="S156" i="2"/>
  <c r="I733" i="2"/>
  <c r="J733" i="2" s="1"/>
  <c r="K733" i="2" s="1"/>
  <c r="X146" i="2"/>
  <c r="AJ150" i="2"/>
  <c r="W779" i="2"/>
  <c r="AQ767" i="2"/>
  <c r="AR767" i="2" s="1"/>
  <c r="J6" i="5" s="1"/>
  <c r="J23" i="5" s="1"/>
  <c r="U156" i="2"/>
  <c r="Y153" i="2"/>
  <c r="R156" i="2"/>
  <c r="L147" i="2"/>
  <c r="L152" i="2"/>
  <c r="L154" i="2"/>
  <c r="AJ146" i="2"/>
  <c r="AJ147" i="2"/>
  <c r="P779" i="2"/>
  <c r="T779" i="2"/>
  <c r="X779" i="2"/>
  <c r="AB779" i="2"/>
  <c r="AF779" i="2"/>
  <c r="K78" i="2"/>
  <c r="L81" i="2"/>
  <c r="J78" i="2"/>
  <c r="E655" i="2"/>
  <c r="G285" i="2"/>
  <c r="K713" i="2"/>
  <c r="E633" i="2"/>
  <c r="E657" i="2"/>
  <c r="E629" i="2"/>
  <c r="E651" i="2"/>
  <c r="E56" i="2"/>
  <c r="I56" i="2" s="1"/>
  <c r="G296" i="2"/>
  <c r="I731" i="2"/>
  <c r="J731" i="2" s="1"/>
  <c r="K731" i="2" s="1"/>
  <c r="E648" i="2"/>
  <c r="E628" i="2"/>
  <c r="E632" i="2"/>
  <c r="E630" i="2"/>
  <c r="E649" i="2"/>
  <c r="E637" i="2"/>
  <c r="I740" i="2"/>
  <c r="J740" i="2" s="1"/>
  <c r="K740" i="2" s="1"/>
  <c r="D47" i="2"/>
  <c r="D57" i="2" s="1"/>
  <c r="H57" i="2" s="1"/>
  <c r="E653" i="2"/>
  <c r="E654" i="2"/>
  <c r="E627" i="2"/>
  <c r="E659" i="2"/>
  <c r="I734" i="2"/>
  <c r="J734" i="2" s="1"/>
  <c r="K734" i="2" s="1"/>
  <c r="E650" i="2"/>
  <c r="AQ16" i="2"/>
  <c r="F651" i="2"/>
  <c r="E636" i="2"/>
  <c r="AQ12" i="2"/>
  <c r="F659" i="2"/>
  <c r="I739" i="2"/>
  <c r="J739" i="2" s="1"/>
  <c r="K739" i="2" s="1"/>
  <c r="E658" i="2"/>
  <c r="E656" i="2"/>
  <c r="L732" i="2"/>
  <c r="AQ10" i="2"/>
  <c r="F652" i="2"/>
  <c r="E634" i="2"/>
  <c r="F634" i="2"/>
  <c r="F655" i="2"/>
  <c r="F633" i="2"/>
  <c r="F650" i="2"/>
  <c r="F654" i="2"/>
  <c r="F657" i="2"/>
  <c r="F627" i="2"/>
  <c r="F631" i="2"/>
  <c r="F626" i="2"/>
  <c r="F656" i="2"/>
  <c r="F637" i="2"/>
  <c r="F630" i="2"/>
  <c r="F635" i="2"/>
  <c r="F628" i="2"/>
  <c r="F632" i="2"/>
  <c r="F636" i="2"/>
  <c r="F649" i="2"/>
  <c r="L738" i="2"/>
  <c r="L742" i="2"/>
  <c r="L733" i="2"/>
  <c r="L735" i="2"/>
  <c r="L741" i="2"/>
  <c r="AQ768" i="2"/>
  <c r="AR768" i="2" s="1"/>
  <c r="J7" i="5" s="1"/>
  <c r="J24" i="5" s="1"/>
  <c r="G282" i="2"/>
  <c r="G304" i="2"/>
  <c r="G302" i="2"/>
  <c r="G306" i="2"/>
  <c r="G283" i="2"/>
  <c r="G289" i="2"/>
  <c r="G291" i="2"/>
  <c r="G303" i="2"/>
  <c r="G307" i="2"/>
  <c r="G292" i="2"/>
  <c r="G305" i="2"/>
  <c r="G301" i="2"/>
  <c r="G290" i="2"/>
  <c r="G284" i="2"/>
  <c r="E53" i="2"/>
  <c r="I53" i="2" s="1"/>
  <c r="E50" i="2"/>
  <c r="I50" i="2" s="1"/>
  <c r="E51" i="2"/>
  <c r="I51" i="2" s="1"/>
  <c r="E54" i="2"/>
  <c r="I54" i="2" s="1"/>
  <c r="E59" i="2"/>
  <c r="I59" i="2" s="1"/>
  <c r="E48" i="2"/>
  <c r="I48" i="2" s="1"/>
  <c r="E58" i="2"/>
  <c r="I58" i="2" s="1"/>
  <c r="G299" i="2"/>
  <c r="G293" i="2"/>
  <c r="AQ773" i="2"/>
  <c r="AR773" i="2" s="1"/>
  <c r="J12" i="5" s="1"/>
  <c r="J29" i="5" s="1"/>
  <c r="L731" i="2"/>
  <c r="L734" i="2"/>
  <c r="G298" i="2"/>
  <c r="G287" i="2"/>
  <c r="E55" i="2"/>
  <c r="I55" i="2" s="1"/>
  <c r="L736" i="2"/>
  <c r="AQ770" i="2"/>
  <c r="AR770" i="2" s="1"/>
  <c r="J9" i="5" s="1"/>
  <c r="J26" i="5" s="1"/>
  <c r="L739" i="2"/>
  <c r="L740" i="2"/>
  <c r="G288" i="2"/>
  <c r="E52" i="2"/>
  <c r="I52" i="2" s="1"/>
  <c r="L737" i="2"/>
  <c r="D290" i="2"/>
  <c r="D677" i="2"/>
  <c r="G297" i="2"/>
  <c r="G286" i="2"/>
  <c r="E57" i="2"/>
  <c r="I57" i="2" s="1"/>
  <c r="F15" i="2"/>
  <c r="G17" i="2"/>
  <c r="G18" i="2" s="1"/>
  <c r="AQ772" i="2"/>
  <c r="AR772" i="2" s="1"/>
  <c r="J11" i="5" s="1"/>
  <c r="J28" i="5" s="1"/>
  <c r="AQ769" i="2"/>
  <c r="AR769" i="2" s="1"/>
  <c r="J8" i="5" s="1"/>
  <c r="J25" i="5" s="1"/>
  <c r="AQ774" i="2"/>
  <c r="AR774" i="2" s="1"/>
  <c r="J13" i="5" s="1"/>
  <c r="J30" i="5" s="1"/>
  <c r="AQ775" i="2"/>
  <c r="AR775" i="2" s="1"/>
  <c r="J14" i="5" s="1"/>
  <c r="J31" i="5" s="1"/>
  <c r="AQ771" i="2"/>
  <c r="AR771" i="2" s="1"/>
  <c r="J10" i="5" s="1"/>
  <c r="J27" i="5" s="1"/>
  <c r="AQ776" i="2"/>
  <c r="AR776" i="2" s="1"/>
  <c r="J15" i="5" s="1"/>
  <c r="J32" i="5" s="1"/>
  <c r="H743" i="2"/>
  <c r="F16" i="2"/>
  <c r="J216" i="2"/>
  <c r="E17" i="2"/>
  <c r="H216" i="2"/>
  <c r="F216" i="2"/>
  <c r="AQ766" i="2"/>
  <c r="AP778" i="2"/>
  <c r="F658" i="2"/>
  <c r="F629" i="2"/>
  <c r="F653" i="2"/>
  <c r="AQ777" i="2"/>
  <c r="AR777" i="2" s="1"/>
  <c r="J16" i="5" s="1"/>
  <c r="J33" i="5" s="1"/>
  <c r="AF135" i="2" l="1"/>
  <c r="AE140" i="2"/>
  <c r="I146" i="2"/>
  <c r="I149" i="2"/>
  <c r="I155" i="2"/>
  <c r="D153" i="2"/>
  <c r="J150" i="2"/>
  <c r="H149" i="2"/>
  <c r="J144" i="2"/>
  <c r="I145" i="2"/>
  <c r="D149" i="2"/>
  <c r="J148" i="2"/>
  <c r="H78" i="2"/>
  <c r="H81" i="2" s="1"/>
  <c r="H153" i="2"/>
  <c r="J149" i="2"/>
  <c r="I153" i="2"/>
  <c r="H148" i="2"/>
  <c r="D150" i="2"/>
  <c r="G79" i="2"/>
  <c r="AE135" i="2"/>
  <c r="AF140" i="2"/>
  <c r="AF154" i="2" s="1"/>
  <c r="AB140" i="2"/>
  <c r="H145" i="2"/>
  <c r="D145" i="2"/>
  <c r="H146" i="2"/>
  <c r="I147" i="2"/>
  <c r="I150" i="2"/>
  <c r="I152" i="2"/>
  <c r="D152" i="2"/>
  <c r="I144" i="2"/>
  <c r="I154" i="2"/>
  <c r="J153" i="2"/>
  <c r="H117" i="2"/>
  <c r="J151" i="2"/>
  <c r="H144" i="2"/>
  <c r="J155" i="2"/>
  <c r="D155" i="2"/>
  <c r="D146" i="2"/>
  <c r="H151" i="2"/>
  <c r="D78" i="2"/>
  <c r="D81" i="2" s="1"/>
  <c r="G78" i="2"/>
  <c r="I151" i="2"/>
  <c r="H154" i="2"/>
  <c r="J146" i="2"/>
  <c r="J152" i="2"/>
  <c r="J154" i="2"/>
  <c r="H152" i="2"/>
  <c r="J147" i="2"/>
  <c r="H147" i="2"/>
  <c r="D151" i="2"/>
  <c r="D144" i="2"/>
  <c r="H150" i="2"/>
  <c r="F79" i="2"/>
  <c r="AB135" i="2"/>
  <c r="AB153" i="2" s="1"/>
  <c r="AD135" i="2"/>
  <c r="AG135" i="2"/>
  <c r="E79" i="2"/>
  <c r="AC140" i="2"/>
  <c r="E78" i="2"/>
  <c r="G149" i="2"/>
  <c r="G150" i="2"/>
  <c r="G146" i="2"/>
  <c r="D117" i="2"/>
  <c r="AC135" i="2"/>
  <c r="AD140" i="2"/>
  <c r="I79" i="2"/>
  <c r="G152" i="2"/>
  <c r="G147" i="2"/>
  <c r="F78" i="2"/>
  <c r="AG140" i="2"/>
  <c r="F147" i="2"/>
  <c r="F146" i="2"/>
  <c r="F153" i="2"/>
  <c r="F154" i="2"/>
  <c r="F149" i="2"/>
  <c r="F152" i="2"/>
  <c r="F155" i="2"/>
  <c r="F150" i="2"/>
  <c r="F148" i="2"/>
  <c r="F144" i="2"/>
  <c r="F151" i="2"/>
  <c r="F145" i="2"/>
  <c r="E146" i="2"/>
  <c r="E152" i="2"/>
  <c r="E149" i="2"/>
  <c r="E145" i="2"/>
  <c r="E155" i="2"/>
  <c r="I78" i="2"/>
  <c r="G155" i="2"/>
  <c r="G148" i="2"/>
  <c r="G144" i="2"/>
  <c r="G153" i="2"/>
  <c r="G154" i="2"/>
  <c r="G151" i="2"/>
  <c r="J79" i="2"/>
  <c r="J81" i="2" s="1"/>
  <c r="E154" i="2"/>
  <c r="E148" i="2"/>
  <c r="E153" i="2"/>
  <c r="E151" i="2"/>
  <c r="E150" i="2"/>
  <c r="E144" i="2"/>
  <c r="E147" i="2"/>
  <c r="K299" i="2"/>
  <c r="CS5" i="2"/>
  <c r="Q48" i="2"/>
  <c r="E5" i="5" s="1"/>
  <c r="E22" i="5" s="1"/>
  <c r="E34" i="5" s="1"/>
  <c r="P60" i="2"/>
  <c r="M731" i="2"/>
  <c r="I5" i="5" s="1"/>
  <c r="M739" i="2"/>
  <c r="I13" i="5" s="1"/>
  <c r="Y148" i="2"/>
  <c r="D148" i="2"/>
  <c r="Q156" i="2"/>
  <c r="Y147" i="2"/>
  <c r="D147" i="2"/>
  <c r="AC6" i="2"/>
  <c r="AC10" i="2"/>
  <c r="AC14" i="2"/>
  <c r="AC7" i="2"/>
  <c r="AC11" i="2"/>
  <c r="AC15" i="2"/>
  <c r="AC8" i="2"/>
  <c r="AC12" i="2"/>
  <c r="AC16" i="2"/>
  <c r="AC9" i="2"/>
  <c r="AC13" i="2"/>
  <c r="AC5" i="2"/>
  <c r="K81" i="2"/>
  <c r="K284" i="2"/>
  <c r="K282" i="2"/>
  <c r="K305" i="2"/>
  <c r="K296" i="2"/>
  <c r="K289" i="2"/>
  <c r="K300" i="2"/>
  <c r="K290" i="2"/>
  <c r="K291" i="2"/>
  <c r="K307" i="2"/>
  <c r="K286" i="2"/>
  <c r="K292" i="2"/>
  <c r="K287" i="2"/>
  <c r="K302" i="2"/>
  <c r="K297" i="2"/>
  <c r="K303" i="2"/>
  <c r="K285" i="2"/>
  <c r="K306" i="2"/>
  <c r="K301" i="2"/>
  <c r="M741" i="2"/>
  <c r="I15" i="5" s="1"/>
  <c r="K293" i="2"/>
  <c r="K288" i="2"/>
  <c r="K283" i="2"/>
  <c r="K298" i="2"/>
  <c r="K304" i="2"/>
  <c r="M737" i="2"/>
  <c r="I11" i="5" s="1"/>
  <c r="M733" i="2"/>
  <c r="I7" i="5" s="1"/>
  <c r="M732" i="2"/>
  <c r="I6" i="5" s="1"/>
  <c r="M740" i="2"/>
  <c r="I14" i="5" s="1"/>
  <c r="M735" i="2"/>
  <c r="I9" i="5" s="1"/>
  <c r="M734" i="2"/>
  <c r="I8" i="5" s="1"/>
  <c r="X155" i="2"/>
  <c r="Y155" i="2" s="1"/>
  <c r="AJ155" i="2"/>
  <c r="L155" i="2"/>
  <c r="X149" i="2"/>
  <c r="Y149" i="2" s="1"/>
  <c r="L149" i="2"/>
  <c r="AJ149" i="2"/>
  <c r="X151" i="2"/>
  <c r="Y151" i="2" s="1"/>
  <c r="AJ151" i="2"/>
  <c r="L151" i="2"/>
  <c r="AI144" i="2"/>
  <c r="AI149" i="2"/>
  <c r="AI152" i="2"/>
  <c r="AI146" i="2"/>
  <c r="AI145" i="2"/>
  <c r="AI154" i="2"/>
  <c r="AI147" i="2"/>
  <c r="AI153" i="2"/>
  <c r="AI151" i="2"/>
  <c r="AI150" i="2"/>
  <c r="AI155" i="2"/>
  <c r="AI148" i="2"/>
  <c r="Y146" i="2"/>
  <c r="K156" i="2"/>
  <c r="AH145" i="2"/>
  <c r="AH147" i="2"/>
  <c r="AH149" i="2"/>
  <c r="AH151" i="2"/>
  <c r="AH153" i="2"/>
  <c r="AH155" i="2"/>
  <c r="AH150" i="2"/>
  <c r="AH144" i="2"/>
  <c r="AH154" i="2"/>
  <c r="AH148" i="2"/>
  <c r="AH146" i="2"/>
  <c r="AH152" i="2"/>
  <c r="D51" i="2"/>
  <c r="H51" i="2" s="1"/>
  <c r="J51" i="2" s="1"/>
  <c r="D8" i="5" s="1"/>
  <c r="D25" i="5" s="1"/>
  <c r="D50" i="2"/>
  <c r="H50" i="2" s="1"/>
  <c r="J50" i="2" s="1"/>
  <c r="D7" i="5" s="1"/>
  <c r="D24" i="5" s="1"/>
  <c r="D56" i="2"/>
  <c r="F56" i="2" s="1"/>
  <c r="D48" i="2"/>
  <c r="H48" i="2" s="1"/>
  <c r="J48" i="2" s="1"/>
  <c r="D5" i="5" s="1"/>
  <c r="D59" i="2"/>
  <c r="F59" i="2" s="1"/>
  <c r="D49" i="2"/>
  <c r="H49" i="2" s="1"/>
  <c r="J49" i="2" s="1"/>
  <c r="D6" i="5" s="1"/>
  <c r="D23" i="5" s="1"/>
  <c r="D52" i="2"/>
  <c r="H52" i="2" s="1"/>
  <c r="J52" i="2" s="1"/>
  <c r="D9" i="5" s="1"/>
  <c r="D26" i="5" s="1"/>
  <c r="D54" i="2"/>
  <c r="H54" i="2" s="1"/>
  <c r="J54" i="2" s="1"/>
  <c r="D11" i="5" s="1"/>
  <c r="D28" i="5" s="1"/>
  <c r="D58" i="2"/>
  <c r="H58" i="2" s="1"/>
  <c r="J58" i="2" s="1"/>
  <c r="D15" i="5" s="1"/>
  <c r="D32" i="5" s="1"/>
  <c r="F47" i="2"/>
  <c r="F177" i="2" s="1"/>
  <c r="D53" i="2"/>
  <c r="F53" i="2" s="1"/>
  <c r="D55" i="2"/>
  <c r="H55" i="2" s="1"/>
  <c r="J55" i="2" s="1"/>
  <c r="D12" i="5" s="1"/>
  <c r="D29" i="5" s="1"/>
  <c r="J57" i="2"/>
  <c r="D14" i="5" s="1"/>
  <c r="D31" i="5" s="1"/>
  <c r="I738" i="2"/>
  <c r="J738" i="2" s="1"/>
  <c r="K738" i="2" s="1"/>
  <c r="M738" i="2" s="1"/>
  <c r="I742" i="2"/>
  <c r="J742" i="2" s="1"/>
  <c r="K742" i="2" s="1"/>
  <c r="M742" i="2" s="1"/>
  <c r="I736" i="2"/>
  <c r="L743" i="2"/>
  <c r="G308" i="2"/>
  <c r="F57" i="2"/>
  <c r="G294" i="2"/>
  <c r="AR766" i="2"/>
  <c r="AQ778" i="2"/>
  <c r="E18" i="2"/>
  <c r="C801" i="2"/>
  <c r="D811" i="2" s="1"/>
  <c r="F811" i="2" s="1"/>
  <c r="H811" i="2" s="1"/>
  <c r="H815" i="2" s="1"/>
  <c r="C817" i="2" s="1"/>
  <c r="C821" i="2" s="1"/>
  <c r="Q30" i="5" s="1"/>
  <c r="S30" i="5" s="1"/>
  <c r="D21" i="2"/>
  <c r="D22" i="2" s="1"/>
  <c r="D790" i="2"/>
  <c r="CH18" i="2"/>
  <c r="CF18" i="2"/>
  <c r="BX18" i="2"/>
  <c r="BY18" i="2"/>
  <c r="BR18" i="2"/>
  <c r="CJ18" i="2"/>
  <c r="CB18" i="2"/>
  <c r="BT18" i="2"/>
  <c r="CG18" i="2"/>
  <c r="CM18" i="2"/>
  <c r="CL18" i="2"/>
  <c r="CD18" i="2"/>
  <c r="BU18" i="2"/>
  <c r="CI18" i="2"/>
  <c r="BV18" i="2"/>
  <c r="BQ18" i="2"/>
  <c r="CA18" i="2"/>
  <c r="BZ18" i="2"/>
  <c r="CK18" i="2"/>
  <c r="BS18" i="2"/>
  <c r="CE18" i="2"/>
  <c r="BW18" i="2"/>
  <c r="CC18" i="2"/>
  <c r="F17" i="2"/>
  <c r="F18" i="2" s="1"/>
  <c r="G216" i="2"/>
  <c r="K216" i="2"/>
  <c r="I216" i="2"/>
  <c r="I26" i="5" l="1"/>
  <c r="I43" i="5" s="1"/>
  <c r="I25" i="5"/>
  <c r="I42" i="5" s="1"/>
  <c r="I24" i="5"/>
  <c r="I41" i="5" s="1"/>
  <c r="I30" i="5"/>
  <c r="I47" i="5" s="1"/>
  <c r="I31" i="5"/>
  <c r="I48" i="5" s="1"/>
  <c r="I28" i="5"/>
  <c r="I45" i="5" s="1"/>
  <c r="I22" i="5"/>
  <c r="I23" i="5"/>
  <c r="I40" i="5" s="1"/>
  <c r="I32" i="5"/>
  <c r="I49" i="5" s="1"/>
  <c r="AE152" i="2"/>
  <c r="F81" i="2"/>
  <c r="AF148" i="2"/>
  <c r="AF147" i="2"/>
  <c r="AF150" i="2"/>
  <c r="AF145" i="2"/>
  <c r="AF155" i="2"/>
  <c r="AF151" i="2"/>
  <c r="AF146" i="2"/>
  <c r="AF144" i="2"/>
  <c r="AF152" i="2"/>
  <c r="AF149" i="2"/>
  <c r="G81" i="2"/>
  <c r="AF153" i="2"/>
  <c r="AE154" i="2"/>
  <c r="AE147" i="2"/>
  <c r="AE149" i="2"/>
  <c r="AE151" i="2"/>
  <c r="AE153" i="2"/>
  <c r="AE146" i="2"/>
  <c r="AE144" i="2"/>
  <c r="AE148" i="2"/>
  <c r="AE155" i="2"/>
  <c r="M145" i="2"/>
  <c r="AE145" i="2"/>
  <c r="AE150" i="2"/>
  <c r="AG151" i="2"/>
  <c r="I156" i="2"/>
  <c r="AB148" i="2"/>
  <c r="AB154" i="2"/>
  <c r="AB145" i="2"/>
  <c r="AB155" i="2"/>
  <c r="AB152" i="2"/>
  <c r="AB150" i="2"/>
  <c r="AC144" i="2"/>
  <c r="AG147" i="2"/>
  <c r="AB144" i="2"/>
  <c r="AB147" i="2"/>
  <c r="H156" i="2"/>
  <c r="J156" i="2"/>
  <c r="AB149" i="2"/>
  <c r="AB146" i="2"/>
  <c r="AG145" i="2"/>
  <c r="AB151" i="2"/>
  <c r="AG155" i="2"/>
  <c r="M146" i="2"/>
  <c r="AD154" i="2"/>
  <c r="AG148" i="2"/>
  <c r="AG152" i="2"/>
  <c r="AG150" i="2"/>
  <c r="AG146" i="2"/>
  <c r="AG144" i="2"/>
  <c r="AD144" i="2"/>
  <c r="AG154" i="2"/>
  <c r="AG153" i="2"/>
  <c r="AG149" i="2"/>
  <c r="AD146" i="2"/>
  <c r="I81" i="2"/>
  <c r="M152" i="2"/>
  <c r="AC150" i="2"/>
  <c r="AD152" i="2"/>
  <c r="E81" i="2"/>
  <c r="AD149" i="2"/>
  <c r="AD155" i="2"/>
  <c r="AD148" i="2"/>
  <c r="AD151" i="2"/>
  <c r="M153" i="2"/>
  <c r="M144" i="2"/>
  <c r="AC155" i="2"/>
  <c r="AD145" i="2"/>
  <c r="AD147" i="2"/>
  <c r="AC151" i="2"/>
  <c r="AK140" i="2"/>
  <c r="AD150" i="2"/>
  <c r="AD153" i="2"/>
  <c r="AC154" i="2"/>
  <c r="AC148" i="2"/>
  <c r="AC153" i="2"/>
  <c r="AC152" i="2"/>
  <c r="AC147" i="2"/>
  <c r="AC145" i="2"/>
  <c r="AC149" i="2"/>
  <c r="AC146" i="2"/>
  <c r="G156" i="2"/>
  <c r="F156" i="2"/>
  <c r="M150" i="2"/>
  <c r="M154" i="2"/>
  <c r="M151" i="2"/>
  <c r="M155" i="2"/>
  <c r="E156" i="2"/>
  <c r="M148" i="2"/>
  <c r="E17" i="5"/>
  <c r="Q60" i="2"/>
  <c r="D156" i="2"/>
  <c r="M147" i="2"/>
  <c r="AA6" i="2"/>
  <c r="AA10" i="2"/>
  <c r="AA14" i="2"/>
  <c r="AA7" i="2"/>
  <c r="AA11" i="2"/>
  <c r="AA15" i="2"/>
  <c r="AA8" i="2"/>
  <c r="AA12" i="2"/>
  <c r="AA16" i="2"/>
  <c r="AA9" i="2"/>
  <c r="AA13" i="2"/>
  <c r="AA5" i="2"/>
  <c r="AB6" i="2"/>
  <c r="AB10" i="2"/>
  <c r="AB14" i="2"/>
  <c r="AB7" i="2"/>
  <c r="AB11" i="2"/>
  <c r="AB15" i="2"/>
  <c r="AB8" i="2"/>
  <c r="AB12" i="2"/>
  <c r="AB16" i="2"/>
  <c r="AB9" i="2"/>
  <c r="AB13" i="2"/>
  <c r="AB5" i="2"/>
  <c r="K294" i="2"/>
  <c r="K308" i="2"/>
  <c r="I16" i="5"/>
  <c r="Y156" i="2"/>
  <c r="L156" i="2"/>
  <c r="AJ156" i="2"/>
  <c r="AH156" i="2"/>
  <c r="AI156" i="2"/>
  <c r="M149" i="2"/>
  <c r="X156" i="2"/>
  <c r="K177" i="2"/>
  <c r="F51" i="2"/>
  <c r="F50" i="2"/>
  <c r="H53" i="2"/>
  <c r="J53" i="2" s="1"/>
  <c r="D10" i="5" s="1"/>
  <c r="D27" i="5" s="1"/>
  <c r="F49" i="2"/>
  <c r="F58" i="2"/>
  <c r="H56" i="2"/>
  <c r="J56" i="2" s="1"/>
  <c r="D13" i="5" s="1"/>
  <c r="D30" i="5" s="1"/>
  <c r="F52" i="2"/>
  <c r="F48" i="2"/>
  <c r="F55" i="2"/>
  <c r="H59" i="2"/>
  <c r="J59" i="2" s="1"/>
  <c r="D16" i="5" s="1"/>
  <c r="D33" i="5" s="1"/>
  <c r="F54" i="2"/>
  <c r="J736" i="2"/>
  <c r="I743" i="2"/>
  <c r="I17" i="2"/>
  <c r="D291" i="2"/>
  <c r="E748" i="2"/>
  <c r="F175" i="2"/>
  <c r="K175" i="2" s="1"/>
  <c r="F176" i="2"/>
  <c r="K176" i="2" s="1"/>
  <c r="AR778" i="2"/>
  <c r="J5" i="5"/>
  <c r="BP18" i="2"/>
  <c r="CU5" i="2" s="1"/>
  <c r="CS14" i="2"/>
  <c r="CS12" i="2"/>
  <c r="CS16" i="2"/>
  <c r="CS6" i="2"/>
  <c r="CV16" i="2"/>
  <c r="CV13" i="2"/>
  <c r="CV6" i="2"/>
  <c r="CS15" i="2"/>
  <c r="CS7" i="2"/>
  <c r="CV10" i="2"/>
  <c r="CV9" i="2"/>
  <c r="CS8" i="2"/>
  <c r="CV5" i="2"/>
  <c r="CS9" i="2"/>
  <c r="CV12" i="2"/>
  <c r="CV15" i="2"/>
  <c r="CV7" i="2"/>
  <c r="CV11" i="2"/>
  <c r="CS11" i="2"/>
  <c r="CS10" i="2"/>
  <c r="CS13" i="2"/>
  <c r="CV14" i="2"/>
  <c r="CV8" i="2"/>
  <c r="D22" i="5"/>
  <c r="I33" i="5" l="1"/>
  <c r="I50" i="5" s="1"/>
  <c r="I39" i="5"/>
  <c r="AF156" i="2"/>
  <c r="D110" i="2"/>
  <c r="D211" i="2" s="1"/>
  <c r="AE156" i="2"/>
  <c r="AK155" i="2"/>
  <c r="AM155" i="2" s="1"/>
  <c r="Q857" i="2" s="1"/>
  <c r="AK147" i="2"/>
  <c r="AM147" i="2" s="1"/>
  <c r="Q849" i="2" s="1"/>
  <c r="AB156" i="2"/>
  <c r="AG156" i="2"/>
  <c r="AK149" i="2"/>
  <c r="AM149" i="2" s="1"/>
  <c r="Q851" i="2" s="1"/>
  <c r="AK153" i="2"/>
  <c r="AM153" i="2" s="1"/>
  <c r="Q855" i="2" s="1"/>
  <c r="AK148" i="2"/>
  <c r="AM148" i="2" s="1"/>
  <c r="Q850" i="2" s="1"/>
  <c r="AK152" i="2"/>
  <c r="AM152" i="2" s="1"/>
  <c r="Q854" i="2" s="1"/>
  <c r="AK146" i="2"/>
  <c r="AM146" i="2" s="1"/>
  <c r="Q848" i="2" s="1"/>
  <c r="AK144" i="2"/>
  <c r="AM144" i="2" s="1"/>
  <c r="Q846" i="2" s="1"/>
  <c r="AK145" i="2"/>
  <c r="AM145" i="2" s="1"/>
  <c r="Q847" i="2" s="1"/>
  <c r="AK154" i="2"/>
  <c r="AM154" i="2" s="1"/>
  <c r="Q856" i="2" s="1"/>
  <c r="AK151" i="2"/>
  <c r="AM151" i="2" s="1"/>
  <c r="Q853" i="2" s="1"/>
  <c r="AK150" i="2"/>
  <c r="AM150" i="2" s="1"/>
  <c r="AD156" i="2"/>
  <c r="AC156" i="2"/>
  <c r="K178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M156" i="2"/>
  <c r="D315" i="2"/>
  <c r="D314" i="2"/>
  <c r="D318" i="2"/>
  <c r="D322" i="2"/>
  <c r="D316" i="2"/>
  <c r="D319" i="2"/>
  <c r="D317" i="2"/>
  <c r="D321" i="2"/>
  <c r="D320" i="2"/>
  <c r="D313" i="2"/>
  <c r="D323" i="2"/>
  <c r="D324" i="2"/>
  <c r="E314" i="2"/>
  <c r="E313" i="2"/>
  <c r="E317" i="2"/>
  <c r="E321" i="2"/>
  <c r="E315" i="2"/>
  <c r="E320" i="2"/>
  <c r="E323" i="2"/>
  <c r="E316" i="2"/>
  <c r="E319" i="2"/>
  <c r="E322" i="2"/>
  <c r="E324" i="2"/>
  <c r="E318" i="2"/>
  <c r="D17" i="5"/>
  <c r="D34" i="5"/>
  <c r="K736" i="2"/>
  <c r="M736" i="2" s="1"/>
  <c r="J743" i="2"/>
  <c r="CX13" i="2"/>
  <c r="J17" i="5"/>
  <c r="J22" i="5"/>
  <c r="J34" i="5" s="1"/>
  <c r="CX7" i="2"/>
  <c r="CX5" i="2"/>
  <c r="CX16" i="2"/>
  <c r="J656" i="2"/>
  <c r="J652" i="2"/>
  <c r="J648" i="2"/>
  <c r="J628" i="2"/>
  <c r="J632" i="2"/>
  <c r="J636" i="2"/>
  <c r="J659" i="2"/>
  <c r="J655" i="2"/>
  <c r="J651" i="2"/>
  <c r="J629" i="2"/>
  <c r="J633" i="2"/>
  <c r="J637" i="2"/>
  <c r="J653" i="2"/>
  <c r="J634" i="2"/>
  <c r="H292" i="2"/>
  <c r="J657" i="2"/>
  <c r="J649" i="2"/>
  <c r="J630" i="2"/>
  <c r="J626" i="2"/>
  <c r="H284" i="2"/>
  <c r="J654" i="2"/>
  <c r="J627" i="2"/>
  <c r="H288" i="2"/>
  <c r="J650" i="2"/>
  <c r="J631" i="2"/>
  <c r="H282" i="2"/>
  <c r="H300" i="2"/>
  <c r="J635" i="2"/>
  <c r="J658" i="2"/>
  <c r="H291" i="2"/>
  <c r="H304" i="2"/>
  <c r="H297" i="2"/>
  <c r="H306" i="2"/>
  <c r="H302" i="2"/>
  <c r="H289" i="2"/>
  <c r="H303" i="2"/>
  <c r="H290" i="2"/>
  <c r="H307" i="2"/>
  <c r="H301" i="2"/>
  <c r="H283" i="2"/>
  <c r="H305" i="2"/>
  <c r="H296" i="2"/>
  <c r="H299" i="2"/>
  <c r="H298" i="2"/>
  <c r="H285" i="2"/>
  <c r="H293" i="2"/>
  <c r="H287" i="2"/>
  <c r="H286" i="2"/>
  <c r="CX8" i="2"/>
  <c r="CX15" i="2"/>
  <c r="CR8" i="2"/>
  <c r="CU13" i="2"/>
  <c r="CR15" i="2"/>
  <c r="CU8" i="2"/>
  <c r="CR6" i="2"/>
  <c r="CR13" i="2"/>
  <c r="CU9" i="2"/>
  <c r="CR11" i="2"/>
  <c r="CR16" i="2"/>
  <c r="CU12" i="2"/>
  <c r="CR7" i="2"/>
  <c r="CR14" i="2"/>
  <c r="CU15" i="2"/>
  <c r="CR9" i="2"/>
  <c r="CR12" i="2"/>
  <c r="CU14" i="2"/>
  <c r="CU6" i="2"/>
  <c r="CR5" i="2"/>
  <c r="CU7" i="2"/>
  <c r="CU10" i="2"/>
  <c r="CU16" i="2"/>
  <c r="CR10" i="2"/>
  <c r="CU11" i="2"/>
  <c r="I18" i="2"/>
  <c r="D177" i="2" s="1"/>
  <c r="H177" i="2" s="1"/>
  <c r="H17" i="2"/>
  <c r="H18" i="2" s="1"/>
  <c r="CX11" i="2"/>
  <c r="CX10" i="2"/>
  <c r="E749" i="2"/>
  <c r="D750" i="2" s="1"/>
  <c r="CX14" i="2"/>
  <c r="CX12" i="2"/>
  <c r="CX9" i="2"/>
  <c r="CX6" i="2"/>
  <c r="I12" i="5"/>
  <c r="I29" i="5" s="1"/>
  <c r="D209" i="2" l="1"/>
  <c r="C337" i="2"/>
  <c r="C338" i="2" s="1"/>
  <c r="C365" i="2"/>
  <c r="C366" i="2" s="1"/>
  <c r="F853" i="2"/>
  <c r="F837" i="2" s="1"/>
  <c r="F850" i="2"/>
  <c r="F834" i="2" s="1"/>
  <c r="F847" i="2"/>
  <c r="F831" i="2" s="1"/>
  <c r="F846" i="2"/>
  <c r="F830" i="2" s="1"/>
  <c r="F855" i="2"/>
  <c r="F839" i="2" s="1"/>
  <c r="F848" i="2"/>
  <c r="F832" i="2" s="1"/>
  <c r="F854" i="2"/>
  <c r="F838" i="2" s="1"/>
  <c r="AK156" i="2"/>
  <c r="F856" i="2"/>
  <c r="F840" i="2" s="1"/>
  <c r="Q852" i="2"/>
  <c r="Q836" i="2" s="1"/>
  <c r="F852" i="2"/>
  <c r="F836" i="2" s="1"/>
  <c r="F857" i="2"/>
  <c r="F841" i="2" s="1"/>
  <c r="F323" i="2"/>
  <c r="H323" i="2" s="1"/>
  <c r="F315" i="2"/>
  <c r="H315" i="2" s="1"/>
  <c r="F318" i="2"/>
  <c r="H318" i="2" s="1"/>
  <c r="F321" i="2"/>
  <c r="H321" i="2" s="1"/>
  <c r="F317" i="2"/>
  <c r="H317" i="2" s="1"/>
  <c r="F313" i="2"/>
  <c r="H313" i="2" s="1"/>
  <c r="F319" i="2"/>
  <c r="H319" i="2" s="1"/>
  <c r="F322" i="2"/>
  <c r="H322" i="2" s="1"/>
  <c r="F314" i="2"/>
  <c r="H314" i="2" s="1"/>
  <c r="F324" i="2"/>
  <c r="H324" i="2" s="1"/>
  <c r="F320" i="2"/>
  <c r="H320" i="2" s="1"/>
  <c r="F316" i="2"/>
  <c r="H316" i="2" s="1"/>
  <c r="F849" i="2"/>
  <c r="F833" i="2" s="1"/>
  <c r="D178" i="2"/>
  <c r="G177" i="2"/>
  <c r="G178" i="2" s="1"/>
  <c r="I177" i="2"/>
  <c r="I178" i="2" s="1"/>
  <c r="F178" i="2"/>
  <c r="Q833" i="2"/>
  <c r="AD6" i="2"/>
  <c r="CZ6" i="2" s="1"/>
  <c r="AD10" i="2"/>
  <c r="CZ10" i="2" s="1"/>
  <c r="AD14" i="2"/>
  <c r="CZ14" i="2" s="1"/>
  <c r="AD7" i="2"/>
  <c r="CZ7" i="2" s="1"/>
  <c r="AD11" i="2"/>
  <c r="CZ11" i="2" s="1"/>
  <c r="AD15" i="2"/>
  <c r="CZ15" i="2" s="1"/>
  <c r="AD8" i="2"/>
  <c r="CZ8" i="2" s="1"/>
  <c r="AD12" i="2"/>
  <c r="CZ12" i="2" s="1"/>
  <c r="AD16" i="2"/>
  <c r="CZ16" i="2" s="1"/>
  <c r="AD9" i="2"/>
  <c r="CZ9" i="2" s="1"/>
  <c r="AD13" i="2"/>
  <c r="CZ13" i="2" s="1"/>
  <c r="AD5" i="2"/>
  <c r="CZ5" i="2" s="1"/>
  <c r="Q839" i="2"/>
  <c r="H852" i="2"/>
  <c r="H836" i="2" s="1"/>
  <c r="S852" i="2"/>
  <c r="S836" i="2" s="1"/>
  <c r="H847" i="2"/>
  <c r="H831" i="2" s="1"/>
  <c r="S847" i="2"/>
  <c r="S831" i="2" s="1"/>
  <c r="R851" i="2"/>
  <c r="R835" i="2" s="1"/>
  <c r="G851" i="2"/>
  <c r="G835" i="2" s="1"/>
  <c r="D325" i="2"/>
  <c r="Q834" i="2"/>
  <c r="S855" i="2"/>
  <c r="S839" i="2" s="1"/>
  <c r="H855" i="2"/>
  <c r="H839" i="2" s="1"/>
  <c r="S853" i="2"/>
  <c r="S837" i="2" s="1"/>
  <c r="H853" i="2"/>
  <c r="H837" i="2" s="1"/>
  <c r="S846" i="2"/>
  <c r="H846" i="2"/>
  <c r="E325" i="2"/>
  <c r="G856" i="2"/>
  <c r="G840" i="2" s="1"/>
  <c r="R856" i="2"/>
  <c r="R840" i="2" s="1"/>
  <c r="R852" i="2"/>
  <c r="R836" i="2" s="1"/>
  <c r="G852" i="2"/>
  <c r="G836" i="2" s="1"/>
  <c r="G848" i="2"/>
  <c r="G832" i="2" s="1"/>
  <c r="R848" i="2"/>
  <c r="R832" i="2" s="1"/>
  <c r="Q832" i="2"/>
  <c r="Q838" i="2"/>
  <c r="S848" i="2"/>
  <c r="S832" i="2" s="1"/>
  <c r="H848" i="2"/>
  <c r="H832" i="2" s="1"/>
  <c r="F851" i="2"/>
  <c r="G855" i="2"/>
  <c r="G839" i="2" s="1"/>
  <c r="R855" i="2"/>
  <c r="R839" i="2" s="1"/>
  <c r="R847" i="2"/>
  <c r="R831" i="2" s="1"/>
  <c r="G847" i="2"/>
  <c r="G831" i="2" s="1"/>
  <c r="H851" i="2"/>
  <c r="H835" i="2" s="1"/>
  <c r="S851" i="2"/>
  <c r="S835" i="2" s="1"/>
  <c r="H849" i="2"/>
  <c r="H833" i="2" s="1"/>
  <c r="S849" i="2"/>
  <c r="S833" i="2" s="1"/>
  <c r="H854" i="2"/>
  <c r="H838" i="2" s="1"/>
  <c r="S854" i="2"/>
  <c r="S838" i="2" s="1"/>
  <c r="R854" i="2"/>
  <c r="R838" i="2" s="1"/>
  <c r="G854" i="2"/>
  <c r="G838" i="2" s="1"/>
  <c r="G850" i="2"/>
  <c r="G834" i="2" s="1"/>
  <c r="R850" i="2"/>
  <c r="R834" i="2" s="1"/>
  <c r="R846" i="2"/>
  <c r="G846" i="2"/>
  <c r="C325" i="2"/>
  <c r="AM156" i="2"/>
  <c r="Q858" i="2" s="1"/>
  <c r="Q840" i="2"/>
  <c r="Q837" i="2"/>
  <c r="Q831" i="2"/>
  <c r="S857" i="2"/>
  <c r="S841" i="2" s="1"/>
  <c r="H857" i="2"/>
  <c r="H841" i="2" s="1"/>
  <c r="H856" i="2"/>
  <c r="H840" i="2" s="1"/>
  <c r="S856" i="2"/>
  <c r="S840" i="2" s="1"/>
  <c r="H850" i="2"/>
  <c r="H834" i="2" s="1"/>
  <c r="S850" i="2"/>
  <c r="S834" i="2" s="1"/>
  <c r="R857" i="2"/>
  <c r="R841" i="2" s="1"/>
  <c r="G857" i="2"/>
  <c r="G841" i="2" s="1"/>
  <c r="R853" i="2"/>
  <c r="R837" i="2" s="1"/>
  <c r="G853" i="2"/>
  <c r="G837" i="2" s="1"/>
  <c r="R849" i="2"/>
  <c r="R833" i="2" s="1"/>
  <c r="G849" i="2"/>
  <c r="G833" i="2" s="1"/>
  <c r="Q841" i="2"/>
  <c r="C750" i="2"/>
  <c r="H758" i="2" s="1"/>
  <c r="H33" i="5" s="1"/>
  <c r="K743" i="2"/>
  <c r="I754" i="2"/>
  <c r="H46" i="5" s="1"/>
  <c r="I750" i="2"/>
  <c r="H42" i="5" s="1"/>
  <c r="I748" i="2"/>
  <c r="H40" i="5" s="1"/>
  <c r="I751" i="2"/>
  <c r="H43" i="5" s="1"/>
  <c r="I756" i="2"/>
  <c r="H48" i="5" s="1"/>
  <c r="I757" i="2"/>
  <c r="H49" i="5" s="1"/>
  <c r="I749" i="2"/>
  <c r="H41" i="5" s="1"/>
  <c r="I753" i="2"/>
  <c r="H45" i="5" s="1"/>
  <c r="I752" i="2"/>
  <c r="H44" i="5" s="1"/>
  <c r="I758" i="2"/>
  <c r="H50" i="5" s="1"/>
  <c r="I755" i="2"/>
  <c r="H47" i="5" s="1"/>
  <c r="I747" i="2"/>
  <c r="CW16" i="2"/>
  <c r="CY16" i="2"/>
  <c r="CY6" i="2"/>
  <c r="CW6" i="2"/>
  <c r="CW5" i="2"/>
  <c r="CY5" i="2"/>
  <c r="CW12" i="2"/>
  <c r="CY12" i="2"/>
  <c r="CY13" i="2"/>
  <c r="CW13" i="2"/>
  <c r="H308" i="2"/>
  <c r="H294" i="2"/>
  <c r="H178" i="2"/>
  <c r="CW10" i="2"/>
  <c r="CY10" i="2"/>
  <c r="CW14" i="2"/>
  <c r="CY14" i="2"/>
  <c r="CY15" i="2"/>
  <c r="CW15" i="2"/>
  <c r="CW11" i="2"/>
  <c r="CY11" i="2"/>
  <c r="CW7" i="2"/>
  <c r="CY7" i="2"/>
  <c r="CW8" i="2"/>
  <c r="CY8" i="2"/>
  <c r="CY9" i="2"/>
  <c r="CW9" i="2"/>
  <c r="I46" i="5"/>
  <c r="F325" i="2" l="1"/>
  <c r="E188" i="2"/>
  <c r="E192" i="2"/>
  <c r="E196" i="2"/>
  <c r="E189" i="2"/>
  <c r="E193" i="2"/>
  <c r="E197" i="2"/>
  <c r="E190" i="2"/>
  <c r="E194" i="2"/>
  <c r="E198" i="2"/>
  <c r="E191" i="2"/>
  <c r="E195" i="2"/>
  <c r="E199" i="2"/>
  <c r="D188" i="2"/>
  <c r="D190" i="2"/>
  <c r="D194" i="2"/>
  <c r="D198" i="2"/>
  <c r="D191" i="2"/>
  <c r="D195" i="2"/>
  <c r="D199" i="2"/>
  <c r="D192" i="2"/>
  <c r="D196" i="2"/>
  <c r="D189" i="2"/>
  <c r="D193" i="2"/>
  <c r="D197" i="2"/>
  <c r="C188" i="2"/>
  <c r="C189" i="2"/>
  <c r="C191" i="2"/>
  <c r="C193" i="2"/>
  <c r="C195" i="2"/>
  <c r="C197" i="2"/>
  <c r="C199" i="2"/>
  <c r="C190" i="2"/>
  <c r="C192" i="2"/>
  <c r="C194" i="2"/>
  <c r="C196" i="2"/>
  <c r="C198" i="2"/>
  <c r="T857" i="2"/>
  <c r="T841" i="2" s="1"/>
  <c r="I853" i="2"/>
  <c r="I837" i="2" s="1"/>
  <c r="T847" i="2"/>
  <c r="T831" i="2" s="1"/>
  <c r="I847" i="2"/>
  <c r="I831" i="2" s="1"/>
  <c r="I854" i="2"/>
  <c r="I838" i="2" s="1"/>
  <c r="I856" i="2"/>
  <c r="I840" i="2" s="1"/>
  <c r="T856" i="2"/>
  <c r="T840" i="2" s="1"/>
  <c r="T852" i="2"/>
  <c r="T836" i="2" s="1"/>
  <c r="I846" i="2"/>
  <c r="I830" i="2" s="1"/>
  <c r="F835" i="2"/>
  <c r="F842" i="2" s="1"/>
  <c r="I851" i="2"/>
  <c r="I835" i="2" s="1"/>
  <c r="T850" i="2"/>
  <c r="T834" i="2" s="1"/>
  <c r="H830" i="2"/>
  <c r="H842" i="2" s="1"/>
  <c r="H858" i="2"/>
  <c r="I855" i="2"/>
  <c r="I839" i="2" s="1"/>
  <c r="I852" i="2"/>
  <c r="I836" i="2" s="1"/>
  <c r="T851" i="2"/>
  <c r="T835" i="2" s="1"/>
  <c r="Q835" i="2"/>
  <c r="I849" i="2"/>
  <c r="I833" i="2" s="1"/>
  <c r="T854" i="2"/>
  <c r="T838" i="2" s="1"/>
  <c r="G830" i="2"/>
  <c r="G842" i="2" s="1"/>
  <c r="G858" i="2"/>
  <c r="I857" i="2"/>
  <c r="I841" i="2" s="1"/>
  <c r="T846" i="2"/>
  <c r="Q830" i="2"/>
  <c r="I850" i="2"/>
  <c r="I834" i="2" s="1"/>
  <c r="F858" i="2"/>
  <c r="T849" i="2"/>
  <c r="T833" i="2" s="1"/>
  <c r="T853" i="2"/>
  <c r="T837" i="2" s="1"/>
  <c r="R858" i="2"/>
  <c r="R830" i="2"/>
  <c r="R842" i="2" s="1"/>
  <c r="T848" i="2"/>
  <c r="T832" i="2" s="1"/>
  <c r="S830" i="2"/>
  <c r="S842" i="2" s="1"/>
  <c r="S858" i="2"/>
  <c r="I848" i="2"/>
  <c r="I832" i="2" s="1"/>
  <c r="T855" i="2"/>
  <c r="T839" i="2" s="1"/>
  <c r="H747" i="2"/>
  <c r="H22" i="5" s="1"/>
  <c r="H757" i="2"/>
  <c r="H32" i="5" s="1"/>
  <c r="H15" i="5" s="1"/>
  <c r="H755" i="2"/>
  <c r="H30" i="5" s="1"/>
  <c r="H13" i="5" s="1"/>
  <c r="H751" i="2"/>
  <c r="H26" i="5" s="1"/>
  <c r="H9" i="5" s="1"/>
  <c r="H750" i="2"/>
  <c r="H25" i="5" s="1"/>
  <c r="H8" i="5" s="1"/>
  <c r="H749" i="2"/>
  <c r="H24" i="5" s="1"/>
  <c r="H7" i="5" s="1"/>
  <c r="H753" i="2"/>
  <c r="H28" i="5" s="1"/>
  <c r="H11" i="5" s="1"/>
  <c r="H754" i="2"/>
  <c r="H29" i="5" s="1"/>
  <c r="H12" i="5" s="1"/>
  <c r="H752" i="2"/>
  <c r="H27" i="5" s="1"/>
  <c r="H10" i="5" s="1"/>
  <c r="H748" i="2"/>
  <c r="H23" i="5" s="1"/>
  <c r="H6" i="5" s="1"/>
  <c r="H756" i="2"/>
  <c r="H31" i="5" s="1"/>
  <c r="H14" i="5" s="1"/>
  <c r="I10" i="5"/>
  <c r="I27" i="5" s="1"/>
  <c r="I34" i="5" s="1"/>
  <c r="M743" i="2"/>
  <c r="DA15" i="2"/>
  <c r="DC15" i="2" s="1"/>
  <c r="H16" i="5"/>
  <c r="DA9" i="2"/>
  <c r="DE9" i="2" s="1"/>
  <c r="H192" i="2" s="1"/>
  <c r="DA7" i="2"/>
  <c r="DD7" i="2" s="1"/>
  <c r="G190" i="2" s="1"/>
  <c r="DA6" i="2"/>
  <c r="DD6" i="2" s="1"/>
  <c r="G189" i="2" s="1"/>
  <c r="I759" i="2"/>
  <c r="H39" i="5"/>
  <c r="H51" i="5" s="1"/>
  <c r="DA10" i="2"/>
  <c r="DA12" i="2"/>
  <c r="DE12" i="2" s="1"/>
  <c r="H195" i="2" s="1"/>
  <c r="DA8" i="2"/>
  <c r="DD8" i="2" s="1"/>
  <c r="G191" i="2" s="1"/>
  <c r="DA11" i="2"/>
  <c r="DD11" i="2" s="1"/>
  <c r="G194" i="2" s="1"/>
  <c r="DA14" i="2"/>
  <c r="DE14" i="2" s="1"/>
  <c r="H197" i="2" s="1"/>
  <c r="DA5" i="2"/>
  <c r="DC5" i="2" s="1"/>
  <c r="DA16" i="2"/>
  <c r="DF16" i="2" s="1"/>
  <c r="I199" i="2" s="1"/>
  <c r="DA13" i="2"/>
  <c r="DF13" i="2" s="1"/>
  <c r="I196" i="2" s="1"/>
  <c r="M196" i="2" l="1"/>
  <c r="M199" i="2"/>
  <c r="L192" i="2"/>
  <c r="L197" i="2"/>
  <c r="L195" i="2"/>
  <c r="K189" i="2"/>
  <c r="G247" i="2" s="1"/>
  <c r="K194" i="2"/>
  <c r="G252" i="2" s="1"/>
  <c r="K191" i="2"/>
  <c r="K190" i="2"/>
  <c r="G248" i="2" s="1"/>
  <c r="Q842" i="2"/>
  <c r="I842" i="2"/>
  <c r="H325" i="2"/>
  <c r="I858" i="2"/>
  <c r="T830" i="2"/>
  <c r="T842" i="2" s="1"/>
  <c r="T858" i="2"/>
  <c r="H759" i="2"/>
  <c r="I44" i="5"/>
  <c r="I51" i="5" s="1"/>
  <c r="I17" i="5"/>
  <c r="DF15" i="2"/>
  <c r="I198" i="2" s="1"/>
  <c r="DE15" i="2"/>
  <c r="H198" i="2" s="1"/>
  <c r="DC9" i="2"/>
  <c r="DF6" i="2"/>
  <c r="I189" i="2" s="1"/>
  <c r="DD15" i="2"/>
  <c r="G198" i="2" s="1"/>
  <c r="DC6" i="2"/>
  <c r="DF8" i="2"/>
  <c r="I191" i="2" s="1"/>
  <c r="DC14" i="2"/>
  <c r="DE16" i="2"/>
  <c r="H199" i="2" s="1"/>
  <c r="DE6" i="2"/>
  <c r="H189" i="2" s="1"/>
  <c r="DE7" i="2"/>
  <c r="H190" i="2" s="1"/>
  <c r="DC7" i="2"/>
  <c r="DF7" i="2"/>
  <c r="I190" i="2" s="1"/>
  <c r="DE10" i="2"/>
  <c r="H193" i="2" s="1"/>
  <c r="DD10" i="2"/>
  <c r="G193" i="2" s="1"/>
  <c r="DE8" i="2"/>
  <c r="H191" i="2" s="1"/>
  <c r="DE13" i="2"/>
  <c r="H196" i="2" s="1"/>
  <c r="DD13" i="2"/>
  <c r="G196" i="2" s="1"/>
  <c r="DE5" i="2"/>
  <c r="H188" i="2" s="1"/>
  <c r="DD5" i="2"/>
  <c r="G188" i="2" s="1"/>
  <c r="DC13" i="2"/>
  <c r="DC8" i="2"/>
  <c r="DF5" i="2"/>
  <c r="I188" i="2" s="1"/>
  <c r="DC12" i="2"/>
  <c r="DD12" i="2"/>
  <c r="G195" i="2" s="1"/>
  <c r="DF12" i="2"/>
  <c r="I195" i="2" s="1"/>
  <c r="DC16" i="2"/>
  <c r="DD16" i="2"/>
  <c r="G199" i="2" s="1"/>
  <c r="DF14" i="2"/>
  <c r="I197" i="2" s="1"/>
  <c r="DD14" i="2"/>
  <c r="G197" i="2" s="1"/>
  <c r="DC11" i="2"/>
  <c r="DF10" i="2"/>
  <c r="I193" i="2" s="1"/>
  <c r="DC10" i="2"/>
  <c r="DE11" i="2"/>
  <c r="H194" i="2" s="1"/>
  <c r="DF11" i="2"/>
  <c r="I194" i="2" s="1"/>
  <c r="H5" i="5"/>
  <c r="H17" i="5" s="1"/>
  <c r="H34" i="5"/>
  <c r="DF9" i="2"/>
  <c r="I192" i="2" s="1"/>
  <c r="DD9" i="2"/>
  <c r="G192" i="2" s="1"/>
  <c r="M249" i="2" l="1"/>
  <c r="M262" i="2" s="1"/>
  <c r="U262" i="2" s="1"/>
  <c r="G249" i="2"/>
  <c r="M224" i="2"/>
  <c r="M237" i="2" s="1"/>
  <c r="U237" i="2" s="1"/>
  <c r="M252" i="2"/>
  <c r="M265" i="2" s="1"/>
  <c r="U265" i="2" s="1"/>
  <c r="M219" i="2"/>
  <c r="M232" i="2" s="1"/>
  <c r="U232" i="2" s="1"/>
  <c r="M247" i="2"/>
  <c r="M260" i="2" s="1"/>
  <c r="U260" i="2" s="1"/>
  <c r="M220" i="2"/>
  <c r="M233" i="2" s="1"/>
  <c r="U233" i="2" s="1"/>
  <c r="M248" i="2"/>
  <c r="M261" i="2" s="1"/>
  <c r="U261" i="2" s="1"/>
  <c r="G221" i="2"/>
  <c r="G234" i="2" s="1"/>
  <c r="M221" i="2"/>
  <c r="M234" i="2" s="1"/>
  <c r="U234" i="2" s="1"/>
  <c r="G224" i="2"/>
  <c r="G219" i="2"/>
  <c r="G220" i="2"/>
  <c r="M194" i="2"/>
  <c r="M192" i="2"/>
  <c r="M195" i="2"/>
  <c r="M189" i="2"/>
  <c r="M193" i="2"/>
  <c r="K199" i="2"/>
  <c r="M257" i="2" l="1"/>
  <c r="M270" i="2" s="1"/>
  <c r="U270" i="2" s="1"/>
  <c r="G257" i="2"/>
  <c r="G261" i="2"/>
  <c r="G265" i="2"/>
  <c r="G229" i="2"/>
  <c r="M229" i="2"/>
  <c r="M242" i="2" s="1"/>
  <c r="U242" i="2" s="1"/>
  <c r="G233" i="2"/>
  <c r="L193" i="2"/>
  <c r="L194" i="2"/>
  <c r="L199" i="2"/>
  <c r="L189" i="2"/>
  <c r="H219" i="2" s="1"/>
  <c r="I219" i="2" s="1"/>
  <c r="M188" i="2"/>
  <c r="M198" i="2"/>
  <c r="M197" i="2"/>
  <c r="M190" i="2"/>
  <c r="M191" i="2"/>
  <c r="L191" i="2"/>
  <c r="N221" i="2" s="1"/>
  <c r="L198" i="2"/>
  <c r="L196" i="2"/>
  <c r="L190" i="2"/>
  <c r="H248" i="2" s="1"/>
  <c r="K192" i="2"/>
  <c r="G250" i="2" s="1"/>
  <c r="K195" i="2"/>
  <c r="K196" i="2"/>
  <c r="G254" i="2" s="1"/>
  <c r="L188" i="2"/>
  <c r="K193" i="2"/>
  <c r="K198" i="2"/>
  <c r="K197" i="2"/>
  <c r="K188" i="2"/>
  <c r="G232" i="2"/>
  <c r="G262" i="2"/>
  <c r="G260" i="2"/>
  <c r="N247" i="2" s="1"/>
  <c r="G237" i="2"/>
  <c r="H257" i="2" l="1"/>
  <c r="I257" i="2" s="1"/>
  <c r="I248" i="2"/>
  <c r="N252" i="2"/>
  <c r="N265" i="2" s="1"/>
  <c r="M255" i="2"/>
  <c r="M268" i="2" s="1"/>
  <c r="U268" i="2" s="1"/>
  <c r="G255" i="2"/>
  <c r="H255" i="2" s="1"/>
  <c r="I255" i="2" s="1"/>
  <c r="M256" i="2"/>
  <c r="M269" i="2" s="1"/>
  <c r="U269" i="2" s="1"/>
  <c r="G256" i="2"/>
  <c r="H256" i="2" s="1"/>
  <c r="I256" i="2" s="1"/>
  <c r="M253" i="2"/>
  <c r="M266" i="2" s="1"/>
  <c r="U266" i="2" s="1"/>
  <c r="G253" i="2"/>
  <c r="H253" i="2" s="1"/>
  <c r="I253" i="2" s="1"/>
  <c r="M251" i="2"/>
  <c r="M264" i="2" s="1"/>
  <c r="U264" i="2" s="1"/>
  <c r="G251" i="2"/>
  <c r="H251" i="2" s="1"/>
  <c r="I251" i="2" s="1"/>
  <c r="M246" i="2"/>
  <c r="M259" i="2" s="1"/>
  <c r="U259" i="2" s="1"/>
  <c r="G246" i="2"/>
  <c r="H246" i="2" s="1"/>
  <c r="I246" i="2" s="1"/>
  <c r="N248" i="2"/>
  <c r="N261" i="2" s="1"/>
  <c r="H252" i="2"/>
  <c r="H247" i="2"/>
  <c r="I247" i="2" s="1"/>
  <c r="H249" i="2"/>
  <c r="I249" i="2" s="1"/>
  <c r="M226" i="2"/>
  <c r="M239" i="2" s="1"/>
  <c r="U239" i="2" s="1"/>
  <c r="M254" i="2"/>
  <c r="M267" i="2" s="1"/>
  <c r="U267" i="2" s="1"/>
  <c r="M222" i="2"/>
  <c r="M235" i="2" s="1"/>
  <c r="U235" i="2" s="1"/>
  <c r="M250" i="2"/>
  <c r="M263" i="2" s="1"/>
  <c r="U263" i="2" s="1"/>
  <c r="G223" i="2"/>
  <c r="H223" i="2" s="1"/>
  <c r="I223" i="2" s="1"/>
  <c r="M223" i="2"/>
  <c r="M236" i="2" s="1"/>
  <c r="U236" i="2" s="1"/>
  <c r="G227" i="2"/>
  <c r="H227" i="2" s="1"/>
  <c r="I227" i="2" s="1"/>
  <c r="M227" i="2"/>
  <c r="M240" i="2" s="1"/>
  <c r="U240" i="2" s="1"/>
  <c r="G228" i="2"/>
  <c r="H228" i="2" s="1"/>
  <c r="I228" i="2" s="1"/>
  <c r="M228" i="2"/>
  <c r="M241" i="2" s="1"/>
  <c r="U241" i="2" s="1"/>
  <c r="G225" i="2"/>
  <c r="G238" i="2" s="1"/>
  <c r="N225" i="2" s="1"/>
  <c r="M225" i="2"/>
  <c r="M238" i="2" s="1"/>
  <c r="U238" i="2" s="1"/>
  <c r="G218" i="2"/>
  <c r="H218" i="2" s="1"/>
  <c r="I218" i="2" s="1"/>
  <c r="M218" i="2"/>
  <c r="M231" i="2" s="1"/>
  <c r="U231" i="2" s="1"/>
  <c r="G226" i="2"/>
  <c r="H226" i="2" s="1"/>
  <c r="I226" i="2" s="1"/>
  <c r="G222" i="2"/>
  <c r="H222" i="2" s="1"/>
  <c r="I222" i="2" s="1"/>
  <c r="N249" i="2"/>
  <c r="N262" i="2" s="1"/>
  <c r="H261" i="2"/>
  <c r="N224" i="2"/>
  <c r="N237" i="2" s="1"/>
  <c r="N220" i="2"/>
  <c r="N233" i="2" s="1"/>
  <c r="N219" i="2"/>
  <c r="N232" i="2" s="1"/>
  <c r="H220" i="2"/>
  <c r="H229" i="2"/>
  <c r="I229" i="2" s="1"/>
  <c r="H221" i="2"/>
  <c r="H224" i="2"/>
  <c r="N260" i="2"/>
  <c r="J219" i="2"/>
  <c r="K219" i="2" s="1"/>
  <c r="H232" i="2"/>
  <c r="N234" i="2"/>
  <c r="H250" i="2"/>
  <c r="I250" i="2" s="1"/>
  <c r="H254" i="2"/>
  <c r="I254" i="2" s="1"/>
  <c r="G242" i="2"/>
  <c r="N229" i="2" s="1"/>
  <c r="G270" i="2"/>
  <c r="H265" i="2" l="1"/>
  <c r="O252" i="2" s="1"/>
  <c r="O265" i="2" s="1"/>
  <c r="I252" i="2"/>
  <c r="J252" i="2" s="1"/>
  <c r="O248" i="2"/>
  <c r="O261" i="2" s="1"/>
  <c r="O219" i="2"/>
  <c r="O232" i="2" s="1"/>
  <c r="H225" i="2"/>
  <c r="I225" i="2" s="1"/>
  <c r="J225" i="2" s="1"/>
  <c r="K225" i="2" s="1"/>
  <c r="H237" i="2"/>
  <c r="I224" i="2"/>
  <c r="H234" i="2"/>
  <c r="I221" i="2"/>
  <c r="I220" i="2"/>
  <c r="J220" i="2" s="1"/>
  <c r="K220" i="2" s="1"/>
  <c r="N257" i="2"/>
  <c r="N270" i="2" s="1"/>
  <c r="H233" i="2"/>
  <c r="N238" i="2"/>
  <c r="N242" i="2"/>
  <c r="I232" i="2"/>
  <c r="J247" i="2"/>
  <c r="K247" i="2" s="1"/>
  <c r="H260" i="2"/>
  <c r="H262" i="2"/>
  <c r="J249" i="2"/>
  <c r="K249" i="2" s="1"/>
  <c r="G239" i="2"/>
  <c r="N226" i="2" s="1"/>
  <c r="G266" i="2"/>
  <c r="G235" i="2"/>
  <c r="N222" i="2" s="1"/>
  <c r="G263" i="2"/>
  <c r="G267" i="2"/>
  <c r="G264" i="2"/>
  <c r="G240" i="2"/>
  <c r="N227" i="2" s="1"/>
  <c r="G268" i="2"/>
  <c r="G241" i="2"/>
  <c r="N228" i="2" s="1"/>
  <c r="G269" i="2"/>
  <c r="G236" i="2"/>
  <c r="N223" i="2" s="1"/>
  <c r="G231" i="2"/>
  <c r="N218" i="2" s="1"/>
  <c r="G259" i="2"/>
  <c r="H270" i="2"/>
  <c r="J257" i="2"/>
  <c r="K257" i="2" s="1"/>
  <c r="H242" i="2"/>
  <c r="J229" i="2"/>
  <c r="K229" i="2" s="1"/>
  <c r="K232" i="2"/>
  <c r="J232" i="2"/>
  <c r="K252" i="2" l="1"/>
  <c r="K265" i="2" s="1"/>
  <c r="O249" i="2"/>
  <c r="O262" i="2" s="1"/>
  <c r="O257" i="2"/>
  <c r="O270" i="2" s="1"/>
  <c r="O247" i="2"/>
  <c r="O260" i="2" s="1"/>
  <c r="Q219" i="2"/>
  <c r="Q232" i="2" s="1"/>
  <c r="O229" i="2"/>
  <c r="O242" i="2" s="1"/>
  <c r="O224" i="2"/>
  <c r="O237" i="2" s="1"/>
  <c r="H238" i="2"/>
  <c r="O221" i="2"/>
  <c r="O234" i="2" s="1"/>
  <c r="O220" i="2"/>
  <c r="O233" i="2" s="1"/>
  <c r="I238" i="2"/>
  <c r="P225" i="2" s="1"/>
  <c r="P238" i="2" s="1"/>
  <c r="J233" i="2"/>
  <c r="K233" i="2"/>
  <c r="I233" i="2"/>
  <c r="P220" i="2" s="1"/>
  <c r="P233" i="2" s="1"/>
  <c r="J265" i="2"/>
  <c r="N256" i="2"/>
  <c r="N269" i="2" s="1"/>
  <c r="N254" i="2"/>
  <c r="N267" i="2" s="1"/>
  <c r="N255" i="2"/>
  <c r="N268" i="2" s="1"/>
  <c r="N250" i="2"/>
  <c r="N263" i="2" s="1"/>
  <c r="N251" i="2"/>
  <c r="N264" i="2" s="1"/>
  <c r="N253" i="2"/>
  <c r="N266" i="2" s="1"/>
  <c r="N246" i="2"/>
  <c r="N259" i="2" s="1"/>
  <c r="I265" i="2"/>
  <c r="I261" i="2"/>
  <c r="J248" i="2"/>
  <c r="P219" i="2"/>
  <c r="P232" i="2" s="1"/>
  <c r="N239" i="2"/>
  <c r="N235" i="2"/>
  <c r="N240" i="2"/>
  <c r="N236" i="2"/>
  <c r="N241" i="2"/>
  <c r="N231" i="2"/>
  <c r="I234" i="2"/>
  <c r="J221" i="2"/>
  <c r="I237" i="2"/>
  <c r="J224" i="2"/>
  <c r="I260" i="2"/>
  <c r="I262" i="2"/>
  <c r="J253" i="2"/>
  <c r="K253" i="2" s="1"/>
  <c r="H266" i="2"/>
  <c r="H263" i="2"/>
  <c r="J250" i="2"/>
  <c r="K250" i="2" s="1"/>
  <c r="H267" i="2"/>
  <c r="J254" i="2"/>
  <c r="K254" i="2" s="1"/>
  <c r="H235" i="2"/>
  <c r="J222" i="2"/>
  <c r="K222" i="2" s="1"/>
  <c r="H239" i="2"/>
  <c r="J226" i="2"/>
  <c r="K226" i="2" s="1"/>
  <c r="J223" i="2"/>
  <c r="K223" i="2" s="1"/>
  <c r="H236" i="2"/>
  <c r="H241" i="2"/>
  <c r="J228" i="2"/>
  <c r="K228" i="2" s="1"/>
  <c r="J227" i="2"/>
  <c r="K227" i="2" s="1"/>
  <c r="H240" i="2"/>
  <c r="J256" i="2"/>
  <c r="K256" i="2" s="1"/>
  <c r="H269" i="2"/>
  <c r="H268" i="2"/>
  <c r="J255" i="2"/>
  <c r="K255" i="2" s="1"/>
  <c r="H264" i="2"/>
  <c r="J251" i="2"/>
  <c r="K251" i="2" s="1"/>
  <c r="J218" i="2"/>
  <c r="K218" i="2" s="1"/>
  <c r="H231" i="2"/>
  <c r="J246" i="2"/>
  <c r="K246" i="2" s="1"/>
  <c r="H259" i="2"/>
  <c r="I242" i="2"/>
  <c r="K238" i="2"/>
  <c r="J238" i="2"/>
  <c r="I270" i="2"/>
  <c r="J261" i="2" l="1"/>
  <c r="Q248" i="2" s="1"/>
  <c r="Q261" i="2" s="1"/>
  <c r="K248" i="2"/>
  <c r="O256" i="2"/>
  <c r="O269" i="2" s="1"/>
  <c r="O253" i="2"/>
  <c r="O266" i="2" s="1"/>
  <c r="O255" i="2"/>
  <c r="O268" i="2" s="1"/>
  <c r="O250" i="2"/>
  <c r="O263" i="2" s="1"/>
  <c r="O251" i="2"/>
  <c r="O264" i="2" s="1"/>
  <c r="O254" i="2"/>
  <c r="O267" i="2" s="1"/>
  <c r="O246" i="2"/>
  <c r="O259" i="2" s="1"/>
  <c r="Q252" i="2"/>
  <c r="Q265" i="2" s="1"/>
  <c r="S232" i="2"/>
  <c r="Q225" i="2"/>
  <c r="Q238" i="2" s="1"/>
  <c r="Q220" i="2"/>
  <c r="Q233" i="2" s="1"/>
  <c r="S233" i="2" s="1"/>
  <c r="O228" i="2"/>
  <c r="O241" i="2" s="1"/>
  <c r="O226" i="2"/>
  <c r="O239" i="2" s="1"/>
  <c r="O222" i="2"/>
  <c r="O235" i="2" s="1"/>
  <c r="O227" i="2"/>
  <c r="O240" i="2" s="1"/>
  <c r="O223" i="2"/>
  <c r="O236" i="2" s="1"/>
  <c r="O225" i="2"/>
  <c r="O238" i="2" s="1"/>
  <c r="O218" i="2"/>
  <c r="O231" i="2" s="1"/>
  <c r="J234" i="2"/>
  <c r="K221" i="2"/>
  <c r="K234" i="2" s="1"/>
  <c r="J237" i="2"/>
  <c r="K224" i="2"/>
  <c r="K237" i="2" s="1"/>
  <c r="P247" i="2"/>
  <c r="P260" i="2" s="1"/>
  <c r="P248" i="2"/>
  <c r="P261" i="2" s="1"/>
  <c r="P257" i="2"/>
  <c r="P270" i="2" s="1"/>
  <c r="P252" i="2"/>
  <c r="P265" i="2" s="1"/>
  <c r="P249" i="2"/>
  <c r="P262" i="2" s="1"/>
  <c r="K261" i="2"/>
  <c r="P224" i="2"/>
  <c r="P237" i="2" s="1"/>
  <c r="P229" i="2"/>
  <c r="P242" i="2" s="1"/>
  <c r="P221" i="2"/>
  <c r="P234" i="2" s="1"/>
  <c r="K260" i="2"/>
  <c r="J260" i="2"/>
  <c r="K262" i="2"/>
  <c r="J262" i="2"/>
  <c r="I235" i="2"/>
  <c r="I263" i="2"/>
  <c r="I239" i="2"/>
  <c r="I267" i="2"/>
  <c r="I266" i="2"/>
  <c r="I264" i="2"/>
  <c r="I241" i="2"/>
  <c r="I269" i="2"/>
  <c r="I268" i="2"/>
  <c r="I240" i="2"/>
  <c r="I236" i="2"/>
  <c r="I259" i="2"/>
  <c r="I231" i="2"/>
  <c r="K242" i="2"/>
  <c r="J242" i="2"/>
  <c r="J270" i="2"/>
  <c r="K270" i="2"/>
  <c r="V232" i="2" l="1"/>
  <c r="X232" i="2" s="1"/>
  <c r="Z232" i="2" s="1"/>
  <c r="V233" i="2"/>
  <c r="X233" i="2" s="1"/>
  <c r="Z233" i="2" s="1"/>
  <c r="S265" i="2"/>
  <c r="Q257" i="2"/>
  <c r="Q270" i="2" s="1"/>
  <c r="S270" i="2" s="1"/>
  <c r="Q249" i="2"/>
  <c r="Q262" i="2" s="1"/>
  <c r="S262" i="2" s="1"/>
  <c r="S261" i="2"/>
  <c r="Q247" i="2"/>
  <c r="Q260" i="2" s="1"/>
  <c r="S260" i="2" s="1"/>
  <c r="S238" i="2"/>
  <c r="Q224" i="2"/>
  <c r="Q237" i="2" s="1"/>
  <c r="S237" i="2" s="1"/>
  <c r="Q229" i="2"/>
  <c r="Q242" i="2" s="1"/>
  <c r="S242" i="2" s="1"/>
  <c r="Q221" i="2"/>
  <c r="Q234" i="2" s="1"/>
  <c r="S234" i="2" s="1"/>
  <c r="P251" i="2"/>
  <c r="P264" i="2" s="1"/>
  <c r="P250" i="2"/>
  <c r="P263" i="2" s="1"/>
  <c r="P256" i="2"/>
  <c r="P269" i="2" s="1"/>
  <c r="P254" i="2"/>
  <c r="P267" i="2" s="1"/>
  <c r="P255" i="2"/>
  <c r="P268" i="2" s="1"/>
  <c r="P253" i="2"/>
  <c r="P266" i="2" s="1"/>
  <c r="P246" i="2"/>
  <c r="P259" i="2" s="1"/>
  <c r="P226" i="2"/>
  <c r="P239" i="2" s="1"/>
  <c r="P223" i="2"/>
  <c r="P236" i="2" s="1"/>
  <c r="P222" i="2"/>
  <c r="P235" i="2" s="1"/>
  <c r="P227" i="2"/>
  <c r="P240" i="2" s="1"/>
  <c r="P228" i="2"/>
  <c r="P241" i="2" s="1"/>
  <c r="P218" i="2"/>
  <c r="P231" i="2" s="1"/>
  <c r="J263" i="2"/>
  <c r="K263" i="2"/>
  <c r="J239" i="2"/>
  <c r="K239" i="2"/>
  <c r="K235" i="2"/>
  <c r="J235" i="2"/>
  <c r="K267" i="2"/>
  <c r="J267" i="2"/>
  <c r="K266" i="2"/>
  <c r="J266" i="2"/>
  <c r="K236" i="2"/>
  <c r="J236" i="2"/>
  <c r="K268" i="2"/>
  <c r="J268" i="2"/>
  <c r="K240" i="2"/>
  <c r="J240" i="2"/>
  <c r="J269" i="2"/>
  <c r="K269" i="2"/>
  <c r="K264" i="2"/>
  <c r="J264" i="2"/>
  <c r="J241" i="2"/>
  <c r="K241" i="2"/>
  <c r="J259" i="2"/>
  <c r="K259" i="2"/>
  <c r="J231" i="2"/>
  <c r="K231" i="2"/>
  <c r="C346" i="2" l="1"/>
  <c r="C847" i="2" s="1"/>
  <c r="C831" i="2" s="1"/>
  <c r="D627" i="2"/>
  <c r="G627" i="2" s="1"/>
  <c r="I627" i="2" s="1"/>
  <c r="D425" i="2"/>
  <c r="C347" i="2"/>
  <c r="C848" i="2" s="1"/>
  <c r="C832" i="2" s="1"/>
  <c r="D628" i="2"/>
  <c r="G628" i="2" s="1"/>
  <c r="I628" i="2" s="1"/>
  <c r="D426" i="2"/>
  <c r="J284" i="2"/>
  <c r="L284" i="2" s="1"/>
  <c r="M284" i="2" s="1"/>
  <c r="O284" i="2" s="1"/>
  <c r="P284" i="2" s="1"/>
  <c r="D347" i="2" s="1"/>
  <c r="E347" i="2" s="1"/>
  <c r="D848" i="2" s="1"/>
  <c r="D832" i="2" s="1"/>
  <c r="V237" i="2"/>
  <c r="X237" i="2" s="1"/>
  <c r="Z237" i="2" s="1"/>
  <c r="C351" i="2" s="1"/>
  <c r="C852" i="2" s="1"/>
  <c r="V238" i="2"/>
  <c r="X238" i="2" s="1"/>
  <c r="Z238" i="2" s="1"/>
  <c r="V270" i="2"/>
  <c r="X270" i="2" s="1"/>
  <c r="Z270" i="2" s="1"/>
  <c r="V234" i="2"/>
  <c r="X234" i="2" s="1"/>
  <c r="Z234" i="2" s="1"/>
  <c r="V260" i="2"/>
  <c r="X260" i="2" s="1"/>
  <c r="Z260" i="2" s="1"/>
  <c r="J283" i="2"/>
  <c r="L283" i="2" s="1"/>
  <c r="M283" i="2" s="1"/>
  <c r="O283" i="2" s="1"/>
  <c r="P283" i="2" s="1"/>
  <c r="D346" i="2" s="1"/>
  <c r="E346" i="2" s="1"/>
  <c r="D847" i="2" s="1"/>
  <c r="D831" i="2" s="1"/>
  <c r="V262" i="2"/>
  <c r="X262" i="2" s="1"/>
  <c r="Z262" i="2" s="1"/>
  <c r="C374" i="2" s="1"/>
  <c r="V242" i="2"/>
  <c r="X242" i="2" s="1"/>
  <c r="Z242" i="2" s="1"/>
  <c r="V261" i="2"/>
  <c r="X261" i="2" s="1"/>
  <c r="Z261" i="2" s="1"/>
  <c r="C373" i="2" s="1"/>
  <c r="N848" i="2" s="1"/>
  <c r="N832" i="2" s="1"/>
  <c r="V265" i="2"/>
  <c r="X265" i="2" s="1"/>
  <c r="Z265" i="2" s="1"/>
  <c r="Q255" i="2"/>
  <c r="Q268" i="2" s="1"/>
  <c r="S268" i="2" s="1"/>
  <c r="Q256" i="2"/>
  <c r="Q269" i="2" s="1"/>
  <c r="S269" i="2" s="1"/>
  <c r="Q250" i="2"/>
  <c r="Q263" i="2" s="1"/>
  <c r="S263" i="2" s="1"/>
  <c r="Q253" i="2"/>
  <c r="Q266" i="2" s="1"/>
  <c r="S266" i="2" s="1"/>
  <c r="Q251" i="2"/>
  <c r="Q264" i="2" s="1"/>
  <c r="S264" i="2" s="1"/>
  <c r="Q254" i="2"/>
  <c r="Q267" i="2" s="1"/>
  <c r="S267" i="2" s="1"/>
  <c r="Q246" i="2"/>
  <c r="Q259" i="2" s="1"/>
  <c r="S259" i="2" s="1"/>
  <c r="Q222" i="2"/>
  <c r="Q235" i="2" s="1"/>
  <c r="S235" i="2" s="1"/>
  <c r="Q228" i="2"/>
  <c r="Q241" i="2" s="1"/>
  <c r="S241" i="2" s="1"/>
  <c r="Q226" i="2"/>
  <c r="Q239" i="2" s="1"/>
  <c r="S239" i="2" s="1"/>
  <c r="Q227" i="2"/>
  <c r="Q240" i="2" s="1"/>
  <c r="S240" i="2" s="1"/>
  <c r="Q223" i="2"/>
  <c r="Q236" i="2" s="1"/>
  <c r="S236" i="2" s="1"/>
  <c r="Q218" i="2"/>
  <c r="Q231" i="2" s="1"/>
  <c r="S231" i="2" s="1"/>
  <c r="J288" i="2" l="1"/>
  <c r="L288" i="2" s="1"/>
  <c r="M288" i="2" s="1"/>
  <c r="O288" i="2" s="1"/>
  <c r="P288" i="2" s="1"/>
  <c r="D351" i="2" s="1"/>
  <c r="E351" i="2" s="1"/>
  <c r="D852" i="2" s="1"/>
  <c r="D836" i="2" s="1"/>
  <c r="C382" i="2"/>
  <c r="N857" i="2" s="1"/>
  <c r="N841" i="2" s="1"/>
  <c r="G435" i="2"/>
  <c r="J307" i="2"/>
  <c r="L307" i="2" s="1"/>
  <c r="M307" i="2" s="1"/>
  <c r="O307" i="2" s="1"/>
  <c r="P307" i="2" s="1"/>
  <c r="D382" i="2" s="1"/>
  <c r="E382" i="2" s="1"/>
  <c r="O857" i="2" s="1"/>
  <c r="O841" i="2" s="1"/>
  <c r="C372" i="2"/>
  <c r="N847" i="2" s="1"/>
  <c r="N831" i="2" s="1"/>
  <c r="G425" i="2"/>
  <c r="J297" i="2"/>
  <c r="L297" i="2" s="1"/>
  <c r="M297" i="2" s="1"/>
  <c r="O297" i="2" s="1"/>
  <c r="P297" i="2" s="1"/>
  <c r="D372" i="2" s="1"/>
  <c r="E372" i="2" s="1"/>
  <c r="O847" i="2" s="1"/>
  <c r="O831" i="2" s="1"/>
  <c r="E847" i="2"/>
  <c r="E831" i="2" s="1"/>
  <c r="D632" i="2"/>
  <c r="G632" i="2" s="1"/>
  <c r="I632" i="2" s="1"/>
  <c r="E848" i="2"/>
  <c r="E832" i="2" s="1"/>
  <c r="D430" i="2"/>
  <c r="C356" i="2"/>
  <c r="C857" i="2" s="1"/>
  <c r="C841" i="2" s="1"/>
  <c r="J293" i="2"/>
  <c r="L293" i="2" s="1"/>
  <c r="M293" i="2" s="1"/>
  <c r="O293" i="2" s="1"/>
  <c r="P293" i="2" s="1"/>
  <c r="D356" i="2" s="1"/>
  <c r="E356" i="2" s="1"/>
  <c r="D857" i="2" s="1"/>
  <c r="D841" i="2" s="1"/>
  <c r="D435" i="2"/>
  <c r="D637" i="2"/>
  <c r="G637" i="2" s="1"/>
  <c r="I637" i="2" s="1"/>
  <c r="C377" i="2"/>
  <c r="N852" i="2" s="1"/>
  <c r="N836" i="2" s="1"/>
  <c r="J302" i="2"/>
  <c r="L302" i="2" s="1"/>
  <c r="M302" i="2" s="1"/>
  <c r="O302" i="2" s="1"/>
  <c r="P302" i="2" s="1"/>
  <c r="D377" i="2" s="1"/>
  <c r="E377" i="2" s="1"/>
  <c r="O852" i="2" s="1"/>
  <c r="O836" i="2" s="1"/>
  <c r="D654" i="2"/>
  <c r="G654" i="2" s="1"/>
  <c r="I654" i="2" s="1"/>
  <c r="S654" i="2" s="1"/>
  <c r="G430" i="2"/>
  <c r="C352" i="2"/>
  <c r="C853" i="2" s="1"/>
  <c r="D633" i="2"/>
  <c r="G633" i="2" s="1"/>
  <c r="I633" i="2" s="1"/>
  <c r="J289" i="2"/>
  <c r="L289" i="2" s="1"/>
  <c r="M289" i="2" s="1"/>
  <c r="O289" i="2" s="1"/>
  <c r="P289" i="2" s="1"/>
  <c r="D352" i="2" s="1"/>
  <c r="E352" i="2" s="1"/>
  <c r="D853" i="2" s="1"/>
  <c r="D837" i="2" s="1"/>
  <c r="D431" i="2"/>
  <c r="C348" i="2"/>
  <c r="C849" i="2" s="1"/>
  <c r="C833" i="2" s="1"/>
  <c r="D629" i="2"/>
  <c r="G629" i="2" s="1"/>
  <c r="I629" i="2" s="1"/>
  <c r="J285" i="2"/>
  <c r="L285" i="2" s="1"/>
  <c r="M285" i="2" s="1"/>
  <c r="O285" i="2" s="1"/>
  <c r="P285" i="2" s="1"/>
  <c r="D348" i="2" s="1"/>
  <c r="E348" i="2" s="1"/>
  <c r="D849" i="2" s="1"/>
  <c r="D833" i="2" s="1"/>
  <c r="D427" i="2"/>
  <c r="V235" i="2"/>
  <c r="X235" i="2" s="1"/>
  <c r="Z235" i="2" s="1"/>
  <c r="V268" i="2"/>
  <c r="X268" i="2" s="1"/>
  <c r="Z268" i="2" s="1"/>
  <c r="C380" i="2" s="1"/>
  <c r="V231" i="2"/>
  <c r="X231" i="2" s="1"/>
  <c r="Z231" i="2" s="1"/>
  <c r="V239" i="2"/>
  <c r="X239" i="2" s="1"/>
  <c r="Z239" i="2" s="1"/>
  <c r="V259" i="2"/>
  <c r="X259" i="2" s="1"/>
  <c r="Z259" i="2" s="1"/>
  <c r="V266" i="2"/>
  <c r="X266" i="2" s="1"/>
  <c r="Z266" i="2" s="1"/>
  <c r="G426" i="2"/>
  <c r="D650" i="2"/>
  <c r="G650" i="2" s="1"/>
  <c r="I650" i="2" s="1"/>
  <c r="S650" i="2" s="1"/>
  <c r="D649" i="2"/>
  <c r="G649" i="2" s="1"/>
  <c r="I649" i="2" s="1"/>
  <c r="S649" i="2" s="1"/>
  <c r="G427" i="2"/>
  <c r="V263" i="2"/>
  <c r="X263" i="2" s="1"/>
  <c r="Z263" i="2" s="1"/>
  <c r="F346" i="2"/>
  <c r="I346" i="2" s="1"/>
  <c r="J298" i="2"/>
  <c r="L298" i="2" s="1"/>
  <c r="M298" i="2" s="1"/>
  <c r="O298" i="2" s="1"/>
  <c r="P298" i="2" s="1"/>
  <c r="D373" i="2" s="1"/>
  <c r="E373" i="2" s="1"/>
  <c r="O848" i="2" s="1"/>
  <c r="P848" i="2" s="1"/>
  <c r="P832" i="2" s="1"/>
  <c r="D659" i="2"/>
  <c r="G659" i="2" s="1"/>
  <c r="I659" i="2" s="1"/>
  <c r="S659" i="2" s="1"/>
  <c r="V240" i="2"/>
  <c r="X240" i="2" s="1"/>
  <c r="Z240" i="2" s="1"/>
  <c r="V264" i="2"/>
  <c r="X264" i="2" s="1"/>
  <c r="Z264" i="2" s="1"/>
  <c r="D651" i="2"/>
  <c r="G651" i="2" s="1"/>
  <c r="I651" i="2" s="1"/>
  <c r="S651" i="2" s="1"/>
  <c r="F347" i="2"/>
  <c r="H347" i="2" s="1"/>
  <c r="J347" i="2" s="1"/>
  <c r="J848" i="2" s="1"/>
  <c r="J832" i="2" s="1"/>
  <c r="V236" i="2"/>
  <c r="X236" i="2" s="1"/>
  <c r="Z236" i="2" s="1"/>
  <c r="V241" i="2"/>
  <c r="X241" i="2" s="1"/>
  <c r="Z241" i="2" s="1"/>
  <c r="V267" i="2"/>
  <c r="X267" i="2" s="1"/>
  <c r="Z267" i="2" s="1"/>
  <c r="V269" i="2"/>
  <c r="X269" i="2" s="1"/>
  <c r="Z269" i="2" s="1"/>
  <c r="J299" i="2"/>
  <c r="L299" i="2" s="1"/>
  <c r="M299" i="2" s="1"/>
  <c r="O299" i="2" s="1"/>
  <c r="P299" i="2" s="1"/>
  <c r="D374" i="2" s="1"/>
  <c r="E374" i="2" s="1"/>
  <c r="O849" i="2" s="1"/>
  <c r="O833" i="2" s="1"/>
  <c r="N849" i="2"/>
  <c r="C836" i="2"/>
  <c r="E852" i="2" l="1"/>
  <c r="E836" i="2" s="1"/>
  <c r="F382" i="2"/>
  <c r="H382" i="2" s="1"/>
  <c r="J382" i="2" s="1"/>
  <c r="O832" i="2"/>
  <c r="F351" i="2"/>
  <c r="H351" i="2" s="1"/>
  <c r="J351" i="2" s="1"/>
  <c r="J852" i="2" s="1"/>
  <c r="J836" i="2" s="1"/>
  <c r="I347" i="2"/>
  <c r="F372" i="2"/>
  <c r="H372" i="2" s="1"/>
  <c r="J372" i="2" s="1"/>
  <c r="F373" i="2"/>
  <c r="H373" i="2" s="1"/>
  <c r="J373" i="2" s="1"/>
  <c r="U848" i="2" s="1"/>
  <c r="U832" i="2" s="1"/>
  <c r="C353" i="2"/>
  <c r="C854" i="2" s="1"/>
  <c r="C838" i="2" s="1"/>
  <c r="D432" i="2"/>
  <c r="C378" i="2"/>
  <c r="N853" i="2" s="1"/>
  <c r="N837" i="2" s="1"/>
  <c r="J303" i="2"/>
  <c r="L303" i="2" s="1"/>
  <c r="M303" i="2" s="1"/>
  <c r="O303" i="2" s="1"/>
  <c r="P303" i="2" s="1"/>
  <c r="D378" i="2" s="1"/>
  <c r="E378" i="2" s="1"/>
  <c r="O853" i="2" s="1"/>
  <c r="O837" i="2" s="1"/>
  <c r="G431" i="2"/>
  <c r="P847" i="2"/>
  <c r="P831" i="2" s="1"/>
  <c r="P849" i="2"/>
  <c r="P833" i="2" s="1"/>
  <c r="J305" i="2"/>
  <c r="L305" i="2" s="1"/>
  <c r="M305" i="2" s="1"/>
  <c r="O305" i="2" s="1"/>
  <c r="P305" i="2" s="1"/>
  <c r="D380" i="2" s="1"/>
  <c r="E380" i="2" s="1"/>
  <c r="O855" i="2" s="1"/>
  <c r="O839" i="2" s="1"/>
  <c r="P857" i="2"/>
  <c r="P841" i="2" s="1"/>
  <c r="P852" i="2"/>
  <c r="P836" i="2" s="1"/>
  <c r="C379" i="2"/>
  <c r="N854" i="2" s="1"/>
  <c r="D656" i="2"/>
  <c r="G656" i="2" s="1"/>
  <c r="I656" i="2" s="1"/>
  <c r="S656" i="2" s="1"/>
  <c r="G432" i="2"/>
  <c r="J304" i="2"/>
  <c r="L304" i="2" s="1"/>
  <c r="M304" i="2" s="1"/>
  <c r="O304" i="2" s="1"/>
  <c r="P304" i="2" s="1"/>
  <c r="D379" i="2" s="1"/>
  <c r="E379" i="2" s="1"/>
  <c r="O854" i="2" s="1"/>
  <c r="O838" i="2" s="1"/>
  <c r="C355" i="2"/>
  <c r="J292" i="2"/>
  <c r="L292" i="2" s="1"/>
  <c r="M292" i="2" s="1"/>
  <c r="O292" i="2" s="1"/>
  <c r="P292" i="2" s="1"/>
  <c r="D355" i="2" s="1"/>
  <c r="E355" i="2" s="1"/>
  <c r="D856" i="2" s="1"/>
  <c r="D840" i="2" s="1"/>
  <c r="D434" i="2"/>
  <c r="D636" i="2"/>
  <c r="G636" i="2" s="1"/>
  <c r="I636" i="2" s="1"/>
  <c r="C376" i="2"/>
  <c r="N851" i="2" s="1"/>
  <c r="J301" i="2"/>
  <c r="L301" i="2" s="1"/>
  <c r="M301" i="2" s="1"/>
  <c r="O301" i="2" s="1"/>
  <c r="P301" i="2" s="1"/>
  <c r="D376" i="2" s="1"/>
  <c r="E376" i="2" s="1"/>
  <c r="O851" i="2" s="1"/>
  <c r="O835" i="2" s="1"/>
  <c r="D653" i="2"/>
  <c r="G653" i="2" s="1"/>
  <c r="I653" i="2" s="1"/>
  <c r="S653" i="2" s="1"/>
  <c r="G429" i="2"/>
  <c r="J296" i="2"/>
  <c r="L296" i="2" s="1"/>
  <c r="M296" i="2" s="1"/>
  <c r="O296" i="2" s="1"/>
  <c r="P296" i="2" s="1"/>
  <c r="D371" i="2" s="1"/>
  <c r="C371" i="2"/>
  <c r="N846" i="2" s="1"/>
  <c r="N830" i="2" s="1"/>
  <c r="G424" i="2"/>
  <c r="D648" i="2"/>
  <c r="G648" i="2" s="1"/>
  <c r="I648" i="2" s="1"/>
  <c r="S648" i="2" s="1"/>
  <c r="C350" i="2"/>
  <c r="C851" i="2" s="1"/>
  <c r="C835" i="2" s="1"/>
  <c r="D631" i="2"/>
  <c r="G631" i="2" s="1"/>
  <c r="I631" i="2" s="1"/>
  <c r="J287" i="2"/>
  <c r="L287" i="2" s="1"/>
  <c r="M287" i="2" s="1"/>
  <c r="O287" i="2" s="1"/>
  <c r="P287" i="2" s="1"/>
  <c r="D350" i="2" s="1"/>
  <c r="E350" i="2" s="1"/>
  <c r="D429" i="2"/>
  <c r="C354" i="2"/>
  <c r="C855" i="2" s="1"/>
  <c r="C839" i="2" s="1"/>
  <c r="J291" i="2"/>
  <c r="L291" i="2" s="1"/>
  <c r="M291" i="2" s="1"/>
  <c r="O291" i="2" s="1"/>
  <c r="P291" i="2" s="1"/>
  <c r="D354" i="2" s="1"/>
  <c r="E354" i="2" s="1"/>
  <c r="D855" i="2" s="1"/>
  <c r="D839" i="2" s="1"/>
  <c r="D433" i="2"/>
  <c r="D635" i="2"/>
  <c r="G635" i="2" s="1"/>
  <c r="I635" i="2" s="1"/>
  <c r="C375" i="2"/>
  <c r="N850" i="2" s="1"/>
  <c r="N834" i="2" s="1"/>
  <c r="G428" i="2"/>
  <c r="D652" i="2"/>
  <c r="G652" i="2" s="1"/>
  <c r="I652" i="2" s="1"/>
  <c r="S652" i="2" s="1"/>
  <c r="J300" i="2"/>
  <c r="L300" i="2" s="1"/>
  <c r="M300" i="2" s="1"/>
  <c r="O300" i="2" s="1"/>
  <c r="P300" i="2" s="1"/>
  <c r="D375" i="2" s="1"/>
  <c r="E375" i="2" s="1"/>
  <c r="O850" i="2" s="1"/>
  <c r="O834" i="2" s="1"/>
  <c r="C345" i="2"/>
  <c r="J278" i="2"/>
  <c r="J282" i="2"/>
  <c r="L282" i="2" s="1"/>
  <c r="M282" i="2" s="1"/>
  <c r="O282" i="2" s="1"/>
  <c r="P282" i="2" s="1"/>
  <c r="D345" i="2" s="1"/>
  <c r="E345" i="2" s="1"/>
  <c r="D424" i="2"/>
  <c r="D626" i="2"/>
  <c r="G626" i="2" s="1"/>
  <c r="I626" i="2" s="1"/>
  <c r="C381" i="2"/>
  <c r="N856" i="2" s="1"/>
  <c r="N840" i="2" s="1"/>
  <c r="J306" i="2"/>
  <c r="L306" i="2" s="1"/>
  <c r="M306" i="2" s="1"/>
  <c r="O306" i="2" s="1"/>
  <c r="P306" i="2" s="1"/>
  <c r="D381" i="2" s="1"/>
  <c r="E381" i="2" s="1"/>
  <c r="O856" i="2" s="1"/>
  <c r="O840" i="2" s="1"/>
  <c r="G434" i="2"/>
  <c r="D658" i="2"/>
  <c r="G658" i="2" s="1"/>
  <c r="I658" i="2" s="1"/>
  <c r="S658" i="2" s="1"/>
  <c r="C349" i="2"/>
  <c r="C850" i="2" s="1"/>
  <c r="C834" i="2" s="1"/>
  <c r="J286" i="2"/>
  <c r="L286" i="2" s="1"/>
  <c r="M286" i="2" s="1"/>
  <c r="O286" i="2" s="1"/>
  <c r="P286" i="2" s="1"/>
  <c r="D349" i="2" s="1"/>
  <c r="E349" i="2" s="1"/>
  <c r="D850" i="2" s="1"/>
  <c r="D834" i="2" s="1"/>
  <c r="D428" i="2"/>
  <c r="D630" i="2"/>
  <c r="G630" i="2" s="1"/>
  <c r="I630" i="2" s="1"/>
  <c r="G433" i="2"/>
  <c r="F348" i="2"/>
  <c r="H348" i="2" s="1"/>
  <c r="J348" i="2" s="1"/>
  <c r="J849" i="2" s="1"/>
  <c r="J833" i="2" s="1"/>
  <c r="F352" i="2"/>
  <c r="I352" i="2" s="1"/>
  <c r="D657" i="2"/>
  <c r="G657" i="2" s="1"/>
  <c r="I657" i="2" s="1"/>
  <c r="S657" i="2" s="1"/>
  <c r="J290" i="2"/>
  <c r="L290" i="2" s="1"/>
  <c r="M290" i="2" s="1"/>
  <c r="O290" i="2" s="1"/>
  <c r="P290" i="2" s="1"/>
  <c r="D353" i="2" s="1"/>
  <c r="E353" i="2" s="1"/>
  <c r="D854" i="2" s="1"/>
  <c r="D838" i="2" s="1"/>
  <c r="D634" i="2"/>
  <c r="G634" i="2" s="1"/>
  <c r="I634" i="2" s="1"/>
  <c r="E857" i="2"/>
  <c r="E841" i="2" s="1"/>
  <c r="F356" i="2"/>
  <c r="H356" i="2" s="1"/>
  <c r="J356" i="2" s="1"/>
  <c r="J857" i="2" s="1"/>
  <c r="J841" i="2" s="1"/>
  <c r="D655" i="2"/>
  <c r="G655" i="2" s="1"/>
  <c r="I655" i="2" s="1"/>
  <c r="S655" i="2" s="1"/>
  <c r="L347" i="2"/>
  <c r="E849" i="2"/>
  <c r="E833" i="2" s="1"/>
  <c r="H346" i="2"/>
  <c r="J346" i="2" s="1"/>
  <c r="J847" i="2" s="1"/>
  <c r="J831" i="2" s="1"/>
  <c r="F377" i="2"/>
  <c r="H377" i="2" s="1"/>
  <c r="J377" i="2" s="1"/>
  <c r="F374" i="2"/>
  <c r="H374" i="2" s="1"/>
  <c r="J374" i="2" s="1"/>
  <c r="E853" i="2"/>
  <c r="E837" i="2" s="1"/>
  <c r="C837" i="2"/>
  <c r="N855" i="2"/>
  <c r="N833" i="2"/>
  <c r="I351" i="2" l="1"/>
  <c r="H352" i="2"/>
  <c r="J352" i="2" s="1"/>
  <c r="J853" i="2" s="1"/>
  <c r="J837" i="2" s="1"/>
  <c r="L351" i="2"/>
  <c r="C426" i="2"/>
  <c r="E426" i="2" s="1"/>
  <c r="K628" i="2" s="1"/>
  <c r="M628" i="2" s="1"/>
  <c r="I348" i="2"/>
  <c r="F380" i="2"/>
  <c r="H380" i="2" s="1"/>
  <c r="J380" i="2" s="1"/>
  <c r="P851" i="2"/>
  <c r="P835" i="2" s="1"/>
  <c r="F355" i="2"/>
  <c r="I355" i="2" s="1"/>
  <c r="P853" i="2"/>
  <c r="P837" i="2" s="1"/>
  <c r="N835" i="2"/>
  <c r="M294" i="2"/>
  <c r="C856" i="2"/>
  <c r="C840" i="2" s="1"/>
  <c r="N628" i="2"/>
  <c r="P856" i="2"/>
  <c r="P840" i="2" s="1"/>
  <c r="F376" i="2"/>
  <c r="H376" i="2" s="1"/>
  <c r="J376" i="2" s="1"/>
  <c r="E855" i="2"/>
  <c r="E839" i="2" s="1"/>
  <c r="L294" i="2"/>
  <c r="L356" i="2"/>
  <c r="F354" i="2"/>
  <c r="I354" i="2" s="1"/>
  <c r="F353" i="2"/>
  <c r="I353" i="2" s="1"/>
  <c r="P855" i="2"/>
  <c r="P839" i="2" s="1"/>
  <c r="L346" i="2"/>
  <c r="K848" i="2"/>
  <c r="K832" i="2" s="1"/>
  <c r="J294" i="2"/>
  <c r="F381" i="2"/>
  <c r="H381" i="2" s="1"/>
  <c r="J381" i="2" s="1"/>
  <c r="I356" i="2"/>
  <c r="F378" i="2"/>
  <c r="H378" i="2" s="1"/>
  <c r="J378" i="2" s="1"/>
  <c r="F350" i="2"/>
  <c r="H350" i="2" s="1"/>
  <c r="J350" i="2" s="1"/>
  <c r="J851" i="2" s="1"/>
  <c r="J835" i="2" s="1"/>
  <c r="P850" i="2"/>
  <c r="P834" i="2" s="1"/>
  <c r="P854" i="2"/>
  <c r="P838" i="2" s="1"/>
  <c r="D851" i="2"/>
  <c r="D835" i="2" s="1"/>
  <c r="M308" i="2"/>
  <c r="J308" i="2"/>
  <c r="F375" i="2"/>
  <c r="H375" i="2" s="1"/>
  <c r="J375" i="2" s="1"/>
  <c r="L348" i="2"/>
  <c r="F379" i="2"/>
  <c r="H379" i="2" s="1"/>
  <c r="J379" i="2" s="1"/>
  <c r="C383" i="2"/>
  <c r="O308" i="2"/>
  <c r="E850" i="2"/>
  <c r="E834" i="2" s="1"/>
  <c r="F349" i="2"/>
  <c r="I349" i="2" s="1"/>
  <c r="L308" i="2"/>
  <c r="C846" i="2"/>
  <c r="C830" i="2" s="1"/>
  <c r="C357" i="2"/>
  <c r="E371" i="2"/>
  <c r="E383" i="2" s="1"/>
  <c r="U852" i="2"/>
  <c r="U836" i="2" s="1"/>
  <c r="L377" i="2"/>
  <c r="L382" i="2"/>
  <c r="U857" i="2"/>
  <c r="U841" i="2" s="1"/>
  <c r="L372" i="2"/>
  <c r="U847" i="2"/>
  <c r="U831" i="2" s="1"/>
  <c r="L374" i="2"/>
  <c r="U849" i="2"/>
  <c r="U833" i="2" s="1"/>
  <c r="L373" i="2"/>
  <c r="C425" i="2"/>
  <c r="E425" i="2" s="1"/>
  <c r="K627" i="2" s="1"/>
  <c r="M627" i="2" s="1"/>
  <c r="N858" i="2"/>
  <c r="N839" i="2"/>
  <c r="N838" i="2"/>
  <c r="E854" i="2"/>
  <c r="E838" i="2" s="1"/>
  <c r="O294" i="2"/>
  <c r="D846" i="2"/>
  <c r="E357" i="2"/>
  <c r="F345" i="2"/>
  <c r="P308" i="2"/>
  <c r="P294" i="2"/>
  <c r="V852" i="2" l="1"/>
  <c r="V836" i="2" s="1"/>
  <c r="V857" i="2"/>
  <c r="V841" i="2" s="1"/>
  <c r="V848" i="2"/>
  <c r="V832" i="2" s="1"/>
  <c r="C427" i="2"/>
  <c r="E427" i="2" s="1"/>
  <c r="K629" i="2" s="1"/>
  <c r="M629" i="2" s="1"/>
  <c r="C430" i="2"/>
  <c r="E430" i="2" s="1"/>
  <c r="K632" i="2" s="1"/>
  <c r="M632" i="2" s="1"/>
  <c r="K852" i="2"/>
  <c r="K836" i="2" s="1"/>
  <c r="N632" i="2"/>
  <c r="L352" i="2"/>
  <c r="K857" i="2"/>
  <c r="K841" i="2" s="1"/>
  <c r="C842" i="2"/>
  <c r="I350" i="2"/>
  <c r="H355" i="2"/>
  <c r="J355" i="2" s="1"/>
  <c r="J856" i="2" s="1"/>
  <c r="J840" i="2" s="1"/>
  <c r="C435" i="2"/>
  <c r="E435" i="2" s="1"/>
  <c r="K637" i="2" s="1"/>
  <c r="M637" i="2" s="1"/>
  <c r="L350" i="2"/>
  <c r="H354" i="2"/>
  <c r="J354" i="2" s="1"/>
  <c r="J855" i="2" s="1"/>
  <c r="J839" i="2" s="1"/>
  <c r="O628" i="2"/>
  <c r="H353" i="2"/>
  <c r="J353" i="2" s="1"/>
  <c r="J854" i="2" s="1"/>
  <c r="J838" i="2" s="1"/>
  <c r="E856" i="2"/>
  <c r="E840" i="2" s="1"/>
  <c r="N637" i="2"/>
  <c r="C858" i="2"/>
  <c r="N627" i="2"/>
  <c r="O627" i="2" s="1"/>
  <c r="K847" i="2"/>
  <c r="K831" i="2" s="1"/>
  <c r="K849" i="2"/>
  <c r="K833" i="2" s="1"/>
  <c r="D702" i="2"/>
  <c r="V847" i="2"/>
  <c r="V831" i="2" s="1"/>
  <c r="E851" i="2"/>
  <c r="E835" i="2" s="1"/>
  <c r="H349" i="2"/>
  <c r="J349" i="2" s="1"/>
  <c r="J850" i="2" s="1"/>
  <c r="J834" i="2" s="1"/>
  <c r="N629" i="2"/>
  <c r="G704" i="2"/>
  <c r="V849" i="2"/>
  <c r="V833" i="2" s="1"/>
  <c r="F371" i="2"/>
  <c r="F383" i="2" s="1"/>
  <c r="O846" i="2"/>
  <c r="O858" i="2" s="1"/>
  <c r="F430" i="2"/>
  <c r="H430" i="2" s="1"/>
  <c r="K654" i="2" s="1"/>
  <c r="M654" i="2" s="1"/>
  <c r="N654" i="2"/>
  <c r="G712" i="2"/>
  <c r="G707" i="2"/>
  <c r="N650" i="2"/>
  <c r="D712" i="2"/>
  <c r="N659" i="2"/>
  <c r="G703" i="2"/>
  <c r="D707" i="2"/>
  <c r="F426" i="2"/>
  <c r="H426" i="2" s="1"/>
  <c r="K650" i="2" s="1"/>
  <c r="M650" i="2" s="1"/>
  <c r="U850" i="2"/>
  <c r="U834" i="2" s="1"/>
  <c r="L375" i="2"/>
  <c r="D703" i="2"/>
  <c r="D704" i="2"/>
  <c r="U853" i="2"/>
  <c r="U837" i="2" s="1"/>
  <c r="L378" i="2"/>
  <c r="U851" i="2"/>
  <c r="U835" i="2" s="1"/>
  <c r="L376" i="2"/>
  <c r="L379" i="2"/>
  <c r="U854" i="2"/>
  <c r="U838" i="2" s="1"/>
  <c r="L380" i="2"/>
  <c r="U855" i="2"/>
  <c r="U839" i="2" s="1"/>
  <c r="U856" i="2"/>
  <c r="U840" i="2" s="1"/>
  <c r="L381" i="2"/>
  <c r="F435" i="2"/>
  <c r="H435" i="2" s="1"/>
  <c r="K659" i="2" s="1"/>
  <c r="M659" i="2" s="1"/>
  <c r="N649" i="2"/>
  <c r="F425" i="2"/>
  <c r="H425" i="2" s="1"/>
  <c r="K649" i="2" s="1"/>
  <c r="M649" i="2" s="1"/>
  <c r="G702" i="2"/>
  <c r="N651" i="2"/>
  <c r="F427" i="2"/>
  <c r="H427" i="2" s="1"/>
  <c r="K651" i="2" s="1"/>
  <c r="M651" i="2" s="1"/>
  <c r="N842" i="2"/>
  <c r="D830" i="2"/>
  <c r="D842" i="2" s="1"/>
  <c r="D858" i="2"/>
  <c r="E846" i="2"/>
  <c r="F357" i="2"/>
  <c r="H345" i="2"/>
  <c r="J345" i="2" s="1"/>
  <c r="J846" i="2" s="1"/>
  <c r="J830" i="2" s="1"/>
  <c r="I345" i="2"/>
  <c r="V854" i="2" l="1"/>
  <c r="V838" i="2" s="1"/>
  <c r="V855" i="2"/>
  <c r="V839" i="2" s="1"/>
  <c r="O629" i="2"/>
  <c r="N631" i="2"/>
  <c r="L354" i="2"/>
  <c r="N633" i="2"/>
  <c r="O632" i="2"/>
  <c r="L355" i="2"/>
  <c r="C431" i="2"/>
  <c r="E431" i="2" s="1"/>
  <c r="K633" i="2" s="1"/>
  <c r="M633" i="2" s="1"/>
  <c r="K853" i="2"/>
  <c r="K837" i="2" s="1"/>
  <c r="K851" i="2"/>
  <c r="K835" i="2" s="1"/>
  <c r="C429" i="2"/>
  <c r="E429" i="2" s="1"/>
  <c r="K631" i="2" s="1"/>
  <c r="M631" i="2" s="1"/>
  <c r="L353" i="2"/>
  <c r="O637" i="2"/>
  <c r="L349" i="2"/>
  <c r="F429" i="2"/>
  <c r="H429" i="2" s="1"/>
  <c r="K653" i="2" s="1"/>
  <c r="M653" i="2" s="1"/>
  <c r="V851" i="2"/>
  <c r="V835" i="2" s="1"/>
  <c r="F434" i="2"/>
  <c r="H434" i="2" s="1"/>
  <c r="K658" i="2" s="1"/>
  <c r="M658" i="2" s="1"/>
  <c r="V856" i="2"/>
  <c r="V840" i="2" s="1"/>
  <c r="N655" i="2"/>
  <c r="V853" i="2"/>
  <c r="V837" i="2" s="1"/>
  <c r="N652" i="2"/>
  <c r="V850" i="2"/>
  <c r="V834" i="2" s="1"/>
  <c r="O830" i="2"/>
  <c r="O842" i="2" s="1"/>
  <c r="H371" i="2"/>
  <c r="P846" i="2"/>
  <c r="P858" i="2" s="1"/>
  <c r="I430" i="2"/>
  <c r="N430" i="2" s="1"/>
  <c r="O430" i="2" s="1"/>
  <c r="I426" i="2"/>
  <c r="K426" i="2" s="1"/>
  <c r="L426" i="2" s="1"/>
  <c r="O654" i="2"/>
  <c r="O650" i="2"/>
  <c r="P650" i="2" s="1"/>
  <c r="Q650" i="2" s="1"/>
  <c r="I427" i="2"/>
  <c r="K427" i="2" s="1"/>
  <c r="L427" i="2" s="1"/>
  <c r="O659" i="2"/>
  <c r="D708" i="2"/>
  <c r="D706" i="2"/>
  <c r="N653" i="2"/>
  <c r="O651" i="2"/>
  <c r="G706" i="2"/>
  <c r="I435" i="2"/>
  <c r="K435" i="2" s="1"/>
  <c r="L435" i="2" s="1"/>
  <c r="F428" i="2"/>
  <c r="H428" i="2" s="1"/>
  <c r="K652" i="2" s="1"/>
  <c r="M652" i="2" s="1"/>
  <c r="F431" i="2"/>
  <c r="H431" i="2" s="1"/>
  <c r="K655" i="2" s="1"/>
  <c r="M655" i="2" s="1"/>
  <c r="G708" i="2"/>
  <c r="O649" i="2"/>
  <c r="P649" i="2" s="1"/>
  <c r="Q649" i="2" s="1"/>
  <c r="N658" i="2"/>
  <c r="I425" i="2"/>
  <c r="N425" i="2" s="1"/>
  <c r="O425" i="2" s="1"/>
  <c r="F432" i="2"/>
  <c r="H432" i="2" s="1"/>
  <c r="K656" i="2" s="1"/>
  <c r="M656" i="2" s="1"/>
  <c r="N656" i="2"/>
  <c r="N657" i="2"/>
  <c r="F433" i="2"/>
  <c r="H433" i="2" s="1"/>
  <c r="K657" i="2" s="1"/>
  <c r="M657" i="2" s="1"/>
  <c r="L345" i="2"/>
  <c r="E830" i="2"/>
  <c r="E842" i="2" s="1"/>
  <c r="E858" i="2"/>
  <c r="G710" i="2" l="1"/>
  <c r="N636" i="2"/>
  <c r="O633" i="2"/>
  <c r="P651" i="2"/>
  <c r="Q651" i="2" s="1"/>
  <c r="O631" i="2"/>
  <c r="G705" i="2"/>
  <c r="D709" i="2"/>
  <c r="G711" i="2"/>
  <c r="C433" i="2"/>
  <c r="E433" i="2" s="1"/>
  <c r="K635" i="2" s="1"/>
  <c r="M635" i="2" s="1"/>
  <c r="L357" i="2"/>
  <c r="D710" i="2"/>
  <c r="K855" i="2"/>
  <c r="K839" i="2" s="1"/>
  <c r="N635" i="2"/>
  <c r="C434" i="2"/>
  <c r="E434" i="2" s="1"/>
  <c r="K636" i="2" s="1"/>
  <c r="M636" i="2" s="1"/>
  <c r="K854" i="2"/>
  <c r="K838" i="2" s="1"/>
  <c r="G709" i="2"/>
  <c r="K856" i="2"/>
  <c r="K840" i="2" s="1"/>
  <c r="D711" i="2"/>
  <c r="O653" i="2"/>
  <c r="P654" i="2"/>
  <c r="Q654" i="2" s="1"/>
  <c r="O658" i="2"/>
  <c r="K850" i="2"/>
  <c r="K834" i="2" s="1"/>
  <c r="D705" i="2"/>
  <c r="C428" i="2"/>
  <c r="E428" i="2" s="1"/>
  <c r="K630" i="2" s="1"/>
  <c r="M630" i="2" s="1"/>
  <c r="N630" i="2"/>
  <c r="N634" i="2"/>
  <c r="C432" i="2"/>
  <c r="E432" i="2" s="1"/>
  <c r="K634" i="2" s="1"/>
  <c r="M634" i="2" s="1"/>
  <c r="I429" i="2"/>
  <c r="K429" i="2" s="1"/>
  <c r="L429" i="2" s="1"/>
  <c r="P637" i="2"/>
  <c r="Q637" i="2" s="1"/>
  <c r="O655" i="2"/>
  <c r="O652" i="2"/>
  <c r="P830" i="2"/>
  <c r="P842" i="2" s="1"/>
  <c r="F8" i="5"/>
  <c r="F25" i="5" s="1"/>
  <c r="F7" i="5"/>
  <c r="F24" i="5" s="1"/>
  <c r="F16" i="5"/>
  <c r="F33" i="5" s="1"/>
  <c r="K846" i="2"/>
  <c r="K830" i="2" s="1"/>
  <c r="J371" i="2"/>
  <c r="K430" i="2"/>
  <c r="L430" i="2" s="1"/>
  <c r="P632" i="2"/>
  <c r="Q632" i="2" s="1"/>
  <c r="N426" i="2"/>
  <c r="O426" i="2" s="1"/>
  <c r="P628" i="2"/>
  <c r="Q628" i="2" s="1"/>
  <c r="N427" i="2"/>
  <c r="O427" i="2" s="1"/>
  <c r="P659" i="2"/>
  <c r="Q659" i="2" s="1"/>
  <c r="N435" i="2"/>
  <c r="O435" i="2" s="1"/>
  <c r="P629" i="2"/>
  <c r="Q629" i="2" s="1"/>
  <c r="O657" i="2"/>
  <c r="P627" i="2"/>
  <c r="Q627" i="2" s="1"/>
  <c r="O656" i="2"/>
  <c r="I431" i="2"/>
  <c r="K431" i="2" s="1"/>
  <c r="L431" i="2" s="1"/>
  <c r="K425" i="2"/>
  <c r="L425" i="2" s="1"/>
  <c r="C424" i="2"/>
  <c r="E424" i="2" s="1"/>
  <c r="O636" i="2" l="1"/>
  <c r="P636" i="2" s="1"/>
  <c r="Q636" i="2" s="1"/>
  <c r="P655" i="2"/>
  <c r="Q655" i="2" s="1"/>
  <c r="P653" i="2"/>
  <c r="Q653" i="2" s="1"/>
  <c r="O635" i="2"/>
  <c r="P635" i="2" s="1"/>
  <c r="Q635" i="2" s="1"/>
  <c r="I433" i="2"/>
  <c r="N433" i="2" s="1"/>
  <c r="O433" i="2" s="1"/>
  <c r="I434" i="2"/>
  <c r="K434" i="2" s="1"/>
  <c r="L434" i="2" s="1"/>
  <c r="F15" i="5" s="1"/>
  <c r="F32" i="5" s="1"/>
  <c r="K842" i="2"/>
  <c r="Q4" i="5" s="1"/>
  <c r="O634" i="2"/>
  <c r="P656" i="2" s="1"/>
  <c r="Q656" i="2" s="1"/>
  <c r="P631" i="2"/>
  <c r="Q631" i="2" s="1"/>
  <c r="P633" i="2"/>
  <c r="Q633" i="2" s="1"/>
  <c r="N429" i="2"/>
  <c r="O429" i="2" s="1"/>
  <c r="I432" i="2"/>
  <c r="K432" i="2" s="1"/>
  <c r="L432" i="2" s="1"/>
  <c r="F13" i="5" s="1"/>
  <c r="F30" i="5" s="1"/>
  <c r="I428" i="2"/>
  <c r="N428" i="2" s="1"/>
  <c r="O428" i="2" s="1"/>
  <c r="O630" i="2"/>
  <c r="P630" i="2" s="1"/>
  <c r="Q630" i="2" s="1"/>
  <c r="K858" i="2"/>
  <c r="F12" i="5"/>
  <c r="F29" i="5" s="1"/>
  <c r="F6" i="5"/>
  <c r="F23" i="5" s="1"/>
  <c r="F10" i="5"/>
  <c r="F27" i="5" s="1"/>
  <c r="F11" i="5"/>
  <c r="F28" i="5" s="1"/>
  <c r="L371" i="2"/>
  <c r="U846" i="2"/>
  <c r="U830" i="2" s="1"/>
  <c r="N431" i="2"/>
  <c r="O431" i="2" s="1"/>
  <c r="N626" i="2"/>
  <c r="K626" i="2"/>
  <c r="M626" i="2" s="1"/>
  <c r="K433" i="2" l="1"/>
  <c r="L433" i="2" s="1"/>
  <c r="F14" i="5" s="1"/>
  <c r="F31" i="5" s="1"/>
  <c r="P658" i="2"/>
  <c r="Q658" i="2" s="1"/>
  <c r="G701" i="2"/>
  <c r="V846" i="2"/>
  <c r="V858" i="2" s="1"/>
  <c r="P657" i="2"/>
  <c r="Q657" i="2" s="1"/>
  <c r="N434" i="2"/>
  <c r="O434" i="2" s="1"/>
  <c r="P634" i="2"/>
  <c r="Q634" i="2" s="1"/>
  <c r="N432" i="2"/>
  <c r="O432" i="2" s="1"/>
  <c r="K428" i="2"/>
  <c r="L428" i="2" s="1"/>
  <c r="F9" i="5" s="1"/>
  <c r="F26" i="5" s="1"/>
  <c r="P652" i="2"/>
  <c r="Q652" i="2" s="1"/>
  <c r="F424" i="2"/>
  <c r="L383" i="2"/>
  <c r="N648" i="2"/>
  <c r="D701" i="2"/>
  <c r="D713" i="2" s="1"/>
  <c r="E701" i="2" s="1"/>
  <c r="O626" i="2"/>
  <c r="S4" i="5"/>
  <c r="G713" i="2" l="1"/>
  <c r="H701" i="2" s="1"/>
  <c r="L701" i="2" s="1"/>
  <c r="J709" i="2"/>
  <c r="J711" i="2"/>
  <c r="J705" i="2"/>
  <c r="J703" i="2"/>
  <c r="J704" i="2"/>
  <c r="J708" i="2"/>
  <c r="J707" i="2"/>
  <c r="J710" i="2"/>
  <c r="J702" i="2"/>
  <c r="J712" i="2"/>
  <c r="J706" i="2"/>
  <c r="I471" i="2"/>
  <c r="J701" i="2"/>
  <c r="V830" i="2"/>
  <c r="V842" i="2" s="1"/>
  <c r="Q5" i="5" s="1"/>
  <c r="S5" i="5" s="1"/>
  <c r="H424" i="2"/>
  <c r="E710" i="2"/>
  <c r="E711" i="2"/>
  <c r="E707" i="2"/>
  <c r="E712" i="2"/>
  <c r="E705" i="2"/>
  <c r="E702" i="2"/>
  <c r="E709" i="2"/>
  <c r="E704" i="2"/>
  <c r="E708" i="2"/>
  <c r="E706" i="2"/>
  <c r="E703" i="2"/>
  <c r="F713" i="2" l="1"/>
  <c r="K648" i="2"/>
  <c r="M648" i="2" s="1"/>
  <c r="O648" i="2" s="1"/>
  <c r="P626" i="2" s="1"/>
  <c r="Q626" i="2" s="1"/>
  <c r="I424" i="2"/>
  <c r="K424" i="2" s="1"/>
  <c r="L424" i="2" s="1"/>
  <c r="H706" i="2"/>
  <c r="L706" i="2" s="1"/>
  <c r="H712" i="2"/>
  <c r="L712" i="2" s="1"/>
  <c r="H702" i="2"/>
  <c r="L702" i="2" s="1"/>
  <c r="H704" i="2"/>
  <c r="L704" i="2" s="1"/>
  <c r="H709" i="2"/>
  <c r="L709" i="2" s="1"/>
  <c r="H710" i="2"/>
  <c r="L710" i="2" s="1"/>
  <c r="H705" i="2"/>
  <c r="L705" i="2" s="1"/>
  <c r="H708" i="2"/>
  <c r="L708" i="2" s="1"/>
  <c r="H707" i="2"/>
  <c r="L707" i="2" s="1"/>
  <c r="H703" i="2"/>
  <c r="L703" i="2" s="1"/>
  <c r="H711" i="2"/>
  <c r="L711" i="2" s="1"/>
  <c r="I472" i="2"/>
  <c r="J713" i="2"/>
  <c r="Q6" i="5"/>
  <c r="S6" i="5" s="1"/>
  <c r="K703" i="2" l="1"/>
  <c r="G7" i="5" s="1"/>
  <c r="G24" i="5" s="1"/>
  <c r="I713" i="2"/>
  <c r="P648" i="2"/>
  <c r="Q648" i="2" s="1"/>
  <c r="K704" i="2"/>
  <c r="G8" i="5" s="1"/>
  <c r="G25" i="5" s="1"/>
  <c r="K436" i="2"/>
  <c r="N424" i="2"/>
  <c r="O424" i="2" s="1"/>
  <c r="O436" i="2" s="1"/>
  <c r="K707" i="2"/>
  <c r="G11" i="5" s="1"/>
  <c r="G28" i="5" s="1"/>
  <c r="K705" i="2"/>
  <c r="G9" i="5" s="1"/>
  <c r="G26" i="5" s="1"/>
  <c r="K702" i="2"/>
  <c r="G6" i="5" s="1"/>
  <c r="G23" i="5" s="1"/>
  <c r="K706" i="2"/>
  <c r="G10" i="5" s="1"/>
  <c r="G27" i="5" s="1"/>
  <c r="K711" i="2"/>
  <c r="G15" i="5" s="1"/>
  <c r="G32" i="5" s="1"/>
  <c r="K712" i="2"/>
  <c r="G16" i="5" s="1"/>
  <c r="G33" i="5" s="1"/>
  <c r="Q33" i="5"/>
  <c r="S33" i="5" s="1"/>
  <c r="K708" i="2"/>
  <c r="G12" i="5" s="1"/>
  <c r="G29" i="5" s="1"/>
  <c r="K710" i="2"/>
  <c r="G14" i="5" s="1"/>
  <c r="G31" i="5" s="1"/>
  <c r="K701" i="2"/>
  <c r="K709" i="2"/>
  <c r="G13" i="5" s="1"/>
  <c r="G30" i="5" s="1"/>
  <c r="L436" i="2"/>
  <c r="F5" i="5"/>
  <c r="L713" i="2" l="1"/>
  <c r="G5" i="5"/>
  <c r="G22" i="5" s="1"/>
  <c r="G34" i="5" s="1"/>
  <c r="F22" i="5"/>
  <c r="F34" i="5" s="1"/>
  <c r="F17" i="5"/>
  <c r="G17" i="5" l="1"/>
  <c r="A34" i="50" l="1"/>
  <c r="G475" i="2"/>
  <c r="D475" i="2"/>
  <c r="I474" i="2" s="1"/>
  <c r="C527" i="2" l="1"/>
  <c r="E527" i="2" s="1"/>
  <c r="C532" i="2"/>
  <c r="E532" i="2" s="1"/>
  <c r="C523" i="2"/>
  <c r="C533" i="2"/>
  <c r="E533" i="2" s="1"/>
  <c r="C528" i="2"/>
  <c r="E528" i="2" s="1"/>
  <c r="C526" i="2"/>
  <c r="E526" i="2" s="1"/>
  <c r="C525" i="2"/>
  <c r="E525" i="2" s="1"/>
  <c r="C530" i="2"/>
  <c r="E530" i="2" s="1"/>
  <c r="C529" i="2"/>
  <c r="E529" i="2" s="1"/>
  <c r="C534" i="2"/>
  <c r="E534" i="2" s="1"/>
  <c r="C531" i="2"/>
  <c r="E531" i="2" s="1"/>
  <c r="C524" i="2"/>
  <c r="E524" i="2" s="1"/>
  <c r="I475" i="2"/>
  <c r="F559" i="2" l="1"/>
  <c r="B40" i="5" s="1"/>
  <c r="C559" i="2"/>
  <c r="B23" i="5" s="1"/>
  <c r="F568" i="2"/>
  <c r="B49" i="5" s="1"/>
  <c r="C568" i="2"/>
  <c r="B32" i="5" s="1"/>
  <c r="F566" i="2"/>
  <c r="B47" i="5" s="1"/>
  <c r="C566" i="2"/>
  <c r="B30" i="5" s="1"/>
  <c r="F569" i="2"/>
  <c r="B50" i="5" s="1"/>
  <c r="C569" i="2"/>
  <c r="B33" i="5" s="1"/>
  <c r="F561" i="2"/>
  <c r="B42" i="5" s="1"/>
  <c r="C561" i="2"/>
  <c r="B25" i="5" s="1"/>
  <c r="F567" i="2"/>
  <c r="B48" i="5" s="1"/>
  <c r="C567" i="2"/>
  <c r="B31" i="5" s="1"/>
  <c r="F565" i="2"/>
  <c r="B46" i="5" s="1"/>
  <c r="C565" i="2"/>
  <c r="B29" i="5" s="1"/>
  <c r="F560" i="2"/>
  <c r="B41" i="5" s="1"/>
  <c r="C560" i="2"/>
  <c r="B24" i="5" s="1"/>
  <c r="F564" i="2"/>
  <c r="B45" i="5" s="1"/>
  <c r="C564" i="2"/>
  <c r="B28" i="5" s="1"/>
  <c r="F563" i="2"/>
  <c r="B44" i="5" s="1"/>
  <c r="C563" i="2"/>
  <c r="B27" i="5" s="1"/>
  <c r="F562" i="2"/>
  <c r="B43" i="5" s="1"/>
  <c r="C562" i="2"/>
  <c r="B26" i="5" s="1"/>
  <c r="G531" i="2"/>
  <c r="G529" i="2"/>
  <c r="G534" i="2"/>
  <c r="G528" i="2"/>
  <c r="G525" i="2"/>
  <c r="G533" i="2"/>
  <c r="G526" i="2"/>
  <c r="G523" i="2"/>
  <c r="H523" i="2" s="1"/>
  <c r="G524" i="2"/>
  <c r="G527" i="2"/>
  <c r="G532" i="2"/>
  <c r="G530" i="2"/>
  <c r="E523" i="2"/>
  <c r="C558" i="2" s="1"/>
  <c r="C535" i="2"/>
  <c r="B11" i="5" l="1"/>
  <c r="B6" i="5"/>
  <c r="B8" i="5"/>
  <c r="B13" i="5"/>
  <c r="B12" i="5"/>
  <c r="B9" i="5"/>
  <c r="B22" i="5"/>
  <c r="B34" i="5" s="1"/>
  <c r="C570" i="2"/>
  <c r="B14" i="5"/>
  <c r="B10" i="5"/>
  <c r="B16" i="5"/>
  <c r="B7" i="5"/>
  <c r="B15" i="5"/>
  <c r="C550" i="2"/>
  <c r="H532" i="2"/>
  <c r="C552" i="2"/>
  <c r="D552" i="2" s="1"/>
  <c r="H534" i="2"/>
  <c r="C548" i="2"/>
  <c r="D548" i="2" s="1"/>
  <c r="H530" i="2"/>
  <c r="C546" i="2"/>
  <c r="D546" i="2" s="1"/>
  <c r="H528" i="2"/>
  <c r="C544" i="2"/>
  <c r="E544" i="2" s="1"/>
  <c r="G561" i="2" s="1"/>
  <c r="C42" i="5" s="1"/>
  <c r="K42" i="5" s="1"/>
  <c r="L42" i="5" s="1"/>
  <c r="H526" i="2"/>
  <c r="C545" i="2"/>
  <c r="D545" i="2" s="1"/>
  <c r="H527" i="2"/>
  <c r="C551" i="2"/>
  <c r="D551" i="2" s="1"/>
  <c r="H533" i="2"/>
  <c r="C547" i="2"/>
  <c r="D547" i="2" s="1"/>
  <c r="H529" i="2"/>
  <c r="C542" i="2"/>
  <c r="E542" i="2" s="1"/>
  <c r="G559" i="2" s="1"/>
  <c r="C40" i="5" s="1"/>
  <c r="K40" i="5" s="1"/>
  <c r="L40" i="5" s="1"/>
  <c r="H524" i="2"/>
  <c r="C543" i="2"/>
  <c r="D543" i="2" s="1"/>
  <c r="H525" i="2"/>
  <c r="C549" i="2"/>
  <c r="E549" i="2" s="1"/>
  <c r="G566" i="2" s="1"/>
  <c r="C47" i="5" s="1"/>
  <c r="K47" i="5" s="1"/>
  <c r="L47" i="5" s="1"/>
  <c r="H531" i="2"/>
  <c r="E543" i="2"/>
  <c r="G560" i="2" s="1"/>
  <c r="C41" i="5" s="1"/>
  <c r="K41" i="5" s="1"/>
  <c r="L41" i="5" s="1"/>
  <c r="E548" i="2"/>
  <c r="G565" i="2" s="1"/>
  <c r="C46" i="5" s="1"/>
  <c r="K46" i="5" s="1"/>
  <c r="L46" i="5" s="1"/>
  <c r="G535" i="2"/>
  <c r="C541" i="2"/>
  <c r="E546" i="2"/>
  <c r="G563" i="2" s="1"/>
  <c r="C44" i="5" s="1"/>
  <c r="K44" i="5" s="1"/>
  <c r="L44" i="5" s="1"/>
  <c r="D544" i="2"/>
  <c r="E545" i="2"/>
  <c r="G562" i="2" s="1"/>
  <c r="C43" i="5" s="1"/>
  <c r="K43" i="5" s="1"/>
  <c r="L43" i="5" s="1"/>
  <c r="D550" i="2"/>
  <c r="E550" i="2"/>
  <c r="G567" i="2" s="1"/>
  <c r="C48" i="5" s="1"/>
  <c r="K48" i="5" s="1"/>
  <c r="L48" i="5" s="1"/>
  <c r="E552" i="2"/>
  <c r="G569" i="2" s="1"/>
  <c r="C50" i="5" s="1"/>
  <c r="K50" i="5" s="1"/>
  <c r="L50" i="5" s="1"/>
  <c r="F558" i="2"/>
  <c r="E535" i="2"/>
  <c r="D565" i="2" l="1"/>
  <c r="C12" i="5" s="1"/>
  <c r="K12" i="5" s="1"/>
  <c r="L12" i="5" s="1"/>
  <c r="E547" i="2"/>
  <c r="G564" i="2" s="1"/>
  <c r="C45" i="5" s="1"/>
  <c r="K45" i="5" s="1"/>
  <c r="L45" i="5" s="1"/>
  <c r="H535" i="2"/>
  <c r="D567" i="2"/>
  <c r="C31" i="5" s="1"/>
  <c r="K31" i="5" s="1"/>
  <c r="L31" i="5" s="1"/>
  <c r="D568" i="2"/>
  <c r="C32" i="5" s="1"/>
  <c r="K32" i="5" s="1"/>
  <c r="L32" i="5" s="1"/>
  <c r="D549" i="2"/>
  <c r="D566" i="2" s="1"/>
  <c r="C30" i="5" s="1"/>
  <c r="K30" i="5" s="1"/>
  <c r="L30" i="5" s="1"/>
  <c r="D542" i="2"/>
  <c r="D559" i="2" s="1"/>
  <c r="C23" i="5" s="1"/>
  <c r="K23" i="5" s="1"/>
  <c r="L23" i="5" s="1"/>
  <c r="E551" i="2"/>
  <c r="G568" i="2" s="1"/>
  <c r="C49" i="5" s="1"/>
  <c r="K49" i="5" s="1"/>
  <c r="L49" i="5" s="1"/>
  <c r="D560" i="2"/>
  <c r="C7" i="5" s="1"/>
  <c r="K7" i="5" s="1"/>
  <c r="L7" i="5" s="1"/>
  <c r="D564" i="2"/>
  <c r="C28" i="5" s="1"/>
  <c r="K28" i="5" s="1"/>
  <c r="L28" i="5" s="1"/>
  <c r="D562" i="2"/>
  <c r="C26" i="5" s="1"/>
  <c r="K26" i="5" s="1"/>
  <c r="L26" i="5" s="1"/>
  <c r="D563" i="2"/>
  <c r="C27" i="5" s="1"/>
  <c r="K27" i="5" s="1"/>
  <c r="L27" i="5" s="1"/>
  <c r="D561" i="2"/>
  <c r="C8" i="5" s="1"/>
  <c r="K8" i="5" s="1"/>
  <c r="L8" i="5" s="1"/>
  <c r="D569" i="2"/>
  <c r="C33" i="5" s="1"/>
  <c r="K33" i="5" s="1"/>
  <c r="L33" i="5" s="1"/>
  <c r="E541" i="2"/>
  <c r="C553" i="2"/>
  <c r="D541" i="2"/>
  <c r="B5" i="5"/>
  <c r="F570" i="2"/>
  <c r="B39" i="5"/>
  <c r="C29" i="5" l="1"/>
  <c r="K29" i="5" s="1"/>
  <c r="L29" i="5" s="1"/>
  <c r="C9" i="5"/>
  <c r="K9" i="5" s="1"/>
  <c r="L9" i="5" s="1"/>
  <c r="C10" i="5"/>
  <c r="K10" i="5" s="1"/>
  <c r="L10" i="5" s="1"/>
  <c r="C16" i="5"/>
  <c r="K16" i="5" s="1"/>
  <c r="L16" i="5" s="1"/>
  <c r="C14" i="5"/>
  <c r="K14" i="5" s="1"/>
  <c r="L14" i="5" s="1"/>
  <c r="C6" i="5"/>
  <c r="K6" i="5" s="1"/>
  <c r="L6" i="5" s="1"/>
  <c r="C13" i="5"/>
  <c r="K13" i="5" s="1"/>
  <c r="L13" i="5" s="1"/>
  <c r="C11" i="5"/>
  <c r="K11" i="5" s="1"/>
  <c r="L11" i="5" s="1"/>
  <c r="C15" i="5"/>
  <c r="K15" i="5" s="1"/>
  <c r="L15" i="5" s="1"/>
  <c r="C24" i="5"/>
  <c r="K24" i="5" s="1"/>
  <c r="L24" i="5" s="1"/>
  <c r="C25" i="5"/>
  <c r="K25" i="5" s="1"/>
  <c r="L25" i="5" s="1"/>
  <c r="B17" i="5"/>
  <c r="D553" i="2"/>
  <c r="D558" i="2"/>
  <c r="B51" i="5"/>
  <c r="G558" i="2"/>
  <c r="E553" i="2"/>
  <c r="D570" i="2" l="1"/>
  <c r="C22" i="5"/>
  <c r="C5" i="5"/>
  <c r="G570" i="2"/>
  <c r="C39" i="5"/>
  <c r="C51" i="5" l="1"/>
  <c r="K39" i="5"/>
  <c r="L39" i="5" s="1"/>
  <c r="C17" i="5"/>
  <c r="K5" i="5"/>
  <c r="L5" i="5" s="1"/>
  <c r="K22" i="5"/>
  <c r="L22" i="5" s="1"/>
  <c r="C34" i="5"/>
  <c r="K51" i="5" l="1"/>
  <c r="L51" i="5" s="1"/>
  <c r="K34" i="5"/>
  <c r="L34" i="5" s="1"/>
  <c r="K17" i="5"/>
  <c r="L17" i="5" s="1"/>
  <c r="Q7" i="5" l="1"/>
  <c r="Q13" i="5" s="1"/>
  <c r="Q8" i="5"/>
  <c r="Q14" i="5" s="1"/>
  <c r="Q9" i="5"/>
  <c r="Q15" i="5" l="1"/>
  <c r="S15" i="5" s="1"/>
  <c r="S7" i="5"/>
  <c r="S9" i="5"/>
  <c r="F1" i="1" s="1"/>
  <c r="Q34" i="5"/>
  <c r="S34" i="5" s="1"/>
  <c r="S8" i="5"/>
  <c r="S13" i="5" l="1"/>
  <c r="Q24" i="5"/>
  <c r="S24" i="5" s="1"/>
  <c r="Q18" i="5"/>
  <c r="Q25" i="5"/>
  <c r="S25" i="5" s="1"/>
  <c r="Q23" i="5"/>
  <c r="S23" i="5" s="1"/>
  <c r="S14" i="5"/>
  <c r="Q19" i="5"/>
  <c r="S19" i="5" s="1"/>
  <c r="S18" i="5" l="1"/>
  <c r="Q20" i="5"/>
  <c r="Q10" i="5" s="1"/>
  <c r="S20" i="5" l="1"/>
  <c r="S10" i="5" l="1"/>
  <c r="Q35" i="5"/>
  <c r="S35" i="5" s="1"/>
</calcChain>
</file>

<file path=xl/comments1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2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3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4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5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6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D4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Determined by building type.</t>
        </r>
      </text>
    </comment>
    <comment ref="D4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Determined by building type.</t>
        </r>
      </text>
    </comment>
    <comment ref="J28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Author:
Minimum value 0.001 m3/h/m2 applied for the calculation</t>
        </r>
      </text>
    </comment>
  </commentList>
</comments>
</file>

<file path=xl/comments8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9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sharedStrings.xml><?xml version="1.0" encoding="utf-8"?>
<sst xmlns="http://schemas.openxmlformats.org/spreadsheetml/2006/main" count="3483" uniqueCount="1178">
  <si>
    <t>Hourly &amp; Monthly Energy Calculation Inputs - Non Residential</t>
  </si>
  <si>
    <t>Building Type</t>
  </si>
  <si>
    <t>Window 2</t>
  </si>
  <si>
    <t>Solar Transmittance</t>
  </si>
  <si>
    <t>Terrain class</t>
  </si>
  <si>
    <t>Window</t>
  </si>
  <si>
    <t>Orientation</t>
  </si>
  <si>
    <t>SW</t>
  </si>
  <si>
    <t>S</t>
  </si>
  <si>
    <t>Equivalent full-load occupancy hours - From:</t>
  </si>
  <si>
    <t>SE</t>
  </si>
  <si>
    <t>Equivalent full-load occupancy hours - To:</t>
  </si>
  <si>
    <t>E</t>
  </si>
  <si>
    <t>averaged</t>
  </si>
  <si>
    <t>NE</t>
  </si>
  <si>
    <t>N</t>
  </si>
  <si>
    <t>Internal Temperature Set Point</t>
  </si>
  <si>
    <t>NW</t>
  </si>
  <si>
    <t>Occupied</t>
  </si>
  <si>
    <t>W</t>
  </si>
  <si>
    <t>Unoccupied</t>
  </si>
  <si>
    <t>[Table] Heat recovery system efficiency</t>
  </si>
  <si>
    <t>&lt;Source: NEN 2916 Table 6&gt;</t>
  </si>
  <si>
    <t>Heat recovery system</t>
  </si>
  <si>
    <t>No heat recovery</t>
  </si>
  <si>
    <t>Heat exchange plates or pipes (0.65)</t>
  </si>
  <si>
    <t>Two-elements-system (0.6)</t>
  </si>
  <si>
    <r>
      <t>Loading cold with air-conditioning (0.4</t>
    </r>
    <r>
      <rPr>
        <b/>
        <sz val="10"/>
        <rFont val="Calibri"/>
        <family val="2"/>
        <scheme val="minor"/>
      </rPr>
      <t>)</t>
    </r>
  </si>
  <si>
    <t>Heat-pipes (0.6)</t>
  </si>
  <si>
    <t>Slowly rotating or intermittent heat exchangers (0.7)</t>
  </si>
  <si>
    <t>Lighting</t>
  </si>
  <si>
    <t>All Taps Within 3m from Heat Generation</t>
  </si>
  <si>
    <t>Electric</t>
  </si>
  <si>
    <t>Taps More Than 3m from Heat Generation</t>
  </si>
  <si>
    <t>Circulation system or Unknown</t>
  </si>
  <si>
    <t>Gas Boiler, HR-Boiler</t>
  </si>
  <si>
    <t>Co-Generation</t>
  </si>
  <si>
    <t>District Heating</t>
  </si>
  <si>
    <t>Building System</t>
  </si>
  <si>
    <t>Heat Pump</t>
  </si>
  <si>
    <t>Cooling System</t>
  </si>
  <si>
    <t xml:space="preserve">1. No airco system / Water or Water&amp;Air / NA / Yes </t>
  </si>
  <si>
    <t>Steam</t>
  </si>
  <si>
    <t>2. No airco system / Water or Water&amp;Air / NA / No</t>
  </si>
  <si>
    <t>3. No airco system / Air / NA /  Yes</t>
  </si>
  <si>
    <t>Refer to the right table</t>
  </si>
  <si>
    <t>4. No airco system / Air / NA /  No</t>
  </si>
  <si>
    <t>Heating System</t>
  </si>
  <si>
    <t>5. Single duct system / Water or Water&amp;Air / Water / Yes</t>
  </si>
  <si>
    <t>6 .Single duct system / Water or Water&amp;Air / Air / Yes</t>
  </si>
  <si>
    <t>Heating System Efficiency [KW/KW]</t>
  </si>
  <si>
    <t>7. Single duct system / Water or Water&amp;Air / Air / No</t>
  </si>
  <si>
    <t>Ventilation System</t>
  </si>
  <si>
    <t>8. Single duct system / Air  / Air / Yes</t>
  </si>
  <si>
    <t>Ventilation type</t>
  </si>
  <si>
    <t>9. Single duct system / Air / Air / No</t>
  </si>
  <si>
    <t>10. Dual duct system / Water or Water&amp;Air / Water / Yes</t>
  </si>
  <si>
    <t>11. Dual duct system / Water or Water&amp;Air / Air / Yes</t>
  </si>
  <si>
    <t>12. Dual duct system  / Water or Water&amp;Air / Air / No</t>
  </si>
  <si>
    <t>13. Dual duct system / Air / Water / Yes</t>
  </si>
  <si>
    <t>14. Single duct , Terminal reheat / Water or Water&amp;Air / Water / Yes</t>
  </si>
  <si>
    <t>Exhaust air recirculation percentage</t>
  </si>
  <si>
    <t>15. Single duct , Terminal reheat  / Water or Water&amp;Air / Air / Yes</t>
  </si>
  <si>
    <t>16. Single duct , Terminal reheat / Water or Water&amp;Air / Air / No</t>
  </si>
  <si>
    <t>Pump System</t>
  </si>
  <si>
    <t>17. Constant volume / Water or Water&amp;Air / Water / Yes</t>
  </si>
  <si>
    <t>Pump control for cooling</t>
  </si>
  <si>
    <t>18. Constant volume / Water or Water&amp;Air / Air / Yes</t>
  </si>
  <si>
    <t>Pump control for heating</t>
  </si>
  <si>
    <t>19. Constant volume / Water or Water&amp;Air / Air / No</t>
  </si>
  <si>
    <t>Domestic Hot Water System</t>
  </si>
  <si>
    <t>20. Constant volume / Air  / Air / Yes</t>
  </si>
  <si>
    <t>21. Constant volume / Air / Air / No</t>
  </si>
  <si>
    <t>22. Variable air volume / Water or Water&amp;Air / Water / Yes</t>
  </si>
  <si>
    <t>23. Variable air volume / Water or Water&amp;Air / Air / Yes</t>
  </si>
  <si>
    <t>24. Variable air volume / Water or Water&amp;Air / Air / No</t>
  </si>
  <si>
    <t>25. Fan coil system, 2-pipe</t>
  </si>
  <si>
    <t>34. Embedded cooling system floors, walls or ceilings</t>
  </si>
  <si>
    <t>35. Room units including single duct units</t>
  </si>
  <si>
    <t>36. Direct expansion single split system</t>
  </si>
  <si>
    <t>DATA for Calculation</t>
  </si>
  <si>
    <t>Equivalent full-load hours</t>
  </si>
  <si>
    <t>Operation hours</t>
  </si>
  <si>
    <t>Gross Floor Area (m2)</t>
  </si>
  <si>
    <t xml:space="preserve">Start </t>
  </si>
  <si>
    <t>Unocc Weekday</t>
  </si>
  <si>
    <t>Unocc Weekend Daytime</t>
  </si>
  <si>
    <t>Unocc Weekend Night</t>
  </si>
  <si>
    <t>Unocc Weekend Total</t>
  </si>
  <si>
    <t>End</t>
  </si>
  <si>
    <t>Bldg schedule and hours</t>
  </si>
  <si>
    <t>Days</t>
  </si>
  <si>
    <t>Total hours</t>
  </si>
  <si>
    <t>Operation days</t>
  </si>
  <si>
    <t>Fraction</t>
  </si>
  <si>
    <t>Occupancy fraction</t>
  </si>
  <si>
    <t>Start</t>
  </si>
  <si>
    <t>Operation Ratio</t>
  </si>
  <si>
    <t>fop_school</t>
  </si>
  <si>
    <t>fop_school=0.08 * operation ratio + 0.92 (developed by parametric study on the basis of standardized model)</t>
  </si>
  <si>
    <t>Occupancy</t>
  </si>
  <si>
    <t>Occupancy (m2/person)</t>
  </si>
  <si>
    <t>occupied</t>
  </si>
  <si>
    <t>Total occupants</t>
  </si>
  <si>
    <t>Appliances</t>
  </si>
  <si>
    <t>Internal heat gain</t>
  </si>
  <si>
    <t>Unoccupied Weekday night</t>
  </si>
  <si>
    <t>Unoccupied Weekend daytime</t>
  </si>
  <si>
    <t>Unoccupied Weekend night</t>
  </si>
  <si>
    <t>Occupants (W/m2)</t>
  </si>
  <si>
    <t>Appliances (W/m2)</t>
  </si>
  <si>
    <t>Lighting (W/m2)</t>
  </si>
  <si>
    <t>Total Internal Heat flow (W/m2)</t>
  </si>
  <si>
    <t>Solar radiation fraction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</si>
  <si>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</si>
  <si>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</si>
  <si>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</si>
  <si>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</si>
  <si>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</si>
  <si>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</si>
  <si>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</si>
  <si>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</si>
  <si>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</si>
  <si>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</si>
  <si>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</si>
  <si>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</si>
  <si>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Internal heat gain (MJ)</t>
  </si>
  <si>
    <t>Solar heat gain (MJ)</t>
  </si>
  <si>
    <t>Hve (Ventilation loss)</t>
  </si>
  <si>
    <t>T_e</t>
  </si>
  <si>
    <t>Temperature (Occ, Weekday Unocc, Weekend)</t>
  </si>
  <si>
    <t>Temperature setpoint</t>
  </si>
  <si>
    <t>Heating Setpoint  (°C )</t>
  </si>
  <si>
    <t>Reduced set-point temperature or switch off</t>
  </si>
  <si>
    <t>Cooling Setpoint (°C )</t>
  </si>
  <si>
    <t>Unoccupied Parameter</t>
  </si>
  <si>
    <t>Htr (W/K)</t>
  </si>
  <si>
    <t>Hve (W/K)</t>
  </si>
  <si>
    <t>Htotal (W/K)</t>
  </si>
  <si>
    <t>M (Wh/K)</t>
  </si>
  <si>
    <t xml:space="preserve">θ_unocc (t)=(θ_(int,set)-θ_(e,unocc)-Q_(gn,unocc)/H_unocc ) e^(-H_unocc/M t)+θ_(e,unocc)+Q_(gn,unocc)/H_unocc </t>
  </si>
  <si>
    <t xml:space="preserve">θ_(cal,unocc) (t)=M/(t〖∙H〗_unocc ) (θ_(int,set)-θ_(e,unocc)-Q_(gn,unocc)/H_unocc )(1-e^(-H_unocc/M∙t) )+θ_(e,unocc)+Q_(gn,unocc)/H_unocc </t>
  </si>
  <si>
    <t>Occupied Cooling Set-point Temperature</t>
  </si>
  <si>
    <t>T_i_heat_occ</t>
  </si>
  <si>
    <t>T_i_SatMor_heat</t>
  </si>
  <si>
    <t>T_i_SatAft_heat</t>
  </si>
  <si>
    <t>T_i_SunMor_heat</t>
  </si>
  <si>
    <t>T_i_SunAft_heat</t>
  </si>
  <si>
    <t>T_i_MonMor_heat</t>
  </si>
  <si>
    <t>T_i_FriNight_heat_avg</t>
  </si>
  <si>
    <t>T_i_SatDay_heat_avg</t>
  </si>
  <si>
    <t>T_i_SatNight_heat_avg</t>
  </si>
  <si>
    <t>T_i_SunDay_heat_avg</t>
  </si>
  <si>
    <t>T_i_SunNight_heat_avg</t>
  </si>
  <si>
    <t>Weekday  Unoccupied Night Average</t>
  </si>
  <si>
    <t>Weekend Unoccupied Average Temperature</t>
  </si>
  <si>
    <t>Average Temperature</t>
  </si>
  <si>
    <t>T_i_weekend_heat_avg</t>
  </si>
  <si>
    <t>T_i_unocc_weekday_night</t>
  </si>
  <si>
    <t>T_i_unocc_weekend</t>
  </si>
  <si>
    <t>T_i_average</t>
  </si>
  <si>
    <t>T_i_heat_average_cal</t>
  </si>
  <si>
    <t>T_i_cool_occ</t>
  </si>
  <si>
    <t>T_i_SatMor_cool</t>
  </si>
  <si>
    <t>T_i_SatAft_cool</t>
  </si>
  <si>
    <t>T_i_SunMor_cool</t>
  </si>
  <si>
    <t>T_i_SunAft_cool</t>
  </si>
  <si>
    <t>T_i_MonMor_cool</t>
  </si>
  <si>
    <t>T_i_FriNight_cool_avg</t>
  </si>
  <si>
    <t>T_i_SatDay_cool_avg</t>
  </si>
  <si>
    <t>T_i_SatNight_cool_avg</t>
  </si>
  <si>
    <t>T_i_SunDay_cool_avg</t>
  </si>
  <si>
    <t>T_i_SunNight_cool_avg</t>
  </si>
  <si>
    <t>T_i_weekend_cool_avg</t>
  </si>
  <si>
    <t>T_i_cool_average_cal</t>
  </si>
  <si>
    <t>Envelope</t>
  </si>
  <si>
    <t>Area</t>
  </si>
  <si>
    <t>Roof</t>
  </si>
  <si>
    <t>Total</t>
  </si>
  <si>
    <t>Opaque Area</t>
  </si>
  <si>
    <t>Window Type 1</t>
  </si>
  <si>
    <t>Window2 Type2</t>
  </si>
  <si>
    <t>U-value</t>
  </si>
  <si>
    <t>Hor</t>
  </si>
  <si>
    <t>Opaque</t>
  </si>
  <si>
    <t>Htr</t>
  </si>
  <si>
    <t>Opaque_Ht</t>
  </si>
  <si>
    <t>Window1 _Ht</t>
  </si>
  <si>
    <t>Window2 _Ht</t>
  </si>
  <si>
    <t>Total_Ht</t>
  </si>
  <si>
    <t>Window 1</t>
  </si>
  <si>
    <t>Window1 SCF</t>
  </si>
  <si>
    <t>% of SCF</t>
  </si>
  <si>
    <t>Window2 SCF</t>
  </si>
  <si>
    <t>Window1 SDF</t>
  </si>
  <si>
    <t>% of SDF</t>
  </si>
  <si>
    <t>Window2 SDF</t>
  </si>
  <si>
    <t xml:space="preserve">% of SDF </t>
  </si>
  <si>
    <t>Dropdown menu</t>
  </si>
  <si>
    <t xml:space="preserve">[Table]Envelope Heat Capacity Class </t>
  </si>
  <si>
    <t>[Table] Shading Reduction Factor (Blind Control)</t>
  </si>
  <si>
    <t>Am factor</t>
  </si>
  <si>
    <t>&lt;Source: ISO 13790 12.3&gt;</t>
  </si>
  <si>
    <t>&lt;Source:  NEN 2916 Table 11&gt;</t>
  </si>
  <si>
    <t>Ht Coefficient</t>
  </si>
  <si>
    <t>Class</t>
  </si>
  <si>
    <t>Seasonal, Monthly, Hourly Cm</t>
  </si>
  <si>
    <t>Shading system</t>
  </si>
  <si>
    <t>Redcution factor</t>
  </si>
  <si>
    <t>Very Light: 80,000 J/(Km2)</t>
  </si>
  <si>
    <t>*Af</t>
  </si>
  <si>
    <t>User-moveable</t>
  </si>
  <si>
    <t>Light : 110,000 J/(Km2)</t>
  </si>
  <si>
    <t>Automatic control</t>
  </si>
  <si>
    <t>Medium: 165,000 J/(Km2)</t>
  </si>
  <si>
    <t>All other cases</t>
  </si>
  <si>
    <t>Heavy: 260,000 J/(Km2)</t>
  </si>
  <si>
    <t>Very heavy: 370,000 J/(Km2)</t>
  </si>
  <si>
    <t>Ventilation Zone Height (m)</t>
  </si>
  <si>
    <t>Heating</t>
  </si>
  <si>
    <t>Exposed façade</t>
  </si>
  <si>
    <t>qv,me</t>
  </si>
  <si>
    <t>qv,me (for calculation)</t>
  </si>
  <si>
    <t>qv,stack (m3/h/m2)</t>
  </si>
  <si>
    <t>qv,wind (m3/h/m2)</t>
  </si>
  <si>
    <t>qv-sw (m3/h/m2)</t>
  </si>
  <si>
    <t>qv,inf (m3/h/m2)</t>
  </si>
  <si>
    <t>qv,tot (m3/h/m2)</t>
  </si>
  <si>
    <t>Hve (W/K/m2)</t>
  </si>
  <si>
    <t>More than one exposed façade</t>
  </si>
  <si>
    <t>EN ISO 13789 Table C.2</t>
  </si>
  <si>
    <t>Vent type</t>
  </si>
  <si>
    <t>Only one exposed façade</t>
  </si>
  <si>
    <t>Shieding class</t>
  </si>
  <si>
    <t>Multi family building air change rate</t>
  </si>
  <si>
    <t xml:space="preserve">Minimum ventilation for Non-Res </t>
  </si>
  <si>
    <t>Vmin: Non-Res Min airflow rate (m3/h/m2)</t>
  </si>
  <si>
    <t>more than one exposed façade</t>
  </si>
  <si>
    <t>one exposed façade</t>
  </si>
  <si>
    <t>&lt;Source: EN ISO 13789 C.3&gt;</t>
  </si>
  <si>
    <t>Air leakage level</t>
  </si>
  <si>
    <t>Air Leakage Level</t>
  </si>
  <si>
    <t>η : HR efficiency</t>
  </si>
  <si>
    <t>Low</t>
  </si>
  <si>
    <t>Medium</t>
  </si>
  <si>
    <t>High</t>
  </si>
  <si>
    <t>No shielding</t>
  </si>
  <si>
    <t>Mechanical Ventilation</t>
  </si>
  <si>
    <t>Moderate</t>
  </si>
  <si>
    <t>&lt;Source: EN ISO 13789 C.5&gt;</t>
  </si>
  <si>
    <t>Supply (m3/h/m2)</t>
  </si>
  <si>
    <t>Heavy shielding</t>
  </si>
  <si>
    <t>Exhaust (m3/h/m2)</t>
  </si>
  <si>
    <t>Sup-Exh (m3/h/m2)</t>
  </si>
  <si>
    <t>EN ISO 13789 Table C.3</t>
  </si>
  <si>
    <t>β : mech vent fraction</t>
  </si>
  <si>
    <t>Single family air change rate</t>
  </si>
  <si>
    <t>for Heat Recovery</t>
  </si>
  <si>
    <t>[Table] Factor for the reduction control of the supply of fresh air</t>
  </si>
  <si>
    <t>for exhaust air recirculation</t>
  </si>
  <si>
    <t>Avg</t>
  </si>
  <si>
    <t>&lt;Source: NEN 2916 6.5.3.7&gt;</t>
  </si>
  <si>
    <t>Cooling</t>
  </si>
  <si>
    <t>Mechanical vent</t>
  </si>
  <si>
    <t>Exhaust air recirculation %</t>
  </si>
  <si>
    <t>Factor</t>
  </si>
  <si>
    <t>Mechanical vent  share w/ Natural</t>
  </si>
  <si>
    <t>No exhaust air recirculation</t>
  </si>
  <si>
    <t>Natural Vent</t>
  </si>
  <si>
    <t>Exhaust air recirculation 20%</t>
  </si>
  <si>
    <t>Exhaust air recirculation  40%</t>
  </si>
  <si>
    <t>Infiltration</t>
  </si>
  <si>
    <t>Exhaust air recirculation  60%</t>
  </si>
  <si>
    <t>vsite/vmetro</t>
  </si>
  <si>
    <t>EN 15242:2007 Table 3rd Page 44</t>
  </si>
  <si>
    <t>prEN 13379 page 36 for Non-residential for further information</t>
  </si>
  <si>
    <t>Q4Pa</t>
  </si>
  <si>
    <t>Q10Pa</t>
  </si>
  <si>
    <t>Q50Pa</t>
  </si>
  <si>
    <t>Air Tightness</t>
  </si>
  <si>
    <t>f</t>
  </si>
  <si>
    <t>l/s/m2</t>
  </si>
  <si>
    <t>m3/h/m2</t>
  </si>
  <si>
    <t>Multi Family, non-residential</t>
  </si>
  <si>
    <t>m3/h per floor area</t>
  </si>
  <si>
    <t>Low: class A (f=0.027*Pa^0.65 [liter/s/m2])</t>
  </si>
  <si>
    <t>Hzone</t>
  </si>
  <si>
    <t>Low (Q4Pa 0.6 m3/h/m2)</t>
  </si>
  <si>
    <t>Medium: class B (f=0.009*Pa^0.65 [liter/s/m2])</t>
  </si>
  <si>
    <t>dCP for wind impact  =</t>
  </si>
  <si>
    <t>Medium (Q4Pa 1.1 m3/h/m2)</t>
  </si>
  <si>
    <t>High: class C (f=0.003*Pa^0.65 [liter/s/m2])</t>
  </si>
  <si>
    <t>High (Q4Pa 2.2 m3/h/m2)</t>
  </si>
  <si>
    <t>Special: class D (f=0.001*Pa^0.65 [liter/s/m2])</t>
  </si>
  <si>
    <t>EN 15242:2007 Table A.1 Page38</t>
  </si>
  <si>
    <t>Terrain Class</t>
  </si>
  <si>
    <t>Coefficient</t>
  </si>
  <si>
    <t>Open terrain</t>
  </si>
  <si>
    <t>Country</t>
  </si>
  <si>
    <t>Urban / City</t>
  </si>
  <si>
    <t>HVAC System</t>
  </si>
  <si>
    <t>Efficiency</t>
  </si>
  <si>
    <t>EER</t>
  </si>
  <si>
    <t>by EN15243 Table I.8 (REFERENCE sheet)</t>
  </si>
  <si>
    <t>f_dem;cold</t>
  </si>
  <si>
    <t>PLV</t>
  </si>
  <si>
    <t>by EN15243 Table I.12 (REFERENCE sheet)</t>
  </si>
  <si>
    <t>f_dem;heat</t>
  </si>
  <si>
    <t>SEER (ηgen,cool )</t>
  </si>
  <si>
    <t>ηdist,cool</t>
  </si>
  <si>
    <t>Distribution loss</t>
  </si>
  <si>
    <t>f_waste</t>
  </si>
  <si>
    <t>by NEN2916 Table 14 (REFERENCE sheet)</t>
  </si>
  <si>
    <t>ηdist,heat</t>
  </si>
  <si>
    <t>a_heat</t>
  </si>
  <si>
    <t>a_cool</t>
  </si>
  <si>
    <t>Qcool,an=Σi ((Qcool_nd,i + Qloss,cool,i) / ηgen,cool)</t>
  </si>
  <si>
    <t>[Table] Ventilation system specification</t>
  </si>
  <si>
    <t>Q_cool (MJ)</t>
  </si>
  <si>
    <t>Q_loss_cool (MJ)</t>
  </si>
  <si>
    <t>Q_loss_heat (MJ)</t>
  </si>
  <si>
    <t>System type</t>
  </si>
  <si>
    <t>Waste Factor
f_waste</t>
  </si>
  <si>
    <t>Heating Loss factor
a_heat</t>
  </si>
  <si>
    <t>Cooling loss factor
a_cool</t>
  </si>
  <si>
    <t>Total [MJ]</t>
  </si>
  <si>
    <t>P_n: installed lighting power (W/m2)</t>
  </si>
  <si>
    <t>W_t=W_L,t+W_P,t</t>
  </si>
  <si>
    <t>W_L,t = {(P_n*F_c)*[(t_D*F_O*F_D)+(t_N*F_O)]}/1000 [kWh]</t>
  </si>
  <si>
    <t>W_pc:Parasitic lighting energy (kWh/m2/yr</t>
  </si>
  <si>
    <t>W_t</t>
  </si>
  <si>
    <t>total lighting energy (kWh)</t>
  </si>
  <si>
    <t>P_n</t>
  </si>
  <si>
    <t>total installed lighting power in the room or zone</t>
  </si>
  <si>
    <t>W_L</t>
  </si>
  <si>
    <t>illumination energy (kWh)</t>
  </si>
  <si>
    <t>F_c</t>
  </si>
  <si>
    <t>constant illuminance control factor</t>
  </si>
  <si>
    <t xml:space="preserve">F_D: Daylight dependency factor </t>
  </si>
  <si>
    <t>W_P</t>
  </si>
  <si>
    <t>parasitic energy (kWh)</t>
  </si>
  <si>
    <t>F_D</t>
  </si>
  <si>
    <t>daylight dependency factor</t>
  </si>
  <si>
    <t>F_O</t>
  </si>
  <si>
    <t>occupancy factor</t>
  </si>
  <si>
    <t>F_O: Occupancy factor</t>
  </si>
  <si>
    <t>t_D</t>
  </si>
  <si>
    <t>operating hours during daylighting time</t>
  </si>
  <si>
    <t>t_N</t>
  </si>
  <si>
    <t>operating hours during non-daylighting hours</t>
  </si>
  <si>
    <t>F_c: Constant illuminance control factor</t>
  </si>
  <si>
    <t>t_D: Operating hours during daylighting time</t>
  </si>
  <si>
    <t>t_N: Operating hours during non-daylighting hours</t>
  </si>
  <si>
    <t>Illumination (kWh)</t>
  </si>
  <si>
    <t>Parasitic (kWh)</t>
  </si>
  <si>
    <t>Total Lighting (kWh)</t>
  </si>
  <si>
    <t>Illumination (MJ)</t>
  </si>
  <si>
    <t>Parasitic (MJ)</t>
  </si>
  <si>
    <t>Total Lighting (MJ)</t>
  </si>
  <si>
    <t>Total [kwh]</t>
  </si>
  <si>
    <t>Daylighting factor</t>
  </si>
  <si>
    <t>Manual</t>
  </si>
  <si>
    <t>Photo cell dimming-with daylighting sensing</t>
  </si>
  <si>
    <t>Occupancy dependency factor</t>
  </si>
  <si>
    <t>Automatic &gt;=60% of the connected load</t>
  </si>
  <si>
    <t>Constant control system</t>
  </si>
  <si>
    <t>No constant illumination control</t>
  </si>
  <si>
    <t>Constant illumination control</t>
  </si>
  <si>
    <t>Mechanical supply air flow (liter/s)</t>
  </si>
  <si>
    <t>[Table] Ventilation fan system</t>
  </si>
  <si>
    <t>Mechanical exhaust air flow (liter/s)</t>
  </si>
  <si>
    <t>&lt;Source: NEN 2916 7.3.2.3&gt;</t>
  </si>
  <si>
    <t>Ventilation fan factor</t>
  </si>
  <si>
    <t>Month</t>
  </si>
  <si>
    <t>None</t>
  </si>
  <si>
    <t xml:space="preserve">Only mechanical exhaust </t>
  </si>
  <si>
    <t>Mechanical supply and exhaust</t>
  </si>
  <si>
    <t>[Table] Weighting factor for flow control in cold water circuits</t>
  </si>
  <si>
    <t xml:space="preserve"> fcntrl;cool: Pump control weighting  factor for cooling</t>
  </si>
  <si>
    <t>&lt;Source: NEN 2916 9.4.3&gt;</t>
  </si>
  <si>
    <t>Pump Energy</t>
  </si>
  <si>
    <t>Control</t>
  </si>
  <si>
    <t xml:space="preserve"> fcntrl;heat: Pump control weighting  factor for heating</t>
  </si>
  <si>
    <t>Weighting</t>
  </si>
  <si>
    <t>No pump for cooling</t>
  </si>
  <si>
    <t>Multiplication factor</t>
  </si>
  <si>
    <t>Automatic control more than 50%</t>
  </si>
  <si>
    <t>Pump energy usage hourly (W/m2)</t>
  </si>
  <si>
    <t>[Table] Weighting factor for flow control in warm water circuits</t>
  </si>
  <si>
    <t>No pump for heating</t>
  </si>
  <si>
    <t>DHW and Solar Water Heating</t>
  </si>
  <si>
    <t>DHW energy usage calculation</t>
  </si>
  <si>
    <t>[Table]DHW distribution system efficiency</t>
  </si>
  <si>
    <t>DHW generation system efficiency</t>
  </si>
  <si>
    <t>Qdhw= ((Qdem;DWH/ηsys;DHW) - Qses;DHW)/ηgen;DHW</t>
  </si>
  <si>
    <t>&lt;Source: NEN 2916 12.4&gt;</t>
  </si>
  <si>
    <t>&lt;Source: NEN 2916 12.6.2 Table 34&gt;</t>
  </si>
  <si>
    <t>&lt;Source: NEN 2916 12.2&gt;</t>
  </si>
  <si>
    <t>High-efficiency elec boiler</t>
  </si>
  <si>
    <t>Qdem,yr (MJ/yr)</t>
  </si>
  <si>
    <t>ηsys;DHW</t>
  </si>
  <si>
    <t>Qdem (kWh)</t>
  </si>
  <si>
    <t>Esol_hours (kWh/m2)</t>
  </si>
  <si>
    <t>Esol (kWh/m2)</t>
  </si>
  <si>
    <t>Qses
 (kwh)</t>
  </si>
  <si>
    <t>DHW system (kWh)</t>
  </si>
  <si>
    <t>Edel_dhw (kWh)</t>
  </si>
  <si>
    <t>ηgen;DHW</t>
  </si>
  <si>
    <t>Solar water heating contribution</t>
  </si>
  <si>
    <t>Qses= 0.5* Ases,DHW* Esol_hours*Ftilt [kWh]</t>
  </si>
  <si>
    <t>&lt;Source: NEN 12.5 and Huafen equation&gt;</t>
  </si>
  <si>
    <t>Solar Collector Surface (m2)</t>
  </si>
  <si>
    <t>Ftilt</t>
  </si>
  <si>
    <t>Solar Collector Efficiency</t>
  </si>
  <si>
    <t>&lt;Source: NEN 2916 12.5&gt;</t>
  </si>
  <si>
    <t>Edel_pv (kwh)</t>
  </si>
  <si>
    <t>Edel_pv (MJ)</t>
  </si>
  <si>
    <t>Electricity</t>
  </si>
  <si>
    <t>Photovoltaic System</t>
  </si>
  <si>
    <t>PV module Surface Area (m2)</t>
  </si>
  <si>
    <t>Kpk (KW/m2)</t>
  </si>
  <si>
    <t>Fperf</t>
  </si>
  <si>
    <t>Ppk (KW)</t>
  </si>
  <si>
    <t>West</t>
  </si>
  <si>
    <t>South</t>
  </si>
  <si>
    <t>East</t>
  </si>
  <si>
    <t>Constants</t>
  </si>
  <si>
    <t>Duration of calculation (Ms) by EN ISO 13790 Annex A</t>
  </si>
  <si>
    <t>Duration of calculation (hrs)</t>
  </si>
  <si>
    <t>July</t>
  </si>
  <si>
    <t>mBTU --&gt; kWh</t>
  </si>
  <si>
    <t>kWh --&gt; MJ</t>
  </si>
  <si>
    <t>CFM --&gt; m3/hr</t>
  </si>
  <si>
    <t>CFM --&gt; m3/s</t>
  </si>
  <si>
    <t>CFM--&gt;l/s</t>
  </si>
  <si>
    <t>m3/hr--&gt;liter/s</t>
  </si>
  <si>
    <t>gallon --&gt; g</t>
  </si>
  <si>
    <t>Weather Data</t>
  </si>
  <si>
    <t>Monthly Average 
Temp ( C )</t>
  </si>
  <si>
    <t>Global SE (W/m2)</t>
  </si>
  <si>
    <t>Global NE(W/m2)</t>
  </si>
  <si>
    <t>Global NW (W/m2)</t>
  </si>
  <si>
    <t>Global West (W/m2)</t>
  </si>
  <si>
    <t>Global SW (W/m2)</t>
  </si>
  <si>
    <t>Global horizontal radiation (W/m2)</t>
  </si>
  <si>
    <t>Occ</t>
  </si>
  <si>
    <t>Unocc</t>
  </si>
  <si>
    <t>Te_unocc_night</t>
  </si>
  <si>
    <t>Te_unocc_daytime</t>
  </si>
  <si>
    <t>Global Hor. Radiation (W/m2)</t>
  </si>
  <si>
    <t>Radiation</t>
  </si>
  <si>
    <t>R_daytime (W/m2)</t>
  </si>
  <si>
    <t>R_unocc_weekday_night (W/m2)</t>
  </si>
  <si>
    <t>R_occupied_daytime (MJ/m2)</t>
  </si>
  <si>
    <t>R_unocc_weekday_night (MJ/m2)</t>
  </si>
  <si>
    <t>R_unocc_weekend_daytime (MJ/m2)</t>
  </si>
  <si>
    <t>R_unocc_weekend_night (MJ/m2)</t>
  </si>
  <si>
    <t>Total (MJ/m2)</t>
  </si>
  <si>
    <t>THERMAL ENERGY DEMAND PERFORMANCE</t>
  </si>
  <si>
    <t>Heating Need</t>
  </si>
  <si>
    <t>Cooling Needs</t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</si>
  <si>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H,tr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</si>
  <si>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H,ve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</si>
  <si>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H,ht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</si>
  <si>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H,sol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</si>
  <si>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H,int,oc+ap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</si>
  <si>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H,int,li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</si>
  <si>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H,gn
</t>
    </r>
    <r>
      <rPr>
        <sz val="10"/>
        <color indexed="8"/>
        <rFont val="Calibri"/>
        <family val="2"/>
        <scheme val="minor"/>
      </rPr>
      <t>[kWh/m2]</t>
    </r>
  </si>
  <si>
    <r>
      <t>η</t>
    </r>
    <r>
      <rPr>
        <vertAlign val="subscript"/>
        <sz val="10"/>
        <color indexed="8"/>
        <rFont val="Calibri"/>
        <family val="2"/>
        <scheme val="minor"/>
      </rPr>
      <t>H,ls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</si>
  <si>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H,nd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</si>
  <si>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C,tr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</si>
  <si>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C,ve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</si>
  <si>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C,ht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</si>
  <si>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C,sol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</si>
  <si>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C,int,oc_ap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</si>
  <si>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C,int.li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</si>
  <si>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C,gn
</t>
    </r>
    <r>
      <rPr>
        <sz val="10"/>
        <color indexed="8"/>
        <rFont val="Calibri"/>
        <family val="2"/>
        <scheme val="minor"/>
      </rPr>
      <t>[kWh/m2]</t>
    </r>
  </si>
  <si>
    <r>
      <t>η</t>
    </r>
    <r>
      <rPr>
        <vertAlign val="subscript"/>
        <sz val="10"/>
        <color indexed="8"/>
        <rFont val="Calibri"/>
        <family val="2"/>
        <scheme val="minor"/>
      </rPr>
      <t>C,ls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</si>
  <si>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C,nd
</t>
    </r>
    <r>
      <rPr>
        <sz val="10"/>
        <color indexed="8"/>
        <rFont val="Calibri"/>
        <family val="2"/>
        <scheme val="minor"/>
      </rPr>
      <t>[kWh/m2]</t>
    </r>
  </si>
  <si>
    <t>N/A</t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</si>
  <si>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H,tr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</si>
  <si>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H,ve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</si>
  <si>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H,ht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</si>
  <si>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H,sol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</si>
  <si>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H,int,oc+ap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</si>
  <si>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H,int,li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</si>
  <si>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H,gn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</si>
  <si>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H,nd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</si>
  <si>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C,tr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</si>
  <si>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C,ve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</si>
  <si>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C,ht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</si>
  <si>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C,sol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</si>
  <si>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C,int,oc+ac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</si>
  <si>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C,int,li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</si>
  <si>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C,gn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</si>
  <si>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C,nd
</t>
    </r>
    <r>
      <rPr>
        <sz val="10"/>
        <color indexed="8"/>
        <rFont val="Calibri"/>
        <family val="2"/>
        <scheme val="minor"/>
      </rPr>
      <t>[MJ]</t>
    </r>
  </si>
  <si>
    <t>HEATING NEED</t>
  </si>
  <si>
    <t>Total Heating Need (MJ)</t>
  </si>
  <si>
    <t>Total Heat Loss (MJ)</t>
  </si>
  <si>
    <t>Transmission Loss (MJ)</t>
  </si>
  <si>
    <t>Ventilation Loss (MJ)</t>
  </si>
  <si>
    <t>Total Heat Gain (MJ)</t>
  </si>
  <si>
    <t>Solar Gain (MJ)</t>
  </si>
  <si>
    <t>Internal Heat Gain (MJ)</t>
  </si>
  <si>
    <r>
      <t>Q</t>
    </r>
    <r>
      <rPr>
        <b/>
        <vertAlign val="subscript"/>
        <sz val="10"/>
        <color indexed="8"/>
        <rFont val="Calibri"/>
        <family val="2"/>
      </rPr>
      <t>NH</t>
    </r>
    <r>
      <rPr>
        <b/>
        <sz val="10"/>
        <color indexed="8"/>
        <rFont val="Calibri"/>
        <family val="2"/>
      </rPr>
      <t xml:space="preserve"> = Q</t>
    </r>
    <r>
      <rPr>
        <b/>
        <vertAlign val="subscript"/>
        <sz val="10"/>
        <color indexed="8"/>
        <rFont val="Calibri"/>
        <family val="2"/>
      </rPr>
      <t>L,H</t>
    </r>
    <r>
      <rPr>
        <b/>
        <sz val="10"/>
        <color indexed="8"/>
        <rFont val="Calibri"/>
        <family val="2"/>
      </rPr>
      <t xml:space="preserve"> - ηG</t>
    </r>
    <r>
      <rPr>
        <b/>
        <vertAlign val="subscript"/>
        <sz val="10"/>
        <color indexed="8"/>
        <rFont val="Calibri"/>
        <family val="2"/>
      </rPr>
      <t>,H</t>
    </r>
    <r>
      <rPr>
        <b/>
        <sz val="10"/>
        <color indexed="8"/>
        <rFont val="Calibri"/>
        <family val="2"/>
      </rPr>
      <t xml:space="preserve"> ·Q</t>
    </r>
    <r>
      <rPr>
        <b/>
        <vertAlign val="subscript"/>
        <sz val="10"/>
        <color indexed="8"/>
        <rFont val="Calibri"/>
        <family val="2"/>
      </rPr>
      <t>G,H</t>
    </r>
  </si>
  <si>
    <r>
      <t>Q</t>
    </r>
    <r>
      <rPr>
        <vertAlign val="subscript"/>
        <sz val="10"/>
        <color indexed="8"/>
        <rFont val="Calibri"/>
        <family val="2"/>
      </rPr>
      <t>s</t>
    </r>
    <r>
      <rPr>
        <sz val="10"/>
        <color indexed="8"/>
        <rFont val="Calibri"/>
        <family val="2"/>
      </rPr>
      <t xml:space="preserve"> = ΣQ</t>
    </r>
    <r>
      <rPr>
        <vertAlign val="subscript"/>
        <sz val="10"/>
        <color indexed="8"/>
        <rFont val="Calibri"/>
        <family val="2"/>
      </rPr>
      <t>s,c</t>
    </r>
    <r>
      <rPr>
        <sz val="10"/>
        <color indexed="8"/>
        <rFont val="Calibri"/>
        <family val="2"/>
      </rPr>
      <t xml:space="preserve"> + Σ(1-b</t>
    </r>
    <r>
      <rPr>
        <vertAlign val="subscript"/>
        <sz val="10"/>
        <color indexed="8"/>
        <rFont val="Calibri"/>
        <family val="2"/>
      </rPr>
      <t>j</t>
    </r>
    <r>
      <rPr>
        <sz val="10"/>
        <color indexed="8"/>
        <rFont val="Calibri"/>
        <family val="2"/>
      </rPr>
      <t>)Q</t>
    </r>
    <r>
      <rPr>
        <vertAlign val="subscript"/>
        <sz val="10"/>
        <color indexed="8"/>
        <rFont val="Calibri"/>
        <family val="2"/>
      </rPr>
      <t xml:space="preserve">s,u,j </t>
    </r>
  </si>
  <si>
    <r>
      <t>subject to Q</t>
    </r>
    <r>
      <rPr>
        <vertAlign val="subscript"/>
        <sz val="10"/>
        <color indexed="8"/>
        <rFont val="Calibri"/>
        <family val="2"/>
      </rPr>
      <t>NH</t>
    </r>
    <r>
      <rPr>
        <sz val="10"/>
        <color indexed="8"/>
        <rFont val="Calibri"/>
        <family val="2"/>
      </rPr>
      <t xml:space="preserve"> &gt;0</t>
    </r>
  </si>
  <si>
    <r>
      <t>Q</t>
    </r>
    <r>
      <rPr>
        <b/>
        <vertAlign val="subscript"/>
        <sz val="10"/>
        <color indexed="8"/>
        <rFont val="Calibri"/>
        <family val="2"/>
      </rPr>
      <t>L</t>
    </r>
    <r>
      <rPr>
        <b/>
        <sz val="10"/>
        <color indexed="8"/>
        <rFont val="Calibri"/>
        <family val="2"/>
      </rPr>
      <t xml:space="preserve"> = Q</t>
    </r>
    <r>
      <rPr>
        <b/>
        <vertAlign val="subscript"/>
        <sz val="10"/>
        <color indexed="8"/>
        <rFont val="Calibri"/>
        <family val="2"/>
      </rPr>
      <t>T</t>
    </r>
    <r>
      <rPr>
        <b/>
        <sz val="10"/>
        <color indexed="8"/>
        <rFont val="Calibri"/>
        <family val="2"/>
      </rPr>
      <t xml:space="preserve"> + Q</t>
    </r>
    <r>
      <rPr>
        <b/>
        <vertAlign val="subscript"/>
        <sz val="10"/>
        <color indexed="8"/>
        <rFont val="Calibri"/>
        <family val="2"/>
      </rPr>
      <t>V</t>
    </r>
  </si>
  <si>
    <r>
      <t>QT = Σ</t>
    </r>
    <r>
      <rPr>
        <vertAlign val="subscript"/>
        <sz val="10"/>
        <color indexed="8"/>
        <rFont val="Calibri"/>
        <family val="2"/>
      </rPr>
      <t>k</t>
    </r>
    <r>
      <rPr>
        <sz val="10"/>
        <color indexed="8"/>
        <rFont val="Calibri"/>
        <family val="2"/>
      </rPr>
      <t xml:space="preserve"> {H</t>
    </r>
    <r>
      <rPr>
        <vertAlign val="subscript"/>
        <sz val="10"/>
        <color indexed="8"/>
        <rFont val="Calibri"/>
        <family val="2"/>
      </rPr>
      <t xml:space="preserve">T,k </t>
    </r>
    <r>
      <rPr>
        <sz val="10"/>
        <color indexed="8"/>
        <rFont val="Calibri"/>
        <family val="2"/>
      </rPr>
      <t>·( θi - θe,k)}·t</t>
    </r>
  </si>
  <si>
    <r>
      <t>QV = Σ</t>
    </r>
    <r>
      <rPr>
        <vertAlign val="subscript"/>
        <sz val="10"/>
        <color indexed="8"/>
        <rFont val="Calibri"/>
        <family val="2"/>
      </rPr>
      <t>k</t>
    </r>
    <r>
      <rPr>
        <sz val="10"/>
        <color indexed="8"/>
        <rFont val="Calibri"/>
        <family val="2"/>
      </rPr>
      <t xml:space="preserve"> {H</t>
    </r>
    <r>
      <rPr>
        <vertAlign val="subscript"/>
        <sz val="10"/>
        <color indexed="8"/>
        <rFont val="Calibri"/>
        <family val="2"/>
      </rPr>
      <t>V,k</t>
    </r>
    <r>
      <rPr>
        <sz val="10"/>
        <color indexed="8"/>
        <rFont val="Calibri"/>
        <family val="2"/>
      </rPr>
      <t xml:space="preserve"> ·( θi,z - θs,k)} ·t </t>
    </r>
  </si>
  <si>
    <r>
      <t>Q</t>
    </r>
    <r>
      <rPr>
        <vertAlign val="subscript"/>
        <sz val="10"/>
        <color indexed="8"/>
        <rFont val="Calibri"/>
        <family val="2"/>
      </rPr>
      <t>G</t>
    </r>
    <r>
      <rPr>
        <sz val="10"/>
        <color indexed="8"/>
        <rFont val="Calibri"/>
        <family val="2"/>
      </rPr>
      <t xml:space="preserve"> = Q</t>
    </r>
    <r>
      <rPr>
        <vertAlign val="subscript"/>
        <sz val="10"/>
        <color indexed="8"/>
        <rFont val="Calibri"/>
        <family val="2"/>
      </rPr>
      <t>i</t>
    </r>
    <r>
      <rPr>
        <sz val="10"/>
        <color indexed="8"/>
        <rFont val="Calibri"/>
        <family val="2"/>
      </rPr>
      <t xml:space="preserve"> + Q</t>
    </r>
    <r>
      <rPr>
        <vertAlign val="subscript"/>
        <sz val="10"/>
        <color indexed="8"/>
        <rFont val="Calibri"/>
        <family val="2"/>
      </rPr>
      <t>s</t>
    </r>
  </si>
  <si>
    <t>Qs,c = Σ[Is,k * Fs,o,k * As,k]-Fr,k*Qr,k</t>
  </si>
  <si>
    <t>Occupants (MJ)</t>
  </si>
  <si>
    <t>Appliances (MJ)</t>
  </si>
  <si>
    <t>Lighting (MJ)</t>
  </si>
  <si>
    <t>Total Internal (MJ)</t>
  </si>
  <si>
    <t>ΦI,OCC (W)</t>
  </si>
  <si>
    <t>ΦI,APP (W)</t>
  </si>
  <si>
    <t>ΦI,LI (W)</t>
  </si>
  <si>
    <t>ΦI Total</t>
  </si>
  <si>
    <t>Solar Heat Gain (MJ)</t>
  </si>
  <si>
    <t>Φsol,k=Fsh,ob,kAsol,kIsol,k−Fr,kΦr,k</t>
  </si>
  <si>
    <t>Window1 (MJ)</t>
  </si>
  <si>
    <t>HOR</t>
  </si>
  <si>
    <t>Window2 (MJ)</t>
  </si>
  <si>
    <t>Opaque (MJ)</t>
  </si>
  <si>
    <t>Thermal Radiation to the sky (not applied for the glazing area)</t>
  </si>
  <si>
    <t>Φr = Rse×Uc×Ac×hr×Δθer</t>
  </si>
  <si>
    <t>Effective Solar Collecting Area (m2)</t>
  </si>
  <si>
    <r>
      <t>A</t>
    </r>
    <r>
      <rPr>
        <vertAlign val="subscript"/>
        <sz val="10"/>
        <color indexed="8"/>
        <rFont val="Calibri"/>
        <family val="2"/>
      </rPr>
      <t>s,t</t>
    </r>
    <r>
      <rPr>
        <sz val="10"/>
        <color indexed="8"/>
        <rFont val="Calibri"/>
        <family val="2"/>
      </rPr>
      <t xml:space="preserve"> = F</t>
    </r>
    <r>
      <rPr>
        <vertAlign val="subscript"/>
        <sz val="10"/>
        <color indexed="8"/>
        <rFont val="Calibri"/>
        <family val="2"/>
      </rPr>
      <t>sh,g</t>
    </r>
    <r>
      <rPr>
        <sz val="10"/>
        <color indexed="8"/>
        <rFont val="Calibri"/>
        <family val="2"/>
      </rPr>
      <t xml:space="preserve"> g</t>
    </r>
    <r>
      <rPr>
        <vertAlign val="subscript"/>
        <sz val="10"/>
        <color indexed="8"/>
        <rFont val="Calibri"/>
        <family val="2"/>
      </rPr>
      <t>g</t>
    </r>
    <r>
      <rPr>
        <sz val="10"/>
        <color indexed="8"/>
        <rFont val="Calibri"/>
        <family val="2"/>
      </rPr>
      <t xml:space="preserve"> (1-F</t>
    </r>
    <r>
      <rPr>
        <vertAlign val="subscript"/>
        <sz val="10"/>
        <color indexed="8"/>
        <rFont val="Calibri"/>
        <family val="2"/>
      </rPr>
      <t>F</t>
    </r>
    <r>
      <rPr>
        <sz val="10"/>
        <color indexed="8"/>
        <rFont val="Calibri"/>
        <family val="2"/>
      </rPr>
      <t>)A</t>
    </r>
    <r>
      <rPr>
        <vertAlign val="subscript"/>
        <sz val="10"/>
        <color indexed="8"/>
        <rFont val="Calibri"/>
        <family val="2"/>
      </rPr>
      <t>w,p</t>
    </r>
  </si>
  <si>
    <t>For heating</t>
  </si>
  <si>
    <t>Window1 Area</t>
  </si>
  <si>
    <t>Window2 Area</t>
  </si>
  <si>
    <t>Shading correction factor</t>
  </si>
  <si>
    <t>SCF %</t>
  </si>
  <si>
    <t>Shading device factor</t>
  </si>
  <si>
    <t>SDF %</t>
  </si>
  <si>
    <t>Form Factor</t>
  </si>
  <si>
    <t>Form Factor(is the form factor between the element and the sky (1 for an unshaded horizontal roof, 0,5 for an unshaded vertical wall)</t>
  </si>
  <si>
    <t>Emissivity</t>
  </si>
  <si>
    <t>hr =5ε</t>
  </si>
  <si>
    <t>hr  (hr =5ε) External radiative heat transfer coefficient</t>
  </si>
  <si>
    <r>
      <t>α</t>
    </r>
    <r>
      <rPr>
        <vertAlign val="subscript"/>
        <sz val="10"/>
        <rFont val="Calibri"/>
        <family val="2"/>
      </rPr>
      <t>S,c</t>
    </r>
  </si>
  <si>
    <t>dimensionless absorption coefficient for solar radiation of the opaque part</t>
  </si>
  <si>
    <r>
      <t>R</t>
    </r>
    <r>
      <rPr>
        <vertAlign val="subscript"/>
        <sz val="10"/>
        <rFont val="Calibri"/>
        <family val="2"/>
      </rPr>
      <t>se</t>
    </r>
  </si>
  <si>
    <t>external surface heat resistance of the element</t>
  </si>
  <si>
    <t>Δθer</t>
  </si>
  <si>
    <t>the average difference between the external air temperature and the apparent sky temperature, in °C;</t>
  </si>
  <si>
    <t>g⊥</t>
  </si>
  <si>
    <r>
      <t>g</t>
    </r>
    <r>
      <rPr>
        <vertAlign val="subscript"/>
        <sz val="10"/>
        <color indexed="8"/>
        <rFont val="Calibri"/>
        <family val="2"/>
      </rPr>
      <t>g</t>
    </r>
  </si>
  <si>
    <t>Total solar energy transmittance of the transparent part of the element</t>
  </si>
  <si>
    <r>
      <t>F</t>
    </r>
    <r>
      <rPr>
        <vertAlign val="subscript"/>
        <sz val="10"/>
        <color indexed="8"/>
        <rFont val="Calibri"/>
        <family val="2"/>
      </rPr>
      <t>F</t>
    </r>
  </si>
  <si>
    <t>Frame factor</t>
  </si>
  <si>
    <t>Gain utilization factor</t>
  </si>
  <si>
    <t>Heat Gain Ratio</t>
  </si>
  <si>
    <t>ηG,H</t>
  </si>
  <si>
    <t>γH=QG/QL</t>
  </si>
  <si>
    <t>γ'H</t>
  </si>
  <si>
    <t>aH=aH,0+τ/τH,0</t>
  </si>
  <si>
    <t>dimensionless numerical parameter depending on the time constant</t>
  </si>
  <si>
    <t>time constant of the building</t>
  </si>
  <si>
    <t>τH,0, τC,0</t>
  </si>
  <si>
    <t>aH,0, aC,0</t>
  </si>
  <si>
    <t>COOLING NEED</t>
  </si>
  <si>
    <t>Total Cooling Need (MJ) : With Temp Setback YES</t>
  </si>
  <si>
    <r>
      <t>Q</t>
    </r>
    <r>
      <rPr>
        <b/>
        <vertAlign val="subscript"/>
        <sz val="10"/>
        <color indexed="8"/>
        <rFont val="Calibri"/>
        <family val="2"/>
      </rPr>
      <t>N,c</t>
    </r>
    <r>
      <rPr>
        <b/>
        <sz val="10"/>
        <color indexed="8"/>
        <rFont val="Calibri"/>
        <family val="2"/>
      </rPr>
      <t xml:space="preserve"> = Q</t>
    </r>
    <r>
      <rPr>
        <b/>
        <vertAlign val="subscript"/>
        <sz val="10"/>
        <color indexed="8"/>
        <rFont val="Calibri"/>
        <family val="2"/>
      </rPr>
      <t>G,C</t>
    </r>
    <r>
      <rPr>
        <b/>
        <sz val="10"/>
        <color indexed="8"/>
        <rFont val="Calibri"/>
        <family val="2"/>
      </rPr>
      <t xml:space="preserve"> - η</t>
    </r>
    <r>
      <rPr>
        <b/>
        <vertAlign val="subscript"/>
        <sz val="10"/>
        <color indexed="8"/>
        <rFont val="Calibri"/>
        <family val="2"/>
      </rPr>
      <t>L,C</t>
    </r>
    <r>
      <rPr>
        <b/>
        <sz val="10"/>
        <color indexed="8"/>
        <rFont val="Calibri"/>
        <family val="2"/>
      </rPr>
      <t xml:space="preserve"> ·Q</t>
    </r>
    <r>
      <rPr>
        <b/>
        <vertAlign val="subscript"/>
        <sz val="10"/>
        <color indexed="8"/>
        <rFont val="Calibri"/>
        <family val="2"/>
      </rPr>
      <t>L,C</t>
    </r>
  </si>
  <si>
    <r>
      <t>subject to Q</t>
    </r>
    <r>
      <rPr>
        <b/>
        <vertAlign val="subscript"/>
        <sz val="10"/>
        <color indexed="8"/>
        <rFont val="Calibri"/>
        <family val="2"/>
      </rPr>
      <t>NC</t>
    </r>
    <r>
      <rPr>
        <b/>
        <sz val="10"/>
        <color indexed="8"/>
        <rFont val="Calibri"/>
        <family val="2"/>
      </rPr>
      <t xml:space="preserve"> &gt;0</t>
    </r>
  </si>
  <si>
    <r>
      <t>Q</t>
    </r>
    <r>
      <rPr>
        <vertAlign val="subscript"/>
        <sz val="10"/>
        <color indexed="8"/>
        <rFont val="Calibri"/>
        <family val="2"/>
      </rPr>
      <t>L</t>
    </r>
    <r>
      <rPr>
        <sz val="10"/>
        <color indexed="8"/>
        <rFont val="Calibri"/>
        <family val="2"/>
      </rPr>
      <t xml:space="preserve"> = Q</t>
    </r>
    <r>
      <rPr>
        <vertAlign val="subscript"/>
        <sz val="10"/>
        <color indexed="8"/>
        <rFont val="Calibri"/>
        <family val="2"/>
      </rPr>
      <t>T</t>
    </r>
    <r>
      <rPr>
        <sz val="10"/>
        <color indexed="8"/>
        <rFont val="Calibri"/>
        <family val="2"/>
      </rPr>
      <t xml:space="preserve"> + Q</t>
    </r>
    <r>
      <rPr>
        <vertAlign val="subscript"/>
        <sz val="10"/>
        <color indexed="8"/>
        <rFont val="Calibri"/>
        <family val="2"/>
      </rPr>
      <t>V</t>
    </r>
  </si>
  <si>
    <r>
      <t>QV = Σ</t>
    </r>
    <r>
      <rPr>
        <vertAlign val="subscript"/>
        <sz val="10"/>
        <color indexed="8"/>
        <rFont val="Calibri"/>
        <family val="2"/>
      </rPr>
      <t>k</t>
    </r>
    <r>
      <rPr>
        <sz val="10"/>
        <color indexed="8"/>
        <rFont val="Calibri"/>
        <family val="2"/>
      </rPr>
      <t xml:space="preserve"> {H</t>
    </r>
    <r>
      <rPr>
        <vertAlign val="subscript"/>
        <sz val="10"/>
        <color indexed="8"/>
        <rFont val="Calibri"/>
        <family val="2"/>
      </rPr>
      <t>V,k</t>
    </r>
    <r>
      <rPr>
        <sz val="10"/>
        <color indexed="8"/>
        <rFont val="Calibri"/>
        <family val="2"/>
      </rPr>
      <t xml:space="preserve"> ·( θi,z - θs,k)} ·t</t>
    </r>
  </si>
  <si>
    <t>Loss Utilization Factor: With Temp Setback YES</t>
  </si>
  <si>
    <t>Heat Loss Ratio</t>
  </si>
  <si>
    <r>
      <t>η</t>
    </r>
    <r>
      <rPr>
        <vertAlign val="subscript"/>
        <sz val="10"/>
        <color indexed="8"/>
        <rFont val="Calibri"/>
        <family val="2"/>
      </rPr>
      <t>L,C</t>
    </r>
  </si>
  <si>
    <t>λC=QL,C/QG,C</t>
  </si>
  <si>
    <t>aC=a0,C+τC/τ0,C</t>
  </si>
  <si>
    <t>τC = Cm /3600/H</t>
  </si>
  <si>
    <t>Weather:</t>
  </si>
  <si>
    <t>Lat:</t>
  </si>
  <si>
    <t>Lon:</t>
  </si>
  <si>
    <t>Timezone:</t>
  </si>
  <si>
    <t>Monthly Averaged Data</t>
  </si>
  <si>
    <t>M</t>
  </si>
  <si>
    <t>Temp (deg C)</t>
  </si>
  <si>
    <t>Wind Speed</t>
  </si>
  <si>
    <t>Averaged solar radiation (W/m2)</t>
  </si>
  <si>
    <t>HOR.</t>
  </si>
  <si>
    <t>Dry Bulb Temperature (deg C)</t>
  </si>
  <si>
    <t>Global Horizontal Solar Radiation (W/m2)</t>
  </si>
  <si>
    <t>DELIVERED ENERGY PERFORMANCE</t>
  </si>
  <si>
    <t>OUTPUT SUMMARY</t>
  </si>
  <si>
    <t>kWh/m2/yr</t>
  </si>
  <si>
    <t>Eheat
[kWh/m2]</t>
  </si>
  <si>
    <t>ECool
[kWh/m2]</t>
  </si>
  <si>
    <t>Efan
[kWh/m2]</t>
  </si>
  <si>
    <t>Epump
[kWh/m2]</t>
  </si>
  <si>
    <t>EDHW
[kWh/m2]</t>
  </si>
  <si>
    <t>Egen
[kWh/m2]</t>
  </si>
  <si>
    <t>Etotal
[kWh/m2]</t>
  </si>
  <si>
    <t>Natural Gas</t>
  </si>
  <si>
    <t>version 24Sep2010</t>
  </si>
  <si>
    <t>Consumption: Source Electricity</t>
  </si>
  <si>
    <t>Consumption: Source Natural Gas</t>
  </si>
  <si>
    <t>Primary Energy Factor: Electricity</t>
  </si>
  <si>
    <t>Primary Energy Factor: Natural Gas</t>
  </si>
  <si>
    <t>CO2</t>
  </si>
  <si>
    <t>NOx</t>
  </si>
  <si>
    <t>SOx</t>
  </si>
  <si>
    <t>Emission Factors for Delivered Electricity</t>
  </si>
  <si>
    <t>kg/kWh electricity</t>
  </si>
  <si>
    <t>EUI: Delivered Electricity</t>
  </si>
  <si>
    <t>EUI: Delivered Natural Gas</t>
  </si>
  <si>
    <t>EUI: Total Delivered</t>
  </si>
  <si>
    <t>per delivered electricity</t>
  </si>
  <si>
    <t>Emission Factors for Delivered Natural Gas</t>
  </si>
  <si>
    <t>precombustion</t>
  </si>
  <si>
    <t>kg/kWh NG</t>
  </si>
  <si>
    <t>onsite combustion</t>
  </si>
  <si>
    <t>Emissions: CO2</t>
  </si>
  <si>
    <t>Emissions: NOx</t>
  </si>
  <si>
    <t>Emissions: SOx</t>
  </si>
  <si>
    <t>Energy Consumption: Delivered Electricity</t>
  </si>
  <si>
    <t>Energy Consumption: Delivered Natural Gas</t>
  </si>
  <si>
    <t>Energy Consumption: Total Delivered</t>
  </si>
  <si>
    <t>ton/yr</t>
  </si>
  <si>
    <t>DHW Energy Carrier</t>
  </si>
  <si>
    <t>Heating Energy Carrier</t>
  </si>
  <si>
    <t>DHW System Efficiency</t>
  </si>
  <si>
    <t>Heat recovery efficiency</t>
  </si>
  <si>
    <t>Cooling System COP [KW/KW]</t>
  </si>
  <si>
    <t>Total building conditioned floor area [m2]</t>
  </si>
  <si>
    <t>T_supply_H (deg C)</t>
  </si>
  <si>
    <t>T_supply_C (deg C)</t>
  </si>
  <si>
    <t>Occupied Heating Set-point Temperature</t>
  </si>
  <si>
    <t>deltaT_C=Tset_C - Tsupply_C (deg C)</t>
  </si>
  <si>
    <t>deltaT_H=Tsupply_H-Tset_H (deg C)</t>
  </si>
  <si>
    <t>E_fan (kWh)</t>
  </si>
  <si>
    <t>Q_H_des (MJ)</t>
  </si>
  <si>
    <t>V_air_H_des (m3)</t>
  </si>
  <si>
    <t>Q_C_des (MJ)</t>
  </si>
  <si>
    <t>V_air_C_des (m3)</t>
  </si>
  <si>
    <t>rho_a_C_a (MJ/m3,K)</t>
  </si>
  <si>
    <t>EUI_fan (kWh/m2)</t>
  </si>
  <si>
    <t>Fan power (Ws/m3)</t>
  </si>
  <si>
    <t>Building Height [m]</t>
  </si>
  <si>
    <t>V_air_total (m3)</t>
  </si>
  <si>
    <t>fcntrl;vent: recirculation factor</t>
  </si>
  <si>
    <t>Building Energy Management System</t>
  </si>
  <si>
    <t>Type of BEM system installed</t>
  </si>
  <si>
    <t>Area Summary</t>
  </si>
  <si>
    <t>Total roof area [m2]</t>
  </si>
  <si>
    <t>Total window [m2]</t>
  </si>
  <si>
    <t>29. Induction system, change over</t>
  </si>
  <si>
    <t>28. Induction system, non change over</t>
  </si>
  <si>
    <t>32. Radiant cooling panels (chilled ceilings &amp; passive chilled beams)</t>
  </si>
  <si>
    <t>&lt;source: EN 15243, Table E.1&gt;</t>
  </si>
  <si>
    <t>system code / heat distribution by / cold distribution by / individual heating control</t>
  </si>
  <si>
    <t>22. VAV / Water or Water&amp;Air / Water / Yes</t>
  </si>
  <si>
    <t>23. VAV / Water or Water&amp;Air / Air / Yes</t>
  </si>
  <si>
    <t>25. Fan coil unit system</t>
  </si>
  <si>
    <t>&lt;Source: EN 15242:2007&gt;</t>
  </si>
  <si>
    <t>Schedule and Occupancy</t>
  </si>
  <si>
    <t>Fan Energy</t>
  </si>
  <si>
    <t>Ventilation and Fan</t>
  </si>
  <si>
    <t>Heat gains</t>
  </si>
  <si>
    <t>To be added…</t>
  </si>
  <si>
    <t>Heat Gains and Losses</t>
  </si>
  <si>
    <t>Energy Generation</t>
  </si>
  <si>
    <t>Exterior Lighting Power [W]</t>
  </si>
  <si>
    <t>Eint_light
[kWh/m2]</t>
  </si>
  <si>
    <t>Eext_light
[kWh/m2]</t>
  </si>
  <si>
    <t>Total Delivered Energy</t>
  </si>
  <si>
    <t>Exterior Lighting</t>
  </si>
  <si>
    <t>Installed power [W]</t>
  </si>
  <si>
    <t>Average fraction of light on per day</t>
  </si>
  <si>
    <t>On hours</t>
  </si>
  <si>
    <t>Eext_light [kWh/m2]</t>
  </si>
  <si>
    <t>Water setpoint temperature [C]</t>
  </si>
  <si>
    <t>Water initial temperature [C]</t>
  </si>
  <si>
    <t>Annual water consumption [m3/yr]</t>
  </si>
  <si>
    <t>DHW Demand [m3/yr]</t>
  </si>
  <si>
    <t>NG powered appliances [W/m2]</t>
  </si>
  <si>
    <t>Electricity powered appliances [W/m2]</t>
  </si>
  <si>
    <t>All averaged</t>
  </si>
  <si>
    <t>Eplug
[kWh/m2]</t>
  </si>
  <si>
    <t>Electricity [kWh/m2]</t>
  </si>
  <si>
    <t>NG  [kWh/m2]</t>
  </si>
  <si>
    <t>MWh/yr</t>
  </si>
  <si>
    <t>EUI: Total Primary</t>
  </si>
  <si>
    <t>Energy Consumption: Total Primary</t>
  </si>
  <si>
    <t>EUI: Total Thermal Need</t>
  </si>
  <si>
    <t>EUI: Heating Need</t>
  </si>
  <si>
    <t>EUI: Cooling Need</t>
  </si>
  <si>
    <t>EPC: Delivered</t>
  </si>
  <si>
    <t>EPC: Primary</t>
  </si>
  <si>
    <t>EPC: Thermal Need</t>
  </si>
  <si>
    <t>E_ref_nd</t>
  </si>
  <si>
    <t>E_ref_del</t>
  </si>
  <si>
    <t>E_ref_pri</t>
  </si>
  <si>
    <t>Intercept</t>
  </si>
  <si>
    <t>nd</t>
  </si>
  <si>
    <t>del</t>
  </si>
  <si>
    <t>pri</t>
  </si>
  <si>
    <t>BASELINE</t>
  </si>
  <si>
    <t>COEFFICIENTS</t>
  </si>
  <si>
    <t>Occ Hour (hr/wk)</t>
  </si>
  <si>
    <t>Occ Density (m2/p)</t>
  </si>
  <si>
    <t>Base</t>
  </si>
  <si>
    <t>Normalized</t>
  </si>
  <si>
    <t>1.Energy Use Intensity</t>
  </si>
  <si>
    <t>2. Energy Consumption</t>
  </si>
  <si>
    <t>3. Primary Energy</t>
  </si>
  <si>
    <t>4. Emissions</t>
  </si>
  <si>
    <t>5. Reference Values</t>
  </si>
  <si>
    <t>6. EPC</t>
  </si>
  <si>
    <t>Occ_hour_norm</t>
  </si>
  <si>
    <t>Occ_hour_norm/Occ_density_bar^2</t>
  </si>
  <si>
    <t>For Parameter Screening</t>
  </si>
  <si>
    <t>Opaque Emissivity</t>
  </si>
  <si>
    <t>Window1 Emissivity</t>
  </si>
  <si>
    <t>Window2 Emissivity</t>
  </si>
  <si>
    <t>Global N(W/m2)</t>
  </si>
  <si>
    <t>Global E(W/m2)</t>
  </si>
  <si>
    <t>Global S(W/m2)</t>
  </si>
  <si>
    <t>Asol=αS,c * Rse * Uc * Ac</t>
  </si>
  <si>
    <t>Effective Opaque Solar Collecting Area (m2)</t>
  </si>
  <si>
    <t>Thermal Radiation to the sky (W)</t>
  </si>
  <si>
    <t>SI</t>
  </si>
  <si>
    <t>IP</t>
  </si>
  <si>
    <t>kBTU/ft2/yr</t>
  </si>
  <si>
    <t>MBTU/yr</t>
  </si>
  <si>
    <t>kWh --&gt; kBTU</t>
  </si>
  <si>
    <t>m2 --&gt; ft2</t>
  </si>
  <si>
    <t>Therm/yr</t>
  </si>
  <si>
    <t>New Reference Value</t>
  </si>
  <si>
    <t>Standardized Operation</t>
  </si>
  <si>
    <t>Hours/week</t>
  </si>
  <si>
    <t>Occupant density (m2/p)</t>
  </si>
  <si>
    <t>Translate to EnergyStar</t>
  </si>
  <si>
    <t>Metabolic rate (W/p)</t>
  </si>
  <si>
    <t>PC Power (W/PC)</t>
  </si>
  <si>
    <t>CIBSE Guide A 6.4.4</t>
  </si>
  <si>
    <t>Operating Characteristic</t>
  </si>
  <si>
    <t>CLnSqFt</t>
  </si>
  <si>
    <t>CPCDen</t>
  </si>
  <si>
    <t>CLNWkHrs</t>
  </si>
  <si>
    <t>CLNWkrDen</t>
  </si>
  <si>
    <t>CHDDxPH</t>
  </si>
  <si>
    <t>CCDDxPC</t>
  </si>
  <si>
    <t>Formula to Compute variable</t>
  </si>
  <si>
    <t>Building Variable Value</t>
  </si>
  <si>
    <t>Reference Centering Value</t>
  </si>
  <si>
    <t>LN(Square Foot)</t>
  </si>
  <si>
    <t>#Computers/ft2*1000</t>
  </si>
  <si>
    <t>LN(Weekly Operating Hours)</t>
  </si>
  <si>
    <t>LN(#Workers/ft2*1000)</t>
  </si>
  <si>
    <t>(HDD*Percent Heated)</t>
  </si>
  <si>
    <t>(CDD*Percent Cooled)</t>
  </si>
  <si>
    <t>SqFt (ft2)</t>
  </si>
  <si>
    <t>Building Centered Variable
(Variable Value - Center Value)</t>
  </si>
  <si>
    <t>Constant</t>
  </si>
  <si>
    <t>NA</t>
  </si>
  <si>
    <t>Coefficient * Centered Variable</t>
  </si>
  <si>
    <t>Predicted Source EUI (kBtu/ft2)</t>
  </si>
  <si>
    <t>Predicted Source EUI (kWh/m2)</t>
  </si>
  <si>
    <t>PCs (W/m2)</t>
  </si>
  <si>
    <t>1/4 of Appliances</t>
  </si>
  <si>
    <t>80th Percentile of EnergyStar: Predicted * .63</t>
  </si>
  <si>
    <t>Eref_pri (kWh/m2)</t>
  </si>
  <si>
    <t>Reference Values</t>
  </si>
  <si>
    <t>Old Reference Value Based on Regression</t>
  </si>
  <si>
    <t>Eref_del (kWh/m2)</t>
  </si>
  <si>
    <t>Eref_nd (kWh/m2)</t>
  </si>
  <si>
    <t>Based on 311 S Wacker, standardized operation</t>
  </si>
  <si>
    <t>Based on EnergyStar Calculation, standardized operation</t>
  </si>
  <si>
    <t>ft2</t>
  </si>
  <si>
    <t>Avg Temp deg C</t>
  </si>
  <si>
    <t>Wind Speed m/s</t>
  </si>
  <si>
    <t>S Rad W/m2</t>
  </si>
  <si>
    <t>SE Rad  W/m2</t>
  </si>
  <si>
    <t>E Rad W/m2</t>
  </si>
  <si>
    <t>NE Rad W/m2</t>
  </si>
  <si>
    <t>N Rad W/m2</t>
  </si>
  <si>
    <t>NW Rad W/m2</t>
  </si>
  <si>
    <t>W Rad W/m2</t>
  </si>
  <si>
    <t>SW Rad W/m2</t>
  </si>
  <si>
    <t>GHorz Rad W/m2</t>
  </si>
  <si>
    <t>Tdry deg C hr 1</t>
  </si>
  <si>
    <t>Tdry deg C hr 2</t>
  </si>
  <si>
    <t>Tdry deg C hr 3</t>
  </si>
  <si>
    <t>Tdry deg C hr 4</t>
  </si>
  <si>
    <t>Tdry deg C hr 5</t>
  </si>
  <si>
    <t>Tdry deg C hr 6</t>
  </si>
  <si>
    <t>Tdry deg C hr 7</t>
  </si>
  <si>
    <t>Tdry deg C hr 8</t>
  </si>
  <si>
    <t>Tdry deg C hr 9</t>
  </si>
  <si>
    <t>Tdry deg C hr 10</t>
  </si>
  <si>
    <t>Tdry deg C hr 11</t>
  </si>
  <si>
    <t>Tdry deg C hr 12</t>
  </si>
  <si>
    <t>Tdry deg C hr 13</t>
  </si>
  <si>
    <t>Tdry deg C hr 14</t>
  </si>
  <si>
    <t>Tdry deg C hr 15</t>
  </si>
  <si>
    <t>Tdry deg C hr 16</t>
  </si>
  <si>
    <t>Tdry deg C hr 17</t>
  </si>
  <si>
    <t>Tdry deg C hr 18</t>
  </si>
  <si>
    <t>Tdry deg C hr 19</t>
  </si>
  <si>
    <t>Tdry deg C hr 20</t>
  </si>
  <si>
    <t>Tdry deg C hr 21</t>
  </si>
  <si>
    <t>Tdry deg C hr 22</t>
  </si>
  <si>
    <t>Tdry deg C hr 23</t>
  </si>
  <si>
    <t>Tdry deg C hr 24</t>
  </si>
  <si>
    <t>GHorz W/m2 hr 1</t>
  </si>
  <si>
    <t>GHorz W/m2 hr 2</t>
  </si>
  <si>
    <t>GHorz W/m2 hr 3</t>
  </si>
  <si>
    <t>GHorz W/m2 hr 4</t>
  </si>
  <si>
    <t>GHorz W/m2 hr 5</t>
  </si>
  <si>
    <t>GHorz W/m2 hr 6</t>
  </si>
  <si>
    <t>GHorz W/m2 hr 7</t>
  </si>
  <si>
    <t>GHorz W/m2 hr 8</t>
  </si>
  <si>
    <t>GHorz W/m2 hr 9</t>
  </si>
  <si>
    <t>GHorz W/m2 hr 10</t>
  </si>
  <si>
    <t>GHorz W/m2 hr 11</t>
  </si>
  <si>
    <t>GHorz W/m2 hr 12</t>
  </si>
  <si>
    <t>GHorz W/m2 hr 13</t>
  </si>
  <si>
    <t>GHorz W/m2 hr 14</t>
  </si>
  <si>
    <t>GHorz W/m2 hr 15</t>
  </si>
  <si>
    <t>GHorz W/m2 hr 16</t>
  </si>
  <si>
    <t>GHorz W/m2 hr 17</t>
  </si>
  <si>
    <t>GHorz W/m2 hr 18</t>
  </si>
  <si>
    <t>GHorz W/m2 hr 19</t>
  </si>
  <si>
    <t>GHorz W/m2 hr 20</t>
  </si>
  <si>
    <t>GHorz W/m2 hr 21</t>
  </si>
  <si>
    <t>GHorz W/m2 hr 22</t>
  </si>
  <si>
    <t>GHorz W/m2 hr 23</t>
  </si>
  <si>
    <t>GHorz W/m2 hr 24</t>
  </si>
  <si>
    <t>Year (0=TMY)</t>
  </si>
  <si>
    <t>Etotal
[kWh]</t>
  </si>
  <si>
    <t>m2</t>
  </si>
  <si>
    <t xml:space="preserve">U-value </t>
  </si>
  <si>
    <t>Skylight</t>
  </si>
  <si>
    <t>Solar Absorption coefficient</t>
  </si>
  <si>
    <t>Thermal Emissivity</t>
  </si>
  <si>
    <t>SHGC</t>
  </si>
  <si>
    <t>Window 1 SHGC</t>
  </si>
  <si>
    <t>Q4pa</t>
  </si>
  <si>
    <t xml:space="preserve">Total Envelope Area [m2] </t>
  </si>
  <si>
    <t>Q4Pa (m3/h/m2) based on floor area</t>
  </si>
  <si>
    <t>Air leakage Q75Pa(m3/h/m2) based on wall area</t>
  </si>
  <si>
    <t>convert from 75 to 4 by (4/75)^0.65</t>
  </si>
  <si>
    <t>Year Built</t>
  </si>
  <si>
    <t>Category Max</t>
  </si>
  <si>
    <t>Don't use Am factor in monthly spreadsheet</t>
  </si>
  <si>
    <t>For Sensitivity Analysis</t>
  </si>
  <si>
    <t>USA_IL_Chicago-Ohare.AP.725300_AMY 3</t>
  </si>
  <si>
    <t>U-value  [W/m2K]</t>
  </si>
  <si>
    <t>Monthly Weather Data</t>
  </si>
  <si>
    <t>TMY</t>
  </si>
  <si>
    <t xml:space="preserve">TMY/AMY Data for Chicago Ohare: </t>
  </si>
  <si>
    <t xml:space="preserve">Data computed using GIT weather convertor data sheet, TMY3 data from EnergyPlus, and AMY Data purchased from </t>
  </si>
  <si>
    <t xml:space="preserve">Row </t>
  </si>
  <si>
    <t>Relative COP100: for Relative Load 100%</t>
  </si>
  <si>
    <t>Partial Load COP75 Relative Load 75%</t>
  </si>
  <si>
    <t>Partial Load COP50 Relative Load 50%</t>
  </si>
  <si>
    <t>Partial Load COP25 Relative Load 25%</t>
  </si>
  <si>
    <t>Weighting of 100% Load</t>
  </si>
  <si>
    <t>Weighting of 75% Load</t>
  </si>
  <si>
    <t>Weighting of 50% Load</t>
  </si>
  <si>
    <t>Weighting of 25% Load</t>
  </si>
  <si>
    <t>Refer to the right figure</t>
  </si>
  <si>
    <t>Building connected to DH</t>
  </si>
  <si>
    <t>0: NO; 1: YES (Consumes Natural Gas)</t>
  </si>
  <si>
    <t>Efficiency of heating network</t>
  </si>
  <si>
    <t>Typcial value 0.75 - 0.9: EN 15316-4-5</t>
  </si>
  <si>
    <t>Efficiency of DH heating system</t>
  </si>
  <si>
    <t>Fraction of free heat source to DH</t>
  </si>
  <si>
    <t>Range between 0 and 1 (if none: 0)</t>
  </si>
  <si>
    <t>District Cooling System</t>
  </si>
  <si>
    <t>Building connected to DC</t>
  </si>
  <si>
    <t>0: NO; 1: YES</t>
  </si>
  <si>
    <t>Efficiency of cooling network</t>
  </si>
  <si>
    <t>COP of DC electric chillers</t>
  </si>
  <si>
    <t>If DC plant has absorption chillers, fraction of cold coming from absorption chillers</t>
  </si>
  <si>
    <t>COP of DC absorption chiller</t>
  </si>
  <si>
    <t>Fraction of free heat source to absorption chillers</t>
  </si>
  <si>
    <t>E_heat (MJ)</t>
  </si>
  <si>
    <t>Qheat,an=Σi ((Qheat_nd,i + Qloss,heat,i) / ηgen,heat)</t>
  </si>
  <si>
    <t>DH</t>
  </si>
  <si>
    <t>Q_heat_nd for DH (MJ)</t>
  </si>
  <si>
    <t>E_heat_dh(MJ)</t>
  </si>
  <si>
    <t>DC</t>
  </si>
  <si>
    <t>Elec</t>
  </si>
  <si>
    <t>Q_cool_nd for DC (MJ)</t>
  </si>
  <si>
    <t>E_cool_dc_elec</t>
  </si>
  <si>
    <t>E_cool_dc_absorp</t>
  </si>
  <si>
    <t>E_heat [MJ]</t>
  </si>
  <si>
    <t>E_cool [MJ]</t>
  </si>
  <si>
    <t>Chiller Type</t>
  </si>
  <si>
    <t>MW</t>
  </si>
  <si>
    <t>Mbtu/hr</t>
  </si>
  <si>
    <t>Vapor compression chillers</t>
  </si>
  <si>
    <t>Reciprocating</t>
  </si>
  <si>
    <t>up to 1.5</t>
  </si>
  <si>
    <t>up to 5.1</t>
  </si>
  <si>
    <t>3.8-4.6</t>
  </si>
  <si>
    <t>Rotary</t>
  </si>
  <si>
    <t>Screw</t>
  </si>
  <si>
    <t>0.3-7</t>
  </si>
  <si>
    <t>1 - 24</t>
  </si>
  <si>
    <t>4.1-5.6</t>
  </si>
  <si>
    <t>Scroll</t>
  </si>
  <si>
    <t>Rolling piston</t>
  </si>
  <si>
    <t>Centrifugal</t>
  </si>
  <si>
    <t>0.3-35</t>
  </si>
  <si>
    <t>1-120</t>
  </si>
  <si>
    <t>5.0 - 7.9</t>
  </si>
  <si>
    <t>Absorption chillers</t>
  </si>
  <si>
    <t>single stage</t>
  </si>
  <si>
    <t>0.3-6</t>
  </si>
  <si>
    <t>1-21</t>
  </si>
  <si>
    <t>Double-stage</t>
  </si>
  <si>
    <t>0.3-8</t>
  </si>
  <si>
    <t>1-27</t>
  </si>
  <si>
    <t>Direct-fired</t>
  </si>
  <si>
    <t>0.3-5.2</t>
  </si>
  <si>
    <t>1-18</t>
  </si>
  <si>
    <t>Avg Esol (W/m2)</t>
  </si>
  <si>
    <t>South-East</t>
  </si>
  <si>
    <t>South-West</t>
  </si>
  <si>
    <t>sum</t>
  </si>
  <si>
    <t>factor</t>
  </si>
  <si>
    <t>Averaged Solar Radiation on PV module(W/m2)</t>
  </si>
  <si>
    <t>Tilt Angle</t>
  </si>
  <si>
    <t>Fan System</t>
  </si>
  <si>
    <t>May 2012 Addition</t>
  </si>
  <si>
    <t>Heating Pumps Energy (MJ)</t>
  </si>
  <si>
    <t>Cooling Pumps Energy (MJ)</t>
  </si>
  <si>
    <t>Total Pump Energy (MJ)</t>
  </si>
  <si>
    <t>District System: added at April 2012</t>
  </si>
  <si>
    <t>Air Handling Unit: added at May 2012 (EPA NR 2007 6.9.3.5)</t>
  </si>
  <si>
    <t>Q_ahu,h</t>
  </si>
  <si>
    <t>=f_h * Q_dem_ahu_h</t>
  </si>
  <si>
    <t>T_mix</t>
  </si>
  <si>
    <t>= f_mix * T_return + (1 - f_mix) * T_e</t>
  </si>
  <si>
    <t>T_return</t>
  </si>
  <si>
    <t>= T_i</t>
  </si>
  <si>
    <t>T_return (T_i)</t>
  </si>
  <si>
    <t>Heating Internal Temperature</t>
  </si>
  <si>
    <t>Cooling Internal Temperature</t>
  </si>
  <si>
    <t>f_mix</t>
  </si>
  <si>
    <t>f_h</t>
  </si>
  <si>
    <t>T_h_supp</t>
  </si>
  <si>
    <t>deltaT_fans</t>
  </si>
  <si>
    <t>f_vent</t>
  </si>
  <si>
    <t>H_h_ahu</t>
  </si>
  <si>
    <t>Local heating unit: 0: NO; 1: YES</t>
  </si>
  <si>
    <t>YES: T_h_supp = T_h_supp_set</t>
  </si>
  <si>
    <t>NO:  T_h_supp=T_mix +deltaT_fans</t>
  </si>
  <si>
    <t>= H_h_ahu * ((T_h_supp - deltaT_fans)-T_mix) * f_vent * t</t>
  </si>
  <si>
    <t>Q_dem_ahu_h</t>
  </si>
  <si>
    <t>t</t>
  </si>
  <si>
    <t>T_c_supp</t>
  </si>
  <si>
    <t>H_c_ahu</t>
  </si>
  <si>
    <t>Q_dem_ahu_c</t>
  </si>
  <si>
    <t>f_c</t>
  </si>
  <si>
    <t>Q_ahu_c</t>
  </si>
  <si>
    <t>=f_c * Q_dem_ahu_c</t>
  </si>
  <si>
    <t>= H_c_ahu * ((T_c_supp - deltaT_fans)-T_mix) * f_vent * t</t>
  </si>
  <si>
    <t>Q_nd_h (MJ)</t>
  </si>
  <si>
    <t>Q_nd_c (MJ)</t>
  </si>
  <si>
    <t>Q_dem_ahu_c (MJ)</t>
  </si>
  <si>
    <t>Q_dem_ahu_h (MJ)</t>
  </si>
  <si>
    <t>Q'_nd_h (MJ)</t>
  </si>
  <si>
    <t>Q'_nd_c (MJ)</t>
  </si>
  <si>
    <t>f_recir</t>
  </si>
  <si>
    <t>eta_hr</t>
  </si>
  <si>
    <t>Local cooling unit: 0: NO; 1: YES</t>
  </si>
  <si>
    <t>YES: T_c_supp = T_c_supp_set</t>
  </si>
  <si>
    <t>NO:  T_c_supp=T_mix +deltaT_fans</t>
  </si>
  <si>
    <t>X_e (g/kg dry air)</t>
  </si>
  <si>
    <t>X_supp (g/kg dry air)</t>
  </si>
  <si>
    <t>Humidity (g/kg dry air)</t>
  </si>
  <si>
    <t>Cooling pumps control factor</t>
  </si>
  <si>
    <t>Heating pump operational factor</t>
  </si>
  <si>
    <t>Cooling pump operational factor</t>
  </si>
  <si>
    <t>Total Pump Operational factor</t>
  </si>
  <si>
    <t>Fan flow control factor</t>
  </si>
  <si>
    <t>TBD</t>
  </si>
  <si>
    <t>fan factor (W*s/liter)</t>
  </si>
  <si>
    <t>Fan Energy (kWh)</t>
  </si>
  <si>
    <t>Fan Energy (kWh/m2)</t>
  </si>
  <si>
    <t>Cooling system Integrated Partial Load index Value (IPLV)</t>
  </si>
  <si>
    <t>Temps</t>
  </si>
  <si>
    <t>Monthly Average Wind Speed ( m/s)</t>
  </si>
  <si>
    <t>People Density: Occ (m2/person)</t>
  </si>
  <si>
    <t>Occupied weekday</t>
  </si>
  <si>
    <t>People Density: Unocc (m2/person)</t>
  </si>
  <si>
    <t>Time in Msec</t>
  </si>
  <si>
    <t>Monthly Ave Temps for Each Hour</t>
  </si>
  <si>
    <t>Monthly avg horizontal radiation for each hour</t>
  </si>
  <si>
    <t>Lighting Energy</t>
  </si>
  <si>
    <t>Total in MJ/m2</t>
  </si>
  <si>
    <t>MAX(0.0146*$D$303*(0.7*$D$304*ABS(AG5-Z231))^0.667,0.001)</t>
  </si>
  <si>
    <t>ΦI</t>
  </si>
  <si>
    <t>Total Heat Gains (MJ)</t>
  </si>
  <si>
    <t>τH= Cm /3600/(Htr+Hve)</t>
  </si>
  <si>
    <t>Building Time Constant for Heating</t>
  </si>
  <si>
    <t>Building Time Constant for Cooling</t>
  </si>
  <si>
    <t>OLD Fan Energy Model</t>
  </si>
  <si>
    <t>Hve</t>
  </si>
  <si>
    <t>heating reference time constant</t>
  </si>
  <si>
    <t>heating reference constant</t>
  </si>
  <si>
    <t>Heat transfer coefficient for ventilation for heating</t>
  </si>
  <si>
    <t>heat xfer coefficient for ventilattion for cooling</t>
  </si>
  <si>
    <t>New Fan Energy Model</t>
  </si>
  <si>
    <t xml:space="preserve">% 1. No airco system / Water or Water&amp;Air / NA / Yes </t>
  </si>
  <si>
    <t>%2. No airco system / Water or Water&amp;Air / NA / No</t>
  </si>
  <si>
    <t>%3. No airco system / Air / NA /  Yes</t>
  </si>
  <si>
    <t>%4. No airco system / Air / NA /  No</t>
  </si>
  <si>
    <t>%5. Single duct system / Water or Water&amp;Air / Water / Yes</t>
  </si>
  <si>
    <t>%6 .Single duct system / Water or Water&amp;Air / Air / Yes</t>
  </si>
  <si>
    <t>%7. Single duct system / Water or Water&amp;Air / Air / No</t>
  </si>
  <si>
    <t>%8. Single duct system / Air  / Air / Yes</t>
  </si>
  <si>
    <t>%9. Single duct system / Air / Air / No</t>
  </si>
  <si>
    <t>%10. Dual duct system / Water or Water&amp;Air / Water / Yes</t>
  </si>
  <si>
    <t>%11. Dual duct system / Water or Water&amp;Air / Air / Yes</t>
  </si>
  <si>
    <t>%12. Dual duct system  / Water or Water&amp;Air / Air / No</t>
  </si>
  <si>
    <t>%13. Dual duct system / Air / Water / Yes</t>
  </si>
  <si>
    <t>%14. Single duct , Terminal reheat / Water or Water&amp;Air / Water / Yes</t>
  </si>
  <si>
    <t>%15. Single duct , Terminal reheat  / Water or Water&amp;Air / Air / Yes</t>
  </si>
  <si>
    <t>%16. Single duct , Terminal reheat / Water or Water&amp;Air / Air / No</t>
  </si>
  <si>
    <t>%17. Constant volume / Water or Water&amp;Air / Water / Yes</t>
  </si>
  <si>
    <t>%18. Constant volume / Water or Water&amp;Air / Air / Yes</t>
  </si>
  <si>
    <t>%19. Constant volume / Water or Water&amp;Air / Air / No</t>
  </si>
  <si>
    <t>%20. Constant volume / Air  / Air / Yes</t>
  </si>
  <si>
    <t>%21. Constant volume / Air / Air / No</t>
  </si>
  <si>
    <t>%22. VAV / Water or Water&amp;Air / Water / Yes</t>
  </si>
  <si>
    <t>%23. VAV / Water or Water&amp;Air / Air / Yes</t>
  </si>
  <si>
    <t>%24. Variable air volume / Water or Water&amp;Air / Air / No</t>
  </si>
  <si>
    <t>%25. Fan coil unit system</t>
  </si>
  <si>
    <t>%28. Induction system, non change over</t>
  </si>
  <si>
    <t>%29. Induction system, change over</t>
  </si>
  <si>
    <t>%32. Radiant cooling panels (chilled ceilings &amp; passive chilled beams)</t>
  </si>
  <si>
    <t>%34. Embedded cooling system floors, walls or ceilings</t>
  </si>
  <si>
    <t>%35. Room units including single duct units</t>
  </si>
  <si>
    <t>%36. Direct expansion single split system</t>
  </si>
  <si>
    <t>TOTAL ELECTRICITY USE FOR HEATING ANDCOOLING</t>
  </si>
  <si>
    <t>TOTAL NATURAL GAS USE FOR HEATING AND COOLING</t>
  </si>
  <si>
    <t xml:space="preserve">Occupied Interior Lighting Power Intensity [W/m2] </t>
  </si>
  <si>
    <t xml:space="preserve">Unoccupied Interior Lighting Power Intensity [W/m2] </t>
  </si>
  <si>
    <t>May 2012 Addition (EPA NR 2007 6.9.7.1, 6.9.7.2), Ignore above</t>
  </si>
  <si>
    <t>Occupied Internal set point for heating [°C]</t>
  </si>
  <si>
    <t>Unoccupied Internal set point for heating [°C]</t>
  </si>
  <si>
    <t>Occupied Internal set point for cooling [°C]</t>
  </si>
  <si>
    <t>Unoccupied Internal set point for cooling [°C]</t>
  </si>
  <si>
    <t>Internal Heat Capacity (J/(Km2))</t>
  </si>
  <si>
    <t>Internal HC (J)</t>
  </si>
  <si>
    <t>Envelope Heat Capacity (J/K/m2)</t>
  </si>
  <si>
    <t># Terrain class urban/city = 0.8, suburban/some shielding = 0.9, country/open = 1.0</t>
  </si>
  <si>
    <t># building height is in m,  floor area is in m^2, people density is m2/person</t>
  </si>
  <si>
    <t># LPD, EPD, GPD all in W/m2, ext light power in W, an heat gain is W/person</t>
  </si>
  <si>
    <t># Temp set points in degrees C</t>
  </si>
  <si>
    <t># HVAC waste, heating and cooling loss factors set by HVAC type from EN 15243</t>
  </si>
  <si>
    <t># daylight sensors, occupancy sensors, illum control are set to 1 if there is no control.   See iso 15193 Annex F/G for values</t>
  </si>
  <si>
    <t># COP is W/W, coolingSystemIPLV is the ratio of IPLV/COP</t>
  </si>
  <si>
    <t>#energycarrier is 1 if electric, 2 if gas</t>
  </si>
  <si>
    <t># ventilation flow rates in L/s, default is 10 L/s/person ~ 20 cfm/person</t>
  </si>
  <si>
    <t># heatRecover = efficiency of heat recovery (0 for none), exhaustAirRecir = fraction of supply air recirculated</t>
  </si>
  <si>
    <t># DHW demand in m3/yr use 10 m3/yr/person as a default for offices</t>
  </si>
  <si>
    <t xml:space="preserve"># dhwDistribution efficiency all taps w/i 3m = 1, taps more than 3m = 0.8, circulation or unknown = 0.6, see NEN 2916 12.6, </t>
  </si>
  <si>
    <t># Surface Heat capacity in J/K/m2</t>
  </si>
  <si>
    <t># BEM type 1= none, 2 = simple, 3=advanced with FDD</t>
  </si>
  <si>
    <t># specific fan power in L/s/W,  flow control factor is energy reduction from fan control measures</t>
  </si>
  <si>
    <t xml:space="preserve"># fan flow control  1= no control, 0.75 = inlet blade adjuct, 0.65= variable speed  see NEN 2916 7.3.3.4  </t>
  </si>
  <si>
    <t># infiltration in m3/m2/hr based on surface area</t>
  </si>
  <si>
    <t># pump control 0= no pump, 0.5 = auto pump controls for more 50% of pumps, 1.0 = all other cases.   See NEN 2914 9.4.3</t>
  </si>
  <si>
    <t># Areas in m2, U values in W/m2/K</t>
  </si>
  <si>
    <t># SCF = solar control factor (external control), SDF = shading device factor = internal shading</t>
  </si>
  <si>
    <t># vent type is 1 if mech, 2 if natural, 3 if mixed, flow rates in m^3/hr</t>
  </si>
  <si>
    <t>Window to Wall Ratio</t>
  </si>
  <si>
    <t>Total opaque wall area [m2]</t>
  </si>
  <si>
    <t>DHW Distribution Efficiency</t>
  </si>
  <si>
    <t>Area [m2]</t>
  </si>
  <si>
    <t>Shading Correction Factor (SCF)</t>
  </si>
  <si>
    <t>Shading Device Factor (SDF)</t>
  </si>
  <si>
    <t>Program/People</t>
  </si>
  <si>
    <t>Heat Gain per Person [W/person]</t>
  </si>
  <si>
    <t>Building occupancy day - From:</t>
  </si>
  <si>
    <t>Building occupancy day - To:</t>
  </si>
  <si>
    <t>Lighting occupancy sensor control fraction</t>
  </si>
  <si>
    <t>Lighting daylighting sensor control fraction</t>
  </si>
  <si>
    <t>Lighting constant illumination control fraction</t>
  </si>
  <si>
    <t>Specifiec fan power [W/(L/s)]</t>
  </si>
  <si>
    <t>HVAC system type (See Table at right)</t>
  </si>
  <si>
    <t>[Table] Ventilation system specification &lt;source: EN 15243, Table E.1&gt;</t>
  </si>
  <si>
    <t>HVAC Distribution Loss Factors</t>
  </si>
  <si>
    <t>*Waste = simultaneous heating and cooling</t>
  </si>
  <si>
    <t>Waste*</t>
  </si>
  <si>
    <t>Wall/Roof</t>
  </si>
  <si>
    <t>Envelope/Enclosure System</t>
  </si>
  <si>
    <t>Heat Capacity (Thermal Mass)</t>
  </si>
  <si>
    <t>Interior Heat Capacity [J/K/m2]</t>
  </si>
  <si>
    <t>Envelope Heat Capacity [J/K/m2]</t>
  </si>
  <si>
    <t>Rotating vane</t>
  </si>
  <si>
    <t>ARI COP</t>
  </si>
  <si>
    <t>Chiller COP Ranges</t>
  </si>
  <si>
    <t>IPLV Calculator</t>
  </si>
  <si>
    <t>From ARI 550/591</t>
  </si>
  <si>
    <t>From ARI 550/592</t>
  </si>
  <si>
    <t>From ARI 550/593</t>
  </si>
  <si>
    <t>IPLV (Integrated Partial Load Value) (for Cell C64)</t>
  </si>
  <si>
    <t xml:space="preserve">From ARI 550/590 </t>
  </si>
  <si>
    <t>PPD Reference</t>
  </si>
  <si>
    <t>Select TMY or Year</t>
  </si>
  <si>
    <t>c:\epw\ord.epw</t>
  </si>
  <si>
    <t>Path to Weather File to Use for Analysis</t>
  </si>
  <si>
    <t>Notes:   This Info is used to populate ISM headers and set weather file path</t>
  </si>
  <si>
    <t>Envelope Infiltration Rate Unoccupied [m3/h/m2]</t>
  </si>
  <si>
    <t>Internal  Appliance Heat Gain [W/m2]</t>
  </si>
  <si>
    <t>Occupied Electric Appiance Power Density</t>
  </si>
  <si>
    <t>Unoccupied Electric Appiance Power Density</t>
  </si>
  <si>
    <t>Occupied Natural Gas Appiance Power Density</t>
  </si>
  <si>
    <t>Unoccupied Natural Gas Appiance Power Density</t>
  </si>
  <si>
    <t>Occupied Ventilation Air Intake Rate [L/s]</t>
  </si>
  <si>
    <t>Unoccupied Ventilation Air Intake Rate [L/s]</t>
  </si>
  <si>
    <t>Occupied Ventilation Air Exhaust Rate [L/s]</t>
  </si>
  <si>
    <t>Unoccupied Ventilation Air Exhaust Rate [L/s]</t>
  </si>
  <si>
    <t>Occupied Envelope Infiltration Rate [m3/h/m2]</t>
  </si>
  <si>
    <t>Infiltration @ 75 Pa [m3/h/m2] using Envelope Surface Area</t>
  </si>
  <si>
    <t>V 0.01  14-Nov-2013 RTM    Cleaned up old spreadsheet, removed PV, district heating and cooling</t>
  </si>
  <si>
    <t>V 0.01  14-Nov-2013 RTM    Added page that generates the ism file.   Now all that needs to be done is to export or copy that sheet to a .ISM file</t>
  </si>
  <si>
    <t xml:space="preserve">V 0.02 15-Nov-2013 RTM, changed ISM variable names and added a couple extra unoccupied input variables </t>
  </si>
  <si>
    <t>Update Notes</t>
  </si>
  <si>
    <t>Notes:</t>
  </si>
  <si>
    <t>This was originally generated from the Highrise Apartment from the PNNL 2013 Code DOE Reference Building</t>
  </si>
  <si>
    <t>Full load Occupancy is 7 days a week, 17 hours a day (less weekdays, more weekends)</t>
  </si>
  <si>
    <t>Setback temps are implemented (not done in PNNL reference building)</t>
  </si>
  <si>
    <t>HVAC values were tweaked to reflect  individual AC units with central gas heat and individual controls</t>
  </si>
  <si>
    <t>26. Induction system, 2-pipe non change over</t>
  </si>
  <si>
    <t>27. Induction system, 2-pipe change over</t>
  </si>
  <si>
    <t>28. Induction system, 3-pipe</t>
  </si>
  <si>
    <t>29. Induction system, 4-pipe</t>
  </si>
  <si>
    <t>30. 2-pipe radiant cooling panels (chilled ceilings &amp; passive chilled beams)</t>
  </si>
  <si>
    <t>31. 4-pipe radiant cooling panels (chilled ceilings &amp; passive chilled beams)</t>
  </si>
  <si>
    <t>32. Embedded cooling system floors, walls or ceilings</t>
  </si>
  <si>
    <t>33. Room units including single duct units</t>
  </si>
  <si>
    <t>34. Direct expansion single split system</t>
  </si>
  <si>
    <t>35. User Input (put values in at right)</t>
  </si>
  <si>
    <t>Loss Factors Set from C41 Pulldown</t>
  </si>
  <si>
    <t>Selected</t>
  </si>
  <si>
    <t>This was originally generated from the Midrise Apartment from the PNNL 2013 Code DOE Reference Building</t>
  </si>
  <si>
    <t>LargeOffice</t>
  </si>
  <si>
    <t>This was originally generated from the Office Large from the PNNL 2013 Code DOE Reference Building</t>
  </si>
  <si>
    <t>DHW use set at1 m3/person/year</t>
  </si>
  <si>
    <t>Population is 2493 occupants</t>
  </si>
  <si>
    <t>Setback temps reflect setback only in offices and hallways</t>
  </si>
  <si>
    <t>Occupancy is 79 people total</t>
  </si>
  <si>
    <t xml:space="preserve">Occupany is 199 people </t>
  </si>
  <si>
    <t>Ventilation rate set at 10L/s/person because value extracted automatically comes from incorrect Table.csv</t>
  </si>
  <si>
    <t>This was originally generated from the Medium Office from the PNNL 2013 Code DOE Reference Building</t>
  </si>
  <si>
    <t xml:space="preserve">Occupany is 268 people </t>
  </si>
  <si>
    <t>This was originally generated from theSmall Office from the PNNL 2013 Code DOE Reference Building</t>
  </si>
  <si>
    <t>Height includes peaked roof - zone height is only 3.1 m</t>
  </si>
  <si>
    <t>Occupancy is 31 people</t>
  </si>
  <si>
    <t>OfficeSmall</t>
  </si>
  <si>
    <t>AptMidrise</t>
  </si>
  <si>
    <t>AptHighrise</t>
  </si>
  <si>
    <t>OfficeMedium</t>
  </si>
  <si>
    <t>HVAC is air source heat pumps for heating and cooling with constant volume AHU so use type 18</t>
  </si>
  <si>
    <t>Use  roof U=0.27 because it is not extracted properly since it is an attic space</t>
  </si>
  <si>
    <t>This was originally generated from the primary school from the PNNL 2013 Code DOE Reference Building</t>
  </si>
  <si>
    <t>Natural gas is used in kitchen so there are gas appliances</t>
  </si>
  <si>
    <t>This assumes school is used in summer as well</t>
  </si>
  <si>
    <t xml:space="preserve">Occupany is 1477 people </t>
  </si>
  <si>
    <t>HVAC is a PTAC with gas heating</t>
  </si>
  <si>
    <t>PrimarySchool</t>
  </si>
  <si>
    <t>RetailStandalone</t>
  </si>
  <si>
    <t>This was originally generated from the Retail Standalone from the PNNL 2013 Code DOE Reference Building</t>
  </si>
  <si>
    <t xml:space="preserve">Occupany is 371 people </t>
  </si>
  <si>
    <t>HVAC is ptacs with gas furnace, CAV distribution, use type 19</t>
  </si>
  <si>
    <t>Windows only on the S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</si>
</sst>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0.000"/>
    <numFmt numFmtId="168" formatCode="_ * #,##0_ ;_ * \-#,##0_ ;_ * &quot;-&quot;??_ ;_ @_ "/>
    <numFmt numFmtId="169" formatCode="0.00000"/>
    <numFmt numFmtId="170" formatCode="_(* #,##0.000_);_(* \(#,##0.000\);_(* &quot;-&quot;??_);_(@_)"/>
    <numFmt numFmtId="171" formatCode="_(* #,##0.00000_);_(* \(#,##0.00000\);_(* &quot;-&quot;??_);_(@_)"/>
    <numFmt numFmtId="172" formatCode="_(* #,##0.0000_);_(* \(#,##0.0000\);_(* &quot;-&quot;??_);_(@_)"/>
    <numFmt numFmtId="173" formatCode="_(* #,##0.0_);_(* \(#,##0.0\);_(* &quot;-&quot;?_);_(@_)"/>
    <numFmt numFmtId="174" formatCode="_(* #,##0.0000000_);_(* \(#,##0.0000000\);_(* &quot;-&quot;?_);_(@_)"/>
    <numFmt numFmtId="175" formatCode="_(* #,##0.000000_);_(* \(#,##0.000000\);_(* &quot;-&quot;??_);_(@_)"/>
    <numFmt numFmtId="176" formatCode="#,##0.0"/>
    <numFmt numFmtId="177" formatCode="0.0000"/>
    <numFmt numFmtId="178" formatCode="0.000E+00"/>
    <numFmt numFmtId="179" formatCode="0.0000E+00"/>
    <numFmt numFmtId="180" formatCode="[$-409]d\-mmm\-yy;@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FF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7" tint="0.3999755851924192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color theme="6" tint="0.39997558519241921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u/>
      <sz val="9.35"/>
      <color theme="10"/>
      <name val="Calibri"/>
      <family val="2"/>
    </font>
    <font>
      <u/>
      <sz val="10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8"/>
      <name val="Calibri"/>
      <family val="2"/>
    </font>
    <font>
      <sz val="10"/>
      <color theme="0"/>
      <name val="Calibri"/>
      <family val="2"/>
      <scheme val="minor"/>
    </font>
    <font>
      <vertAlign val="subscript"/>
      <sz val="10"/>
      <color indexed="8"/>
      <name val="Calibri"/>
      <family val="2"/>
      <scheme val="minor"/>
    </font>
    <font>
      <b/>
      <sz val="10"/>
      <color indexed="8"/>
      <name val="Calibri"/>
      <family val="2"/>
    </font>
    <font>
      <b/>
      <vertAlign val="subscript"/>
      <sz val="10"/>
      <color indexed="8"/>
      <name val="Calibri"/>
      <family val="2"/>
    </font>
    <font>
      <vertAlign val="subscript"/>
      <sz val="10"/>
      <color indexed="8"/>
      <name val="Calibri"/>
      <family val="2"/>
    </font>
    <font>
      <b/>
      <sz val="10"/>
      <name val="Calibri"/>
      <family val="2"/>
    </font>
    <font>
      <vertAlign val="subscript"/>
      <sz val="10"/>
      <name val="Calibri"/>
      <family val="2"/>
    </font>
    <font>
      <sz val="10"/>
      <color indexed="23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00B050"/>
      <name val="Calibri"/>
      <family val="2"/>
    </font>
    <font>
      <sz val="11"/>
      <color theme="0" tint="-0.34998626667073579"/>
      <name val="Calibri"/>
      <family val="2"/>
      <scheme val="minor"/>
    </font>
    <font>
      <sz val="8"/>
      <color theme="0" tint="-0.34998626667073579"/>
      <name val="Arial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3"/>
      <name val="Cambria"/>
      <family val="1"/>
      <scheme val="major"/>
    </font>
    <font>
      <u/>
      <sz val="11"/>
      <color theme="1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b/>
      <sz val="16"/>
      <color rgb="FFFF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7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75">
    <xf numFmtId="0" fontId="0" fillId="0" borderId="0"/>
    <xf numFmtId="43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46" fillId="0" borderId="19" applyNumberFormat="0" applyFill="0" applyAlignment="0" applyProtection="0"/>
    <xf numFmtId="0" fontId="47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48" fillId="12" borderId="0" applyNumberFormat="0" applyBorder="0" applyAlignment="0" applyProtection="0"/>
    <xf numFmtId="0" fontId="49" fillId="13" borderId="0" applyNumberFormat="0" applyBorder="0" applyAlignment="0" applyProtection="0"/>
    <xf numFmtId="0" fontId="50" fillId="14" borderId="0" applyNumberFormat="0" applyBorder="0" applyAlignment="0" applyProtection="0"/>
    <xf numFmtId="0" fontId="51" fillId="15" borderId="21" applyNumberFormat="0" applyAlignment="0" applyProtection="0"/>
    <xf numFmtId="0" fontId="52" fillId="16" borderId="22" applyNumberFormat="0" applyAlignment="0" applyProtection="0"/>
    <xf numFmtId="0" fontId="53" fillId="16" borderId="21" applyNumberFormat="0" applyAlignment="0" applyProtection="0"/>
    <xf numFmtId="0" fontId="54" fillId="0" borderId="23" applyNumberFormat="0" applyFill="0" applyAlignment="0" applyProtection="0"/>
    <xf numFmtId="0" fontId="55" fillId="17" borderId="24" applyNumberFormat="0" applyAlignment="0" applyProtection="0"/>
    <xf numFmtId="0" fontId="4" fillId="0" borderId="0" applyNumberFormat="0" applyFill="0" applyBorder="0" applyAlignment="0" applyProtection="0"/>
    <xf numFmtId="0" fontId="2" fillId="2" borderId="1" applyNumberFormat="0" applyFont="0" applyAlignment="0" applyProtection="0"/>
    <xf numFmtId="0" fontId="56" fillId="0" borderId="0" applyNumberFormat="0" applyFill="0" applyBorder="0" applyAlignment="0" applyProtection="0"/>
    <xf numFmtId="0" fontId="5" fillId="0" borderId="25" applyNumberFormat="0" applyFill="0" applyAlignment="0" applyProtection="0"/>
    <xf numFmtId="0" fontId="5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57" fillId="21" borderId="0" applyNumberFormat="0" applyBorder="0" applyAlignment="0" applyProtection="0"/>
    <xf numFmtId="0" fontId="5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57" fillId="25" borderId="0" applyNumberFormat="0" applyBorder="0" applyAlignment="0" applyProtection="0"/>
    <xf numFmtId="0" fontId="5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57" fillId="29" borderId="0" applyNumberFormat="0" applyBorder="0" applyAlignment="0" applyProtection="0"/>
    <xf numFmtId="0" fontId="5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57" fillId="33" borderId="0" applyNumberFormat="0" applyBorder="0" applyAlignment="0" applyProtection="0"/>
    <xf numFmtId="0" fontId="57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57" fillId="37" borderId="0" applyNumberFormat="0" applyBorder="0" applyAlignment="0" applyProtection="0"/>
    <xf numFmtId="0" fontId="57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57" fillId="41" borderId="0" applyNumberFormat="0" applyBorder="0" applyAlignment="0" applyProtection="0"/>
    <xf numFmtId="43" fontId="12" fillId="0" borderId="0" applyFont="0" applyFill="0" applyBorder="0" applyAlignment="0" applyProtection="0"/>
    <xf numFmtId="0" fontId="66" fillId="0" borderId="0" applyNumberFormat="0" applyFill="0" applyBorder="0" applyAlignment="0" applyProtection="0"/>
    <xf numFmtId="0" fontId="44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</cellStyleXfs>
  <cellXfs count="980">
    <xf numFmtId="0" fontId="0" fillId="0" borderId="0" xfId="0"/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9" fillId="6" borderId="6" xfId="0" applyFont="1" applyFill="1" applyBorder="1" applyAlignment="1">
      <alignment vertical="center"/>
    </xf>
    <xf numFmtId="0" fontId="9" fillId="6" borderId="7" xfId="0" applyFont="1" applyFill="1" applyBorder="1" applyAlignment="1" applyProtection="1">
      <alignment vertical="center"/>
      <protection locked="0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alignment horizontal="right" vertical="center"/>
      <protection hidden="1"/>
    </xf>
    <xf numFmtId="0" fontId="8" fillId="0" borderId="0" xfId="0" applyFont="1" applyAlignment="1" applyProtection="1">
      <alignment vertical="center" wrapText="1"/>
      <protection hidden="1"/>
    </xf>
    <xf numFmtId="0" fontId="20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hidden="1"/>
    </xf>
    <xf numFmtId="0" fontId="8" fillId="0" borderId="0" xfId="0" applyFont="1" applyFill="1" applyAlignment="1" applyProtection="1">
      <alignment vertical="center"/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7" fillId="0" borderId="0" xfId="0" applyFont="1" applyFill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vertical="center"/>
      <protection hidden="1"/>
    </xf>
    <xf numFmtId="0" fontId="15" fillId="0" borderId="0" xfId="0" applyFont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8" fillId="0" borderId="0" xfId="0" applyFont="1" applyFill="1" applyAlignment="1" applyProtection="1">
      <alignment horizontal="right" vertical="center"/>
      <protection hidden="1"/>
    </xf>
    <xf numFmtId="0" fontId="8" fillId="0" borderId="13" xfId="0" applyFont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right" vertical="center"/>
      <protection hidden="1"/>
    </xf>
    <xf numFmtId="165" fontId="7" fillId="0" borderId="0" xfId="1" applyNumberFormat="1" applyFont="1" applyFill="1" applyBorder="1" applyAlignment="1" applyProtection="1">
      <alignment vertical="center"/>
      <protection hidden="1"/>
    </xf>
    <xf numFmtId="43" fontId="7" fillId="0" borderId="0" xfId="1" applyFont="1" applyFill="1" applyBorder="1" applyAlignment="1" applyProtection="1">
      <alignment vertical="center"/>
      <protection hidden="1"/>
    </xf>
    <xf numFmtId="0" fontId="10" fillId="0" borderId="0" xfId="0" applyFont="1" applyBorder="1" applyAlignment="1" applyProtection="1">
      <alignment vertical="center"/>
      <protection hidden="1"/>
    </xf>
    <xf numFmtId="0" fontId="10" fillId="0" borderId="0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horizontal="left" vertical="center"/>
      <protection hidden="1"/>
    </xf>
    <xf numFmtId="1" fontId="8" fillId="0" borderId="0" xfId="0" applyNumberFormat="1" applyFont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horizontal="left" vertical="center"/>
      <protection hidden="1"/>
    </xf>
    <xf numFmtId="0" fontId="19" fillId="0" borderId="17" xfId="0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alignment vertical="center"/>
      <protection hidden="1"/>
    </xf>
    <xf numFmtId="9" fontId="8" fillId="0" borderId="17" xfId="0" applyNumberFormat="1" applyFont="1" applyFill="1" applyBorder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horizontal="left" vertical="center"/>
      <protection hidden="1"/>
    </xf>
    <xf numFmtId="9" fontId="8" fillId="0" borderId="0" xfId="0" applyNumberFormat="1" applyFont="1" applyFill="1" applyBorder="1" applyAlignment="1" applyProtection="1">
      <alignment vertical="center"/>
      <protection hidden="1"/>
    </xf>
    <xf numFmtId="2" fontId="8" fillId="0" borderId="0" xfId="0" applyNumberFormat="1" applyFont="1" applyFill="1" applyBorder="1" applyAlignment="1" applyProtection="1">
      <alignment vertical="center"/>
      <protection hidden="1"/>
    </xf>
    <xf numFmtId="43" fontId="8" fillId="0" borderId="0" xfId="0" applyNumberFormat="1" applyFont="1" applyBorder="1" applyAlignment="1" applyProtection="1">
      <alignment vertical="center"/>
      <protection hidden="1"/>
    </xf>
    <xf numFmtId="43" fontId="8" fillId="0" borderId="0" xfId="0" applyNumberFormat="1" applyFont="1" applyFill="1" applyBorder="1" applyAlignment="1" applyProtection="1">
      <alignment horizontal="center" vertical="center"/>
      <protection hidden="1"/>
    </xf>
    <xf numFmtId="165" fontId="8" fillId="0" borderId="0" xfId="0" applyNumberFormat="1" applyFont="1" applyBorder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horizontal="right" vertical="center"/>
      <protection hidden="1"/>
    </xf>
    <xf numFmtId="43" fontId="7" fillId="0" borderId="0" xfId="1" applyFont="1" applyFill="1" applyBorder="1" applyAlignment="1" applyProtection="1">
      <alignment horizontal="right" vertical="center"/>
      <protection hidden="1"/>
    </xf>
    <xf numFmtId="165" fontId="8" fillId="8" borderId="0" xfId="1" applyNumberFormat="1" applyFont="1" applyFill="1" applyBorder="1" applyAlignment="1" applyProtection="1">
      <alignment vertical="center"/>
      <protection hidden="1"/>
    </xf>
    <xf numFmtId="165" fontId="7" fillId="8" borderId="0" xfId="1" applyNumberFormat="1" applyFont="1" applyFill="1" applyBorder="1" applyAlignment="1" applyProtection="1">
      <alignment vertical="center"/>
      <protection hidden="1"/>
    </xf>
    <xf numFmtId="2" fontId="8" fillId="0" borderId="0" xfId="0" applyNumberFormat="1" applyFont="1" applyBorder="1" applyAlignment="1" applyProtection="1">
      <alignment vertical="center"/>
      <protection hidden="1"/>
    </xf>
    <xf numFmtId="0" fontId="10" fillId="0" borderId="0" xfId="0" applyFont="1" applyAlignment="1" applyProtection="1">
      <alignment vertical="center"/>
      <protection hidden="1"/>
    </xf>
    <xf numFmtId="43" fontId="8" fillId="0" borderId="0" xfId="0" applyNumberFormat="1" applyFont="1" applyFill="1" applyBorder="1" applyAlignment="1" applyProtection="1">
      <alignment vertical="center"/>
      <protection hidden="1"/>
    </xf>
    <xf numFmtId="0" fontId="13" fillId="0" borderId="0" xfId="0" applyFont="1" applyBorder="1" applyAlignment="1" applyProtection="1">
      <alignment horizontal="left" vertical="center"/>
      <protection hidden="1"/>
    </xf>
    <xf numFmtId="0" fontId="19" fillId="0" borderId="0" xfId="0" applyFont="1" applyFill="1" applyBorder="1" applyAlignment="1" applyProtection="1">
      <alignment vertical="center"/>
      <protection hidden="1"/>
    </xf>
    <xf numFmtId="1" fontId="8" fillId="0" borderId="0" xfId="0" applyNumberFormat="1" applyFont="1" applyFill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right" vertical="center"/>
      <protection hidden="1"/>
    </xf>
    <xf numFmtId="1" fontId="8" fillId="0" borderId="17" xfId="0" applyNumberFormat="1" applyFont="1" applyBorder="1" applyAlignment="1" applyProtection="1">
      <alignment vertical="center"/>
      <protection hidden="1"/>
    </xf>
    <xf numFmtId="0" fontId="22" fillId="0" borderId="17" xfId="0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alignment vertical="center" wrapText="1"/>
      <protection hidden="1"/>
    </xf>
    <xf numFmtId="0" fontId="20" fillId="0" borderId="0" xfId="0" applyFont="1" applyBorder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horizontal="right" vertical="center"/>
      <protection hidden="1"/>
    </xf>
    <xf numFmtId="0" fontId="15" fillId="0" borderId="0" xfId="0" applyFont="1" applyFill="1" applyBorder="1" applyAlignment="1" applyProtection="1">
      <alignment vertical="center"/>
      <protection hidden="1"/>
    </xf>
    <xf numFmtId="165" fontId="8" fillId="0" borderId="0" xfId="1" applyNumberFormat="1" applyFont="1" applyFill="1" applyAlignment="1" applyProtection="1">
      <alignment vertical="center"/>
      <protection hidden="1"/>
    </xf>
    <xf numFmtId="0" fontId="8" fillId="0" borderId="0" xfId="0" applyFont="1" applyFill="1" applyAlignment="1" applyProtection="1">
      <alignment vertical="center" wrapText="1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22" fillId="0" borderId="0" xfId="0" applyFont="1" applyFill="1" applyBorder="1" applyAlignment="1" applyProtection="1">
      <alignment horizontal="right" vertical="center"/>
      <protection hidden="1"/>
    </xf>
    <xf numFmtId="0" fontId="7" fillId="0" borderId="0" xfId="0" applyFont="1" applyFill="1" applyBorder="1" applyAlignment="1" applyProtection="1">
      <alignment horizontal="left" vertical="center"/>
      <protection hidden="1"/>
    </xf>
    <xf numFmtId="165" fontId="7" fillId="0" borderId="0" xfId="0" applyNumberFormat="1" applyFont="1" applyFill="1" applyAlignment="1" applyProtection="1">
      <alignment vertical="center"/>
      <protection hidden="1"/>
    </xf>
    <xf numFmtId="165" fontId="15" fillId="0" borderId="0" xfId="1" applyNumberFormat="1" applyFont="1" applyFill="1" applyBorder="1" applyAlignment="1" applyProtection="1">
      <alignment vertical="center"/>
      <protection hidden="1"/>
    </xf>
    <xf numFmtId="43" fontId="8" fillId="0" borderId="0" xfId="0" applyNumberFormat="1" applyFont="1" applyFill="1" applyAlignment="1" applyProtection="1">
      <alignment vertical="center"/>
      <protection hidden="1"/>
    </xf>
    <xf numFmtId="0" fontId="15" fillId="0" borderId="0" xfId="0" applyFont="1" applyAlignment="1" applyProtection="1">
      <alignment vertical="center" wrapText="1"/>
      <protection hidden="1"/>
    </xf>
    <xf numFmtId="0" fontId="7" fillId="0" borderId="0" xfId="0" applyFont="1" applyFill="1" applyAlignment="1" applyProtection="1">
      <alignment horizontal="right" vertical="center"/>
      <protection hidden="1"/>
    </xf>
    <xf numFmtId="0" fontId="26" fillId="0" borderId="0" xfId="0" applyFont="1" applyAlignment="1" applyProtection="1">
      <alignment vertical="center"/>
      <protection hidden="1"/>
    </xf>
    <xf numFmtId="0" fontId="21" fillId="0" borderId="0" xfId="0" applyFont="1" applyFill="1" applyBorder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/>
      <protection hidden="1"/>
    </xf>
    <xf numFmtId="0" fontId="26" fillId="0" borderId="0" xfId="0" applyFont="1" applyAlignment="1" applyProtection="1">
      <alignment vertical="center" wrapText="1"/>
      <protection hidden="1"/>
    </xf>
    <xf numFmtId="0" fontId="21" fillId="0" borderId="0" xfId="0" applyFont="1" applyFill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 wrapText="1"/>
      <protection hidden="1"/>
    </xf>
    <xf numFmtId="0" fontId="15" fillId="0" borderId="0" xfId="0" applyFont="1" applyFill="1" applyAlignment="1" applyProtection="1">
      <alignment vertical="center" wrapText="1"/>
      <protection hidden="1"/>
    </xf>
    <xf numFmtId="0" fontId="7" fillId="0" borderId="0" xfId="0" applyFont="1" applyBorder="1" applyAlignment="1" applyProtection="1">
      <alignment horizontal="right" vertical="center"/>
      <protection hidden="1"/>
    </xf>
    <xf numFmtId="0" fontId="20" fillId="0" borderId="0" xfId="0" applyFont="1" applyFill="1" applyBorder="1" applyAlignment="1" applyProtection="1">
      <alignment horizontal="right" vertical="center"/>
      <protection hidden="1"/>
    </xf>
    <xf numFmtId="0" fontId="27" fillId="0" borderId="0" xfId="0" applyFont="1" applyAlignment="1" applyProtection="1">
      <alignment horizontal="left" vertical="center"/>
      <protection hidden="1"/>
    </xf>
    <xf numFmtId="165" fontId="15" fillId="0" borderId="0" xfId="1" applyNumberFormat="1" applyFont="1" applyFill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15" fillId="0" borderId="17" xfId="0" applyFont="1" applyBorder="1" applyAlignment="1" applyProtection="1">
      <alignment vertical="center"/>
      <protection hidden="1"/>
    </xf>
    <xf numFmtId="0" fontId="15" fillId="0" borderId="17" xfId="0" applyFont="1" applyBorder="1" applyAlignment="1" applyProtection="1">
      <alignment vertical="center" wrapText="1"/>
      <protection hidden="1"/>
    </xf>
    <xf numFmtId="3" fontId="8" fillId="0" borderId="0" xfId="1" applyNumberFormat="1" applyFont="1" applyFill="1" applyAlignment="1" applyProtection="1">
      <alignment horizontal="center" vertical="center"/>
      <protection hidden="1"/>
    </xf>
    <xf numFmtId="0" fontId="28" fillId="0" borderId="0" xfId="0" applyFont="1" applyFill="1" applyAlignment="1" applyProtection="1">
      <alignment vertical="center"/>
      <protection hidden="1"/>
    </xf>
    <xf numFmtId="0" fontId="28" fillId="0" borderId="0" xfId="0" applyFont="1" applyAlignment="1" applyProtection="1">
      <alignment vertical="center"/>
      <protection hidden="1"/>
    </xf>
    <xf numFmtId="165" fontId="29" fillId="0" borderId="0" xfId="1" applyNumberFormat="1" applyFont="1" applyFill="1" applyAlignment="1" applyProtection="1">
      <alignment vertical="center"/>
      <protection hidden="1"/>
    </xf>
    <xf numFmtId="165" fontId="28" fillId="0" borderId="0" xfId="1" applyNumberFormat="1" applyFont="1" applyFill="1" applyAlignment="1" applyProtection="1">
      <alignment vertical="center"/>
      <protection hidden="1"/>
    </xf>
    <xf numFmtId="0" fontId="28" fillId="0" borderId="0" xfId="0" applyFont="1" applyFill="1" applyAlignment="1" applyProtection="1">
      <alignment vertical="center" wrapText="1"/>
      <protection hidden="1"/>
    </xf>
    <xf numFmtId="165" fontId="28" fillId="0" borderId="0" xfId="1" applyNumberFormat="1" applyFont="1" applyFill="1" applyAlignment="1" applyProtection="1">
      <alignment vertical="center" wrapText="1"/>
      <protection hidden="1"/>
    </xf>
    <xf numFmtId="0" fontId="27" fillId="0" borderId="0" xfId="0" applyFont="1" applyBorder="1" applyAlignment="1" applyProtection="1">
      <alignment horizontal="left" vertical="center"/>
      <protection hidden="1"/>
    </xf>
    <xf numFmtId="0" fontId="28" fillId="0" borderId="0" xfId="0" applyFont="1" applyFill="1" applyBorder="1" applyAlignment="1" applyProtection="1">
      <alignment vertical="center"/>
      <protection hidden="1"/>
    </xf>
    <xf numFmtId="0" fontId="28" fillId="0" borderId="0" xfId="0" applyFont="1" applyFill="1" applyBorder="1" applyAlignment="1" applyProtection="1">
      <alignment vertical="center" wrapText="1"/>
      <protection hidden="1"/>
    </xf>
    <xf numFmtId="165" fontId="28" fillId="0" borderId="0" xfId="1" applyNumberFormat="1" applyFont="1" applyFill="1" applyBorder="1" applyAlignment="1" applyProtection="1">
      <alignment vertical="center" wrapText="1"/>
      <protection hidden="1"/>
    </xf>
    <xf numFmtId="0" fontId="28" fillId="0" borderId="0" xfId="0" applyFont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right" vertical="center" wrapText="1"/>
      <protection hidden="1"/>
    </xf>
    <xf numFmtId="0" fontId="0" fillId="0" borderId="0" xfId="0" applyAlignment="1" applyProtection="1">
      <alignment vertical="center"/>
      <protection hidden="1"/>
    </xf>
    <xf numFmtId="0" fontId="24" fillId="0" borderId="0" xfId="0" applyFont="1" applyFill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left" vertical="center"/>
      <protection hidden="1"/>
    </xf>
    <xf numFmtId="165" fontId="28" fillId="0" borderId="0" xfId="1" applyNumberFormat="1" applyFont="1" applyFill="1" applyBorder="1" applyAlignment="1" applyProtection="1">
      <alignment vertical="center"/>
      <protection hidden="1"/>
    </xf>
    <xf numFmtId="0" fontId="8" fillId="0" borderId="3" xfId="0" applyFont="1" applyBorder="1" applyAlignment="1" applyProtection="1">
      <alignment vertical="center"/>
      <protection hidden="1"/>
    </xf>
    <xf numFmtId="0" fontId="8" fillId="0" borderId="6" xfId="0" applyFont="1" applyBorder="1" applyAlignment="1" applyProtection="1">
      <alignment vertical="center"/>
      <protection hidden="1"/>
    </xf>
    <xf numFmtId="0" fontId="8" fillId="0" borderId="7" xfId="0" applyFont="1" applyBorder="1" applyAlignment="1" applyProtection="1">
      <alignment vertical="center"/>
      <protection hidden="1"/>
    </xf>
    <xf numFmtId="0" fontId="8" fillId="0" borderId="8" xfId="0" applyFont="1" applyBorder="1" applyAlignment="1" applyProtection="1">
      <alignment vertical="center"/>
      <protection hidden="1"/>
    </xf>
    <xf numFmtId="0" fontId="31" fillId="0" borderId="0" xfId="3" applyFont="1" applyFill="1" applyBorder="1" applyAlignment="1" applyProtection="1">
      <alignment vertical="center"/>
      <protection hidden="1"/>
    </xf>
    <xf numFmtId="0" fontId="8" fillId="0" borderId="4" xfId="0" applyFont="1" applyBorder="1" applyAlignment="1" applyProtection="1">
      <alignment vertical="center"/>
      <protection hidden="1"/>
    </xf>
    <xf numFmtId="0" fontId="24" fillId="0" borderId="0" xfId="0" applyFont="1" applyFill="1" applyBorder="1" applyAlignment="1" applyProtection="1">
      <alignment horizontal="left" vertical="center"/>
      <protection hidden="1"/>
    </xf>
    <xf numFmtId="0" fontId="7" fillId="0" borderId="0" xfId="0" applyFont="1" applyAlignment="1" applyProtection="1">
      <alignment horizontal="left" vertical="center"/>
      <protection hidden="1"/>
    </xf>
    <xf numFmtId="0" fontId="7" fillId="0" borderId="0" xfId="0" applyFont="1" applyBorder="1" applyAlignment="1" applyProtection="1">
      <alignment horizontal="left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left" vertical="center"/>
      <protection hidden="1"/>
    </xf>
    <xf numFmtId="0" fontId="32" fillId="0" borderId="2" xfId="0" applyFont="1" applyBorder="1" applyAlignment="1" applyProtection="1">
      <alignment vertical="center"/>
      <protection hidden="1"/>
    </xf>
    <xf numFmtId="0" fontId="15" fillId="0" borderId="0" xfId="0" applyFont="1" applyFill="1" applyAlignment="1" applyProtection="1">
      <alignment horizontal="left" vertical="center" wrapText="1"/>
      <protection hidden="1"/>
    </xf>
    <xf numFmtId="1" fontId="7" fillId="0" borderId="0" xfId="0" applyNumberFormat="1" applyFont="1" applyFill="1" applyAlignment="1" applyProtection="1">
      <alignment horizontal="right" vertical="center"/>
      <protection hidden="1"/>
    </xf>
    <xf numFmtId="0" fontId="24" fillId="0" borderId="0" xfId="0" applyFont="1" applyFill="1" applyBorder="1" applyAlignment="1" applyProtection="1">
      <alignment horizontal="right" vertical="center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vertical="center" wrapText="1"/>
      <protection hidden="1"/>
    </xf>
    <xf numFmtId="0" fontId="8" fillId="0" borderId="5" xfId="0" applyFont="1" applyBorder="1" applyAlignment="1" applyProtection="1">
      <alignment vertical="center"/>
      <protection hidden="1"/>
    </xf>
    <xf numFmtId="0" fontId="8" fillId="0" borderId="2" xfId="0" applyFont="1" applyBorder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vertical="center" wrapText="1"/>
      <protection hidden="1"/>
    </xf>
    <xf numFmtId="0" fontId="32" fillId="0" borderId="0" xfId="0" applyFont="1" applyBorder="1" applyAlignment="1" applyProtection="1">
      <alignment vertical="center"/>
      <protection hidden="1"/>
    </xf>
    <xf numFmtId="0" fontId="7" fillId="0" borderId="2" xfId="0" applyFont="1" applyFill="1" applyBorder="1" applyAlignment="1" applyProtection="1">
      <alignment horizontal="right" vertical="center"/>
      <protection hidden="1"/>
    </xf>
    <xf numFmtId="0" fontId="7" fillId="0" borderId="0" xfId="0" applyFont="1" applyFill="1" applyBorder="1" applyAlignment="1" applyProtection="1">
      <alignment horizontal="right" vertical="center" wrapText="1"/>
      <protection hidden="1"/>
    </xf>
    <xf numFmtId="1" fontId="7" fillId="0" borderId="0" xfId="0" applyNumberFormat="1" applyFont="1" applyFill="1" applyAlignment="1" applyProtection="1">
      <alignment vertical="center"/>
      <protection hidden="1"/>
    </xf>
    <xf numFmtId="0" fontId="7" fillId="7" borderId="2" xfId="0" applyFont="1" applyFill="1" applyBorder="1" applyAlignment="1" applyProtection="1">
      <alignment vertical="center"/>
      <protection hidden="1"/>
    </xf>
    <xf numFmtId="0" fontId="15" fillId="0" borderId="0" xfId="0" applyFont="1" applyFill="1" applyAlignment="1" applyProtection="1">
      <alignment horizontal="left" vertical="center"/>
      <protection hidden="1"/>
    </xf>
    <xf numFmtId="0" fontId="7" fillId="0" borderId="0" xfId="0" applyFont="1" applyFill="1" applyAlignment="1" applyProtection="1">
      <alignment horizontal="left" vertical="center"/>
      <protection hidden="1"/>
    </xf>
    <xf numFmtId="0" fontId="24" fillId="0" borderId="0" xfId="0" applyFont="1" applyFill="1" applyAlignment="1" applyProtection="1">
      <alignment vertical="center"/>
      <protection hidden="1"/>
    </xf>
    <xf numFmtId="1" fontId="8" fillId="0" borderId="0" xfId="0" applyNumberFormat="1" applyFont="1" applyFill="1" applyAlignment="1" applyProtection="1">
      <alignment horizontal="right" vertical="center"/>
      <protection hidden="1"/>
    </xf>
    <xf numFmtId="0" fontId="7" fillId="0" borderId="17" xfId="0" applyFont="1" applyBorder="1" applyAlignment="1" applyProtection="1">
      <alignment vertical="center"/>
      <protection hidden="1"/>
    </xf>
    <xf numFmtId="0" fontId="7" fillId="0" borderId="17" xfId="0" applyFont="1" applyBorder="1" applyAlignment="1" applyProtection="1">
      <alignment horizontal="right" vertical="center"/>
      <protection hidden="1"/>
    </xf>
    <xf numFmtId="0" fontId="7" fillId="0" borderId="17" xfId="0" applyFont="1" applyFill="1" applyBorder="1" applyAlignment="1" applyProtection="1">
      <alignment horizontal="right" vertical="center"/>
      <protection hidden="1"/>
    </xf>
    <xf numFmtId="0" fontId="7" fillId="0" borderId="17" xfId="0" applyFont="1" applyFill="1" applyBorder="1" applyAlignment="1" applyProtection="1">
      <alignment vertical="center"/>
      <protection hidden="1"/>
    </xf>
    <xf numFmtId="2" fontId="28" fillId="0" borderId="0" xfId="0" applyNumberFormat="1" applyFont="1" applyBorder="1" applyAlignment="1" applyProtection="1">
      <alignment vertical="center"/>
      <protection hidden="1"/>
    </xf>
    <xf numFmtId="0" fontId="7" fillId="0" borderId="0" xfId="0" applyFont="1" applyFill="1" applyAlignment="1" applyProtection="1">
      <alignment vertical="center" wrapText="1"/>
      <protection hidden="1"/>
    </xf>
    <xf numFmtId="0" fontId="8" fillId="0" borderId="6" xfId="0" applyFont="1" applyBorder="1" applyAlignment="1" applyProtection="1">
      <alignment horizontal="left" vertical="center"/>
      <protection hidden="1"/>
    </xf>
    <xf numFmtId="0" fontId="8" fillId="0" borderId="8" xfId="0" applyFont="1" applyBorder="1" applyAlignment="1" applyProtection="1">
      <alignment horizontal="center" vertical="center" wrapText="1"/>
      <protection hidden="1"/>
    </xf>
    <xf numFmtId="0" fontId="8" fillId="0" borderId="2" xfId="0" applyFont="1" applyBorder="1" applyAlignment="1" applyProtection="1">
      <alignment horizontal="center" vertical="center" wrapText="1"/>
      <protection hidden="1"/>
    </xf>
    <xf numFmtId="0" fontId="8" fillId="0" borderId="12" xfId="0" applyFont="1" applyBorder="1" applyAlignment="1" applyProtection="1">
      <alignment vertical="center"/>
      <protection hidden="1"/>
    </xf>
    <xf numFmtId="43" fontId="8" fillId="0" borderId="17" xfId="1" applyFont="1" applyFill="1" applyBorder="1" applyAlignment="1" applyProtection="1">
      <alignment vertical="center"/>
      <protection hidden="1"/>
    </xf>
    <xf numFmtId="0" fontId="8" fillId="0" borderId="17" xfId="0" applyFont="1" applyFill="1" applyBorder="1" applyAlignment="1" applyProtection="1">
      <alignment vertical="center"/>
      <protection hidden="1"/>
    </xf>
    <xf numFmtId="0" fontId="7" fillId="0" borderId="17" xfId="0" applyFont="1" applyFill="1" applyBorder="1" applyAlignment="1" applyProtection="1">
      <alignment horizontal="left" vertical="center"/>
      <protection hidden="1"/>
    </xf>
    <xf numFmtId="43" fontId="15" fillId="0" borderId="17" xfId="0" applyNumberFormat="1" applyFont="1" applyFill="1" applyBorder="1" applyAlignment="1" applyProtection="1">
      <alignment horizontal="left" vertical="center"/>
      <protection hidden="1"/>
    </xf>
    <xf numFmtId="0" fontId="8" fillId="0" borderId="0" xfId="0" applyFont="1" applyAlignment="1" applyProtection="1">
      <alignment horizontal="left" vertical="center" wrapText="1"/>
      <protection hidden="1"/>
    </xf>
    <xf numFmtId="0" fontId="8" fillId="0" borderId="17" xfId="0" applyFont="1" applyFill="1" applyBorder="1" applyAlignment="1" applyProtection="1">
      <alignment horizontal="right" vertical="center"/>
      <protection hidden="1"/>
    </xf>
    <xf numFmtId="0" fontId="7" fillId="0" borderId="3" xfId="0" applyFont="1" applyBorder="1" applyAlignment="1" applyProtection="1">
      <alignment horizontal="right" vertical="center"/>
      <protection hidden="1"/>
    </xf>
    <xf numFmtId="165" fontId="8" fillId="0" borderId="17" xfId="1" applyNumberFormat="1" applyFont="1" applyFill="1" applyBorder="1" applyAlignment="1" applyProtection="1">
      <alignment vertical="center"/>
      <protection hidden="1"/>
    </xf>
    <xf numFmtId="0" fontId="7" fillId="0" borderId="17" xfId="0" applyFont="1" applyFill="1" applyBorder="1" applyAlignment="1" applyProtection="1">
      <alignment vertical="center" wrapText="1"/>
      <protection hidden="1"/>
    </xf>
    <xf numFmtId="0" fontId="7" fillId="0" borderId="0" xfId="0" applyFont="1" applyBorder="1" applyAlignment="1" applyProtection="1">
      <alignment vertical="center" wrapText="1"/>
      <protection hidden="1"/>
    </xf>
    <xf numFmtId="0" fontId="7" fillId="0" borderId="0" xfId="0" applyFont="1" applyAlignment="1" applyProtection="1">
      <alignment vertical="center" wrapText="1"/>
      <protection hidden="1"/>
    </xf>
    <xf numFmtId="0" fontId="7" fillId="0" borderId="11" xfId="0" applyFont="1" applyBorder="1" applyAlignment="1" applyProtection="1">
      <alignment horizontal="right" vertical="center"/>
      <protection hidden="1"/>
    </xf>
    <xf numFmtId="0" fontId="7" fillId="0" borderId="13" xfId="0" applyFont="1" applyBorder="1" applyAlignment="1" applyProtection="1">
      <alignment horizontal="right" vertical="center"/>
      <protection hidden="1"/>
    </xf>
    <xf numFmtId="0" fontId="7" fillId="0" borderId="15" xfId="0" applyFont="1" applyBorder="1" applyAlignment="1" applyProtection="1">
      <alignment horizontal="right" vertical="center"/>
      <protection hidden="1"/>
    </xf>
    <xf numFmtId="43" fontId="7" fillId="0" borderId="0" xfId="0" applyNumberFormat="1" applyFont="1" applyFill="1" applyBorder="1" applyAlignment="1" applyProtection="1">
      <alignment vertical="center"/>
      <protection hidden="1"/>
    </xf>
    <xf numFmtId="0" fontId="7" fillId="0" borderId="11" xfId="0" applyFont="1" applyBorder="1" applyAlignment="1" applyProtection="1">
      <alignment vertical="center"/>
      <protection hidden="1"/>
    </xf>
    <xf numFmtId="0" fontId="7" fillId="0" borderId="10" xfId="0" applyFont="1" applyBorder="1" applyAlignment="1" applyProtection="1">
      <alignment vertical="center"/>
      <protection hidden="1"/>
    </xf>
    <xf numFmtId="2" fontId="7" fillId="0" borderId="10" xfId="0" applyNumberFormat="1" applyFont="1" applyBorder="1" applyAlignment="1" applyProtection="1">
      <alignment vertical="center"/>
      <protection hidden="1"/>
    </xf>
    <xf numFmtId="0" fontId="7" fillId="0" borderId="13" xfId="0" applyFont="1" applyBorder="1" applyAlignment="1" applyProtection="1">
      <alignment vertical="center"/>
      <protection hidden="1"/>
    </xf>
    <xf numFmtId="0" fontId="7" fillId="0" borderId="12" xfId="0" applyFont="1" applyBorder="1" applyAlignment="1" applyProtection="1">
      <alignment vertical="center"/>
      <protection hidden="1"/>
    </xf>
    <xf numFmtId="2" fontId="7" fillId="0" borderId="12" xfId="0" applyNumberFormat="1" applyFont="1" applyBorder="1" applyAlignment="1" applyProtection="1">
      <alignment vertical="center"/>
      <protection hidden="1"/>
    </xf>
    <xf numFmtId="0" fontId="7" fillId="0" borderId="15" xfId="0" applyFont="1" applyBorder="1" applyAlignment="1" applyProtection="1">
      <alignment vertical="center"/>
      <protection hidden="1"/>
    </xf>
    <xf numFmtId="0" fontId="7" fillId="0" borderId="14" xfId="0" applyFont="1" applyBorder="1" applyAlignment="1" applyProtection="1">
      <alignment vertical="center"/>
      <protection hidden="1"/>
    </xf>
    <xf numFmtId="1" fontId="7" fillId="8" borderId="0" xfId="0" applyNumberFormat="1" applyFont="1" applyFill="1" applyBorder="1" applyAlignment="1" applyProtection="1">
      <alignment vertical="center"/>
      <protection hidden="1"/>
    </xf>
    <xf numFmtId="0" fontId="7" fillId="5" borderId="0" xfId="0" applyFont="1" applyFill="1" applyBorder="1" applyAlignment="1" applyProtection="1">
      <alignment vertical="center"/>
      <protection hidden="1"/>
    </xf>
    <xf numFmtId="2" fontId="7" fillId="0" borderId="14" xfId="0" applyNumberFormat="1" applyFont="1" applyBorder="1" applyAlignment="1" applyProtection="1">
      <alignment vertical="center"/>
      <protection hidden="1"/>
    </xf>
    <xf numFmtId="0" fontId="7" fillId="0" borderId="9" xfId="0" applyFont="1" applyBorder="1" applyAlignment="1" applyProtection="1">
      <alignment vertical="center"/>
      <protection hidden="1"/>
    </xf>
    <xf numFmtId="0" fontId="7" fillId="0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165" fontId="7" fillId="8" borderId="9" xfId="0" applyNumberFormat="1" applyFont="1" applyFill="1" applyBorder="1" applyAlignment="1" applyProtection="1">
      <alignment horizontal="right" vertical="center"/>
      <protection hidden="1"/>
    </xf>
    <xf numFmtId="165" fontId="8" fillId="8" borderId="9" xfId="1" applyNumberFormat="1" applyFont="1" applyFill="1" applyBorder="1" applyAlignment="1" applyProtection="1">
      <alignment vertical="center"/>
      <protection hidden="1"/>
    </xf>
    <xf numFmtId="165" fontId="7" fillId="8" borderId="9" xfId="1" applyNumberFormat="1" applyFont="1" applyFill="1" applyBorder="1" applyAlignment="1" applyProtection="1">
      <alignment vertical="center"/>
      <protection hidden="1"/>
    </xf>
    <xf numFmtId="165" fontId="7" fillId="8" borderId="0" xfId="0" applyNumberFormat="1" applyFont="1" applyFill="1" applyBorder="1" applyAlignment="1" applyProtection="1">
      <alignment horizontal="right" vertical="center"/>
      <protection hidden="1"/>
    </xf>
    <xf numFmtId="0" fontId="7" fillId="8" borderId="0" xfId="0" applyFont="1" applyFill="1" applyBorder="1" applyAlignment="1" applyProtection="1">
      <alignment vertical="center"/>
      <protection hidden="1"/>
    </xf>
    <xf numFmtId="0" fontId="7" fillId="9" borderId="0" xfId="0" applyFont="1" applyFill="1" applyBorder="1" applyAlignment="1" applyProtection="1">
      <alignment horizontal="center" vertical="center"/>
      <protection hidden="1"/>
    </xf>
    <xf numFmtId="165" fontId="7" fillId="8" borderId="16" xfId="0" applyNumberFormat="1" applyFont="1" applyFill="1" applyBorder="1" applyAlignment="1" applyProtection="1">
      <alignment horizontal="right" vertical="center"/>
      <protection hidden="1"/>
    </xf>
    <xf numFmtId="165" fontId="8" fillId="8" borderId="16" xfId="1" applyNumberFormat="1" applyFont="1" applyFill="1" applyBorder="1" applyAlignment="1" applyProtection="1">
      <alignment vertical="center"/>
      <protection hidden="1"/>
    </xf>
    <xf numFmtId="165" fontId="7" fillId="8" borderId="16" xfId="1" applyNumberFormat="1" applyFont="1" applyFill="1" applyBorder="1" applyAlignment="1" applyProtection="1">
      <alignment vertical="center"/>
      <protection hidden="1"/>
    </xf>
    <xf numFmtId="0" fontId="7" fillId="0" borderId="4" xfId="0" applyFont="1" applyFill="1" applyBorder="1" applyAlignment="1" applyProtection="1">
      <alignment horizontal="right" vertical="center"/>
      <protection hidden="1"/>
    </xf>
    <xf numFmtId="165" fontId="7" fillId="8" borderId="0" xfId="1" applyNumberFormat="1" applyFont="1" applyFill="1" applyBorder="1" applyAlignment="1" applyProtection="1">
      <alignment horizontal="right" vertical="center"/>
      <protection hidden="1"/>
    </xf>
    <xf numFmtId="0" fontId="7" fillId="0" borderId="17" xfId="0" applyFont="1" applyBorder="1" applyAlignment="1" applyProtection="1">
      <alignment vertical="center" wrapText="1"/>
      <protection hidden="1"/>
    </xf>
    <xf numFmtId="0" fontId="21" fillId="0" borderId="0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43" fontId="7" fillId="0" borderId="0" xfId="1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horizontal="center" vertical="center"/>
      <protection hidden="1"/>
    </xf>
    <xf numFmtId="43" fontId="7" fillId="0" borderId="0" xfId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0" xfId="0" applyFont="1" applyFill="1" applyAlignment="1" applyProtection="1">
      <alignment horizontal="center" vertical="center"/>
      <protection hidden="1"/>
    </xf>
    <xf numFmtId="1" fontId="8" fillId="0" borderId="0" xfId="0" applyNumberFormat="1" applyFont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1" fontId="0" fillId="0" borderId="0" xfId="0" applyNumberForma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35" fillId="0" borderId="0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Font="1" applyBorder="1"/>
    <xf numFmtId="0" fontId="36" fillId="6" borderId="16" xfId="0" applyFont="1" applyFill="1" applyBorder="1" applyAlignment="1">
      <alignment vertical="center"/>
    </xf>
    <xf numFmtId="43" fontId="8" fillId="8" borderId="2" xfId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65" fontId="8" fillId="8" borderId="2" xfId="1" applyNumberFormat="1" applyFont="1" applyFill="1" applyBorder="1" applyAlignment="1">
      <alignment horizontal="center" vertical="center"/>
    </xf>
    <xf numFmtId="170" fontId="8" fillId="8" borderId="2" xfId="1" applyNumberFormat="1" applyFont="1" applyFill="1" applyBorder="1" applyAlignment="1">
      <alignment horizontal="center" vertical="center"/>
    </xf>
    <xf numFmtId="0" fontId="10" fillId="0" borderId="0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0" fontId="8" fillId="0" borderId="0" xfId="0" applyFont="1" applyFill="1" applyBorder="1"/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38" fillId="0" borderId="0" xfId="0" applyFont="1" applyBorder="1"/>
    <xf numFmtId="0" fontId="10" fillId="0" borderId="0" xfId="0" applyFont="1" applyFill="1" applyBorder="1" applyAlignment="1">
      <alignment horizontal="left"/>
    </xf>
    <xf numFmtId="0" fontId="8" fillId="0" borderId="0" xfId="0" applyFont="1" applyFill="1" applyBorder="1" applyAlignment="1"/>
    <xf numFmtId="165" fontId="8" fillId="0" borderId="0" xfId="0" applyNumberFormat="1" applyFont="1" applyFill="1" applyBorder="1"/>
    <xf numFmtId="165" fontId="8" fillId="0" borderId="0" xfId="1" applyNumberFormat="1" applyFont="1" applyFill="1" applyBorder="1"/>
    <xf numFmtId="165" fontId="3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165" fontId="38" fillId="0" borderId="0" xfId="1" applyNumberFormat="1" applyFont="1" applyFill="1" applyBorder="1" applyAlignment="1">
      <alignment horizontal="right"/>
    </xf>
    <xf numFmtId="165" fontId="38" fillId="0" borderId="0" xfId="1" applyNumberFormat="1" applyFont="1" applyFill="1" applyBorder="1"/>
    <xf numFmtId="43" fontId="10" fillId="0" borderId="0" xfId="0" applyNumberFormat="1" applyFont="1" applyFill="1" applyBorder="1"/>
    <xf numFmtId="165" fontId="10" fillId="0" borderId="0" xfId="1" applyNumberFormat="1" applyFont="1" applyFill="1" applyBorder="1"/>
    <xf numFmtId="0" fontId="8" fillId="0" borderId="0" xfId="0" applyFont="1" applyFill="1" applyBorder="1" applyAlignment="1">
      <alignment horizontal="right"/>
    </xf>
    <xf numFmtId="165" fontId="38" fillId="0" borderId="0" xfId="1" applyNumberFormat="1" applyFont="1" applyBorder="1" applyAlignment="1">
      <alignment horizontal="right"/>
    </xf>
    <xf numFmtId="0" fontId="7" fillId="0" borderId="0" xfId="0" applyFont="1" applyBorder="1"/>
    <xf numFmtId="0" fontId="23" fillId="0" borderId="0" xfId="0" applyFont="1" applyBorder="1"/>
    <xf numFmtId="2" fontId="8" fillId="0" borderId="0" xfId="0" applyNumberFormat="1" applyFont="1" applyFill="1" applyBorder="1"/>
    <xf numFmtId="0" fontId="23" fillId="0" borderId="0" xfId="0" applyFont="1" applyFill="1" applyBorder="1"/>
    <xf numFmtId="0" fontId="7" fillId="0" borderId="0" xfId="0" applyFont="1" applyFill="1" applyBorder="1"/>
    <xf numFmtId="0" fontId="41" fillId="0" borderId="0" xfId="0" applyFont="1" applyFill="1" applyBorder="1" applyAlignment="1">
      <alignment horizontal="right"/>
    </xf>
    <xf numFmtId="0" fontId="34" fillId="0" borderId="0" xfId="0" applyFont="1" applyFill="1" applyBorder="1"/>
    <xf numFmtId="0" fontId="38" fillId="0" borderId="0" xfId="0" applyFont="1" applyFill="1" applyBorder="1"/>
    <xf numFmtId="165" fontId="41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0" fontId="24" fillId="0" borderId="0" xfId="0" applyFont="1" applyBorder="1"/>
    <xf numFmtId="1" fontId="8" fillId="0" borderId="0" xfId="0" applyNumberFormat="1" applyFont="1" applyFill="1" applyBorder="1" applyAlignment="1">
      <alignment horizontal="right"/>
    </xf>
    <xf numFmtId="1" fontId="43" fillId="0" borderId="0" xfId="0" applyNumberFormat="1" applyFont="1" applyFill="1" applyBorder="1" applyAlignment="1">
      <alignment horizontal="right"/>
    </xf>
    <xf numFmtId="1" fontId="41" fillId="0" borderId="0" xfId="0" applyNumberFormat="1" applyFont="1" applyFill="1" applyBorder="1"/>
    <xf numFmtId="43" fontId="8" fillId="0" borderId="0" xfId="0" applyNumberFormat="1" applyFont="1" applyFill="1" applyBorder="1"/>
    <xf numFmtId="43" fontId="34" fillId="0" borderId="0" xfId="1" applyFont="1" applyFill="1" applyBorder="1"/>
    <xf numFmtId="2" fontId="8" fillId="0" borderId="0" xfId="0" applyNumberFormat="1" applyFont="1" applyBorder="1" applyAlignment="1">
      <alignment horizontal="right"/>
    </xf>
    <xf numFmtId="165" fontId="34" fillId="0" borderId="0" xfId="1" applyNumberFormat="1" applyFont="1" applyFill="1" applyBorder="1"/>
    <xf numFmtId="165" fontId="8" fillId="0" borderId="0" xfId="0" applyNumberFormat="1" applyFont="1" applyBorder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44" fillId="0" borderId="3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left" vertical="center"/>
    </xf>
    <xf numFmtId="0" fontId="19" fillId="0" borderId="0" xfId="0" applyFont="1"/>
    <xf numFmtId="0" fontId="8" fillId="0" borderId="0" xfId="0" applyFont="1" applyAlignment="1">
      <alignment horizontal="center" vertical="center" wrapText="1"/>
    </xf>
    <xf numFmtId="0" fontId="8" fillId="0" borderId="0" xfId="0" applyFont="1" applyFill="1"/>
    <xf numFmtId="0" fontId="0" fillId="0" borderId="0" xfId="0" applyAlignment="1">
      <alignment horizontal="right" vertical="center"/>
    </xf>
    <xf numFmtId="43" fontId="8" fillId="0" borderId="2" xfId="1" applyNumberFormat="1" applyFont="1" applyFill="1" applyBorder="1" applyAlignment="1">
      <alignment horizontal="center" vertical="center"/>
    </xf>
    <xf numFmtId="165" fontId="0" fillId="11" borderId="2" xfId="1" applyNumberFormat="1" applyFont="1" applyFill="1" applyBorder="1" applyAlignment="1">
      <alignment horizontal="right" vertical="center"/>
    </xf>
    <xf numFmtId="43" fontId="8" fillId="9" borderId="2" xfId="1" applyNumberFormat="1" applyFont="1" applyFill="1" applyBorder="1" applyAlignment="1">
      <alignment horizontal="center" vertical="center"/>
    </xf>
    <xf numFmtId="43" fontId="15" fillId="9" borderId="2" xfId="1" applyNumberFormat="1" applyFont="1" applyFill="1" applyBorder="1" applyAlignment="1">
      <alignment horizontal="center" vertical="center"/>
    </xf>
    <xf numFmtId="0" fontId="8" fillId="0" borderId="0" xfId="0" applyFont="1"/>
    <xf numFmtId="0" fontId="0" fillId="0" borderId="0" xfId="0"/>
    <xf numFmtId="2" fontId="7" fillId="5" borderId="0" xfId="0" applyNumberFormat="1" applyFont="1" applyFill="1" applyBorder="1" applyAlignment="1" applyProtection="1">
      <alignment vertical="center"/>
      <protection hidden="1"/>
    </xf>
    <xf numFmtId="165" fontId="58" fillId="0" borderId="0" xfId="1" applyNumberFormat="1" applyFont="1" applyBorder="1"/>
    <xf numFmtId="165" fontId="58" fillId="0" borderId="0" xfId="1" applyNumberFormat="1" applyFont="1" applyFill="1" applyBorder="1"/>
    <xf numFmtId="165" fontId="59" fillId="0" borderId="0" xfId="1" applyNumberFormat="1" applyFont="1" applyFill="1" applyBorder="1" applyAlignment="1">
      <alignment horizontal="right"/>
    </xf>
    <xf numFmtId="165" fontId="8" fillId="9" borderId="2" xfId="1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 applyProtection="1">
      <alignment vertical="center"/>
      <protection hidden="1"/>
    </xf>
    <xf numFmtId="43" fontId="28" fillId="0" borderId="0" xfId="0" applyNumberFormat="1" applyFont="1" applyFill="1" applyAlignment="1" applyProtection="1">
      <alignment vertical="center"/>
      <protection hidden="1"/>
    </xf>
    <xf numFmtId="165" fontId="8" fillId="0" borderId="2" xfId="0" applyNumberFormat="1" applyFont="1" applyFill="1" applyBorder="1" applyAlignment="1">
      <alignment vertical="center"/>
    </xf>
    <xf numFmtId="1" fontId="0" fillId="0" borderId="0" xfId="0" applyNumberFormat="1" applyBorder="1"/>
    <xf numFmtId="0" fontId="8" fillId="0" borderId="2" xfId="0" applyFont="1" applyFill="1" applyBorder="1" applyAlignment="1">
      <alignment horizontal="center" vertical="center"/>
    </xf>
    <xf numFmtId="43" fontId="0" fillId="11" borderId="2" xfId="1" applyNumberFormat="1" applyFont="1" applyFill="1" applyBorder="1" applyAlignment="1">
      <alignment horizontal="right" vertical="center"/>
    </xf>
    <xf numFmtId="1" fontId="7" fillId="5" borderId="0" xfId="0" applyNumberFormat="1" applyFont="1" applyFill="1" applyAlignment="1" applyProtection="1">
      <alignment vertical="center"/>
      <protection hidden="1"/>
    </xf>
    <xf numFmtId="9" fontId="7" fillId="8" borderId="0" xfId="0" applyNumberFormat="1" applyFont="1" applyFill="1" applyAlignment="1" applyProtection="1">
      <alignment vertical="center"/>
      <protection hidden="1"/>
    </xf>
    <xf numFmtId="0" fontId="62" fillId="0" borderId="0" xfId="0" applyFont="1"/>
    <xf numFmtId="0" fontId="8" fillId="0" borderId="2" xfId="0" applyFont="1" applyBorder="1"/>
    <xf numFmtId="0" fontId="0" fillId="0" borderId="11" xfId="0" applyFill="1" applyBorder="1" applyAlignment="1"/>
    <xf numFmtId="0" fontId="0" fillId="0" borderId="13" xfId="0" applyFill="1" applyBorder="1" applyAlignment="1"/>
    <xf numFmtId="0" fontId="0" fillId="0" borderId="15" xfId="0" applyFill="1" applyBorder="1" applyAlignment="1"/>
    <xf numFmtId="167" fontId="0" fillId="0" borderId="9" xfId="0" applyNumberFormat="1" applyFill="1" applyBorder="1" applyAlignment="1"/>
    <xf numFmtId="167" fontId="0" fillId="0" borderId="10" xfId="0" applyNumberFormat="1" applyFill="1" applyBorder="1" applyAlignment="1"/>
    <xf numFmtId="167" fontId="0" fillId="0" borderId="0" xfId="0" applyNumberFormat="1" applyFill="1" applyBorder="1" applyAlignment="1"/>
    <xf numFmtId="167" fontId="0" fillId="0" borderId="12" xfId="0" applyNumberFormat="1" applyFill="1" applyBorder="1" applyAlignment="1"/>
    <xf numFmtId="167" fontId="0" fillId="0" borderId="16" xfId="0" applyNumberFormat="1" applyFill="1" applyBorder="1" applyAlignment="1"/>
    <xf numFmtId="167" fontId="0" fillId="0" borderId="14" xfId="0" applyNumberFormat="1" applyFill="1" applyBorder="1" applyAlignment="1"/>
    <xf numFmtId="167" fontId="0" fillId="0" borderId="11" xfId="0" applyNumberFormat="1" applyFill="1" applyBorder="1" applyAlignment="1"/>
    <xf numFmtId="167" fontId="0" fillId="0" borderId="13" xfId="0" applyNumberFormat="1" applyFill="1" applyBorder="1" applyAlignment="1"/>
    <xf numFmtId="167" fontId="0" fillId="0" borderId="15" xfId="0" applyNumberFormat="1" applyFill="1" applyBorder="1" applyAlignment="1"/>
    <xf numFmtId="165" fontId="0" fillId="0" borderId="2" xfId="1" applyNumberFormat="1" applyFont="1" applyFill="1" applyBorder="1" applyAlignment="1">
      <alignment horizontal="right" vertical="center"/>
    </xf>
    <xf numFmtId="0" fontId="8" fillId="0" borderId="11" xfId="0" applyFont="1" applyBorder="1"/>
    <xf numFmtId="0" fontId="8" fillId="0" borderId="13" xfId="0" applyFont="1" applyBorder="1"/>
    <xf numFmtId="0" fontId="8" fillId="0" borderId="13" xfId="0" applyFont="1" applyFill="1" applyBorder="1"/>
    <xf numFmtId="0" fontId="8" fillId="0" borderId="12" xfId="0" applyFont="1" applyBorder="1"/>
    <xf numFmtId="0" fontId="8" fillId="0" borderId="13" xfId="0" applyFont="1" applyFill="1" applyBorder="1" applyAlignment="1">
      <alignment vertical="center"/>
    </xf>
    <xf numFmtId="0" fontId="8" fillId="0" borderId="15" xfId="0" applyFont="1" applyFill="1" applyBorder="1"/>
    <xf numFmtId="0" fontId="8" fillId="0" borderId="14" xfId="0" applyFont="1" applyBorder="1"/>
    <xf numFmtId="2" fontId="8" fillId="0" borderId="2" xfId="0" applyNumberFormat="1" applyFont="1" applyBorder="1"/>
    <xf numFmtId="2" fontId="8" fillId="0" borderId="5" xfId="0" applyNumberFormat="1" applyFont="1" applyBorder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/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63" fillId="0" borderId="0" xfId="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63" fillId="0" borderId="0" xfId="0" applyFont="1" applyBorder="1"/>
    <xf numFmtId="165" fontId="0" fillId="0" borderId="2" xfId="0" applyNumberFormat="1" applyFont="1" applyFill="1" applyBorder="1"/>
    <xf numFmtId="0" fontId="63" fillId="0" borderId="0" xfId="0" applyFont="1"/>
    <xf numFmtId="165" fontId="0" fillId="0" borderId="2" xfId="0" applyNumberFormat="1" applyFont="1" applyBorder="1"/>
    <xf numFmtId="0" fontId="7" fillId="42" borderId="2" xfId="0" applyFont="1" applyFill="1" applyBorder="1" applyAlignment="1" applyProtection="1">
      <alignment horizontal="center" vertical="center"/>
      <protection hidden="1"/>
    </xf>
    <xf numFmtId="173" fontId="8" fillId="0" borderId="0" xfId="0" applyNumberFormat="1" applyFont="1" applyBorder="1"/>
    <xf numFmtId="174" fontId="8" fillId="0" borderId="0" xfId="0" applyNumberFormat="1" applyFont="1" applyBorder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64" fillId="0" borderId="0" xfId="0" applyFont="1" applyAlignment="1" applyProtection="1">
      <alignment vertical="center"/>
      <protection hidden="1"/>
    </xf>
    <xf numFmtId="2" fontId="8" fillId="0" borderId="0" xfId="0" applyNumberFormat="1" applyFont="1" applyAlignment="1" applyProtection="1">
      <alignment horizontal="right" vertical="center"/>
      <protection hidden="1"/>
    </xf>
    <xf numFmtId="43" fontId="8" fillId="0" borderId="0" xfId="1" applyFont="1" applyAlignment="1" applyProtection="1">
      <alignment horizontal="right" vertical="center"/>
      <protection hidden="1"/>
    </xf>
    <xf numFmtId="165" fontId="8" fillId="0" borderId="0" xfId="1" applyNumberFormat="1" applyFont="1" applyAlignment="1" applyProtection="1">
      <alignment horizontal="right" vertical="center"/>
      <protection hidden="1"/>
    </xf>
    <xf numFmtId="43" fontId="8" fillId="0" borderId="0" xfId="0" applyNumberFormat="1" applyFont="1" applyAlignment="1" applyProtection="1">
      <alignment horizontal="left" vertical="center"/>
      <protection hidden="1"/>
    </xf>
    <xf numFmtId="43" fontId="8" fillId="0" borderId="0" xfId="1" applyFont="1" applyAlignment="1" applyProtection="1">
      <alignment horizontal="left" vertical="center"/>
      <protection hidden="1"/>
    </xf>
    <xf numFmtId="165" fontId="8" fillId="0" borderId="0" xfId="1" applyNumberFormat="1" applyFont="1" applyAlignment="1" applyProtection="1">
      <alignment horizontal="left" vertical="center"/>
      <protection hidden="1"/>
    </xf>
    <xf numFmtId="165" fontId="8" fillId="0" borderId="0" xfId="0" applyNumberFormat="1" applyFont="1" applyAlignment="1" applyProtection="1">
      <alignment horizontal="left" vertical="center"/>
      <protection hidden="1"/>
    </xf>
    <xf numFmtId="165" fontId="8" fillId="0" borderId="0" xfId="1" applyNumberFormat="1" applyFont="1" applyAlignment="1" applyProtection="1">
      <alignment vertical="center"/>
      <protection hidden="1"/>
    </xf>
    <xf numFmtId="165" fontId="8" fillId="0" borderId="0" xfId="0" applyNumberFormat="1" applyFont="1" applyAlignment="1" applyProtection="1">
      <alignment vertical="center"/>
      <protection hidden="1"/>
    </xf>
    <xf numFmtId="2" fontId="8" fillId="0" borderId="0" xfId="0" applyNumberFormat="1" applyFont="1" applyAlignment="1" applyProtection="1">
      <alignment vertical="center"/>
      <protection hidden="1"/>
    </xf>
    <xf numFmtId="165" fontId="8" fillId="0" borderId="0" xfId="0" applyNumberFormat="1" applyFont="1" applyAlignment="1" applyProtection="1">
      <alignment horizontal="right" vertical="center"/>
      <protection hidden="1"/>
    </xf>
    <xf numFmtId="0" fontId="8" fillId="0" borderId="0" xfId="0" applyFont="1"/>
    <xf numFmtId="0" fontId="0" fillId="0" borderId="0" xfId="0" applyAlignment="1">
      <alignment wrapText="1"/>
    </xf>
    <xf numFmtId="0" fontId="65" fillId="43" borderId="13" xfId="0" applyFont="1" applyFill="1" applyBorder="1"/>
    <xf numFmtId="0" fontId="65" fillId="43" borderId="12" xfId="0" applyFont="1" applyFill="1" applyBorder="1"/>
    <xf numFmtId="1" fontId="33" fillId="43" borderId="11" xfId="0" applyNumberFormat="1" applyFont="1" applyFill="1" applyBorder="1" applyAlignment="1">
      <alignment horizontal="center" vertical="center"/>
    </xf>
    <xf numFmtId="1" fontId="33" fillId="43" borderId="9" xfId="0" applyNumberFormat="1" applyFont="1" applyFill="1" applyBorder="1" applyAlignment="1">
      <alignment horizontal="center" vertical="center"/>
    </xf>
    <xf numFmtId="1" fontId="33" fillId="43" borderId="10" xfId="0" applyNumberFormat="1" applyFont="1" applyFill="1" applyBorder="1" applyAlignment="1">
      <alignment horizontal="center" vertical="center"/>
    </xf>
    <xf numFmtId="1" fontId="33" fillId="43" borderId="13" xfId="0" applyNumberFormat="1" applyFont="1" applyFill="1" applyBorder="1" applyAlignment="1">
      <alignment horizontal="center" vertical="center"/>
    </xf>
    <xf numFmtId="1" fontId="33" fillId="43" borderId="0" xfId="0" applyNumberFormat="1" applyFont="1" applyFill="1" applyBorder="1" applyAlignment="1">
      <alignment horizontal="center" vertical="center"/>
    </xf>
    <xf numFmtId="1" fontId="33" fillId="43" borderId="12" xfId="0" applyNumberFormat="1" applyFont="1" applyFill="1" applyBorder="1" applyAlignment="1">
      <alignment horizontal="center" vertical="center"/>
    </xf>
    <xf numFmtId="1" fontId="33" fillId="43" borderId="15" xfId="0" applyNumberFormat="1" applyFont="1" applyFill="1" applyBorder="1" applyAlignment="1">
      <alignment horizontal="center" vertical="center"/>
    </xf>
    <xf numFmtId="1" fontId="33" fillId="43" borderId="16" xfId="0" applyNumberFormat="1" applyFont="1" applyFill="1" applyBorder="1" applyAlignment="1">
      <alignment horizontal="center" vertical="center"/>
    </xf>
    <xf numFmtId="1" fontId="33" fillId="43" borderId="14" xfId="0" applyNumberFormat="1" applyFont="1" applyFill="1" applyBorder="1" applyAlignment="1">
      <alignment horizontal="center" vertical="center"/>
    </xf>
    <xf numFmtId="0" fontId="65" fillId="44" borderId="11" xfId="0" applyFont="1" applyFill="1" applyBorder="1"/>
    <xf numFmtId="0" fontId="65" fillId="44" borderId="10" xfId="0" applyFont="1" applyFill="1" applyBorder="1"/>
    <xf numFmtId="1" fontId="33" fillId="44" borderId="11" xfId="0" applyNumberFormat="1" applyFont="1" applyFill="1" applyBorder="1" applyAlignment="1">
      <alignment horizontal="center" vertical="center"/>
    </xf>
    <xf numFmtId="1" fontId="33" fillId="44" borderId="9" xfId="0" applyNumberFormat="1" applyFont="1" applyFill="1" applyBorder="1" applyAlignment="1">
      <alignment horizontal="center" vertical="center"/>
    </xf>
    <xf numFmtId="1" fontId="33" fillId="44" borderId="10" xfId="0" applyNumberFormat="1" applyFont="1" applyFill="1" applyBorder="1" applyAlignment="1">
      <alignment horizontal="center" vertical="center"/>
    </xf>
    <xf numFmtId="0" fontId="65" fillId="44" borderId="13" xfId="0" applyFont="1" applyFill="1" applyBorder="1"/>
    <xf numFmtId="0" fontId="65" fillId="44" borderId="12" xfId="0" applyFont="1" applyFill="1" applyBorder="1"/>
    <xf numFmtId="1" fontId="33" fillId="44" borderId="13" xfId="0" applyNumberFormat="1" applyFont="1" applyFill="1" applyBorder="1" applyAlignment="1">
      <alignment horizontal="center" vertical="center"/>
    </xf>
    <xf numFmtId="1" fontId="33" fillId="44" borderId="0" xfId="0" applyNumberFormat="1" applyFont="1" applyFill="1" applyBorder="1" applyAlignment="1">
      <alignment horizontal="center" vertical="center"/>
    </xf>
    <xf numFmtId="1" fontId="33" fillId="44" borderId="12" xfId="0" applyNumberFormat="1" applyFont="1" applyFill="1" applyBorder="1" applyAlignment="1">
      <alignment horizontal="center" vertical="center"/>
    </xf>
    <xf numFmtId="0" fontId="65" fillId="44" borderId="15" xfId="0" applyFont="1" applyFill="1" applyBorder="1"/>
    <xf numFmtId="0" fontId="65" fillId="44" borderId="14" xfId="0" applyFont="1" applyFill="1" applyBorder="1"/>
    <xf numFmtId="1" fontId="33" fillId="44" borderId="15" xfId="0" applyNumberFormat="1" applyFont="1" applyFill="1" applyBorder="1" applyAlignment="1">
      <alignment horizontal="center" vertical="center"/>
    </xf>
    <xf numFmtId="1" fontId="33" fillId="44" borderId="16" xfId="0" applyNumberFormat="1" applyFont="1" applyFill="1" applyBorder="1" applyAlignment="1">
      <alignment horizontal="center" vertical="center"/>
    </xf>
    <xf numFmtId="1" fontId="33" fillId="44" borderId="14" xfId="0" applyNumberFormat="1" applyFont="1" applyFill="1" applyBorder="1" applyAlignment="1">
      <alignment horizontal="center" vertical="center"/>
    </xf>
    <xf numFmtId="0" fontId="65" fillId="43" borderId="15" xfId="0" applyFont="1" applyFill="1" applyBorder="1"/>
    <xf numFmtId="0" fontId="65" fillId="43" borderId="14" xfId="0" applyFont="1" applyFill="1" applyBorder="1"/>
    <xf numFmtId="0" fontId="65" fillId="43" borderId="11" xfId="0" applyFont="1" applyFill="1" applyBorder="1"/>
    <xf numFmtId="0" fontId="65" fillId="43" borderId="10" xfId="0" applyFont="1" applyFill="1" applyBorder="1"/>
    <xf numFmtId="0" fontId="7" fillId="0" borderId="6" xfId="0" applyFont="1" applyBorder="1" applyAlignment="1">
      <alignment horizontal="left" vertical="center"/>
    </xf>
    <xf numFmtId="43" fontId="8" fillId="0" borderId="0" xfId="0" applyNumberFormat="1" applyFont="1" applyAlignment="1">
      <alignment horizontal="center" vertical="center"/>
    </xf>
    <xf numFmtId="43" fontId="8" fillId="0" borderId="2" xfId="0" applyNumberFormat="1" applyFont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43" fontId="8" fillId="9" borderId="6" xfId="1" applyNumberFormat="1" applyFont="1" applyFill="1" applyBorder="1" applyAlignment="1">
      <alignment horizontal="center" vertical="center"/>
    </xf>
    <xf numFmtId="43" fontId="15" fillId="9" borderId="6" xfId="1" applyNumberFormat="1" applyFont="1" applyFill="1" applyBorder="1" applyAlignment="1">
      <alignment horizontal="center" vertical="center"/>
    </xf>
    <xf numFmtId="43" fontId="10" fillId="9" borderId="2" xfId="0" applyNumberFormat="1" applyFont="1" applyFill="1" applyBorder="1" applyAlignment="1">
      <alignment horizontal="center" vertical="center"/>
    </xf>
    <xf numFmtId="0" fontId="10" fillId="7" borderId="30" xfId="0" applyFont="1" applyFill="1" applyBorder="1" applyAlignment="1" applyProtection="1">
      <alignment vertical="center"/>
      <protection locked="0"/>
    </xf>
    <xf numFmtId="0" fontId="10" fillId="7" borderId="29" xfId="0" applyFont="1" applyFill="1" applyBorder="1" applyAlignment="1" applyProtection="1">
      <alignment vertical="center"/>
      <protection locked="0"/>
    </xf>
    <xf numFmtId="0" fontId="10" fillId="7" borderId="28" xfId="0" applyFont="1" applyFill="1" applyBorder="1" applyAlignment="1" applyProtection="1">
      <alignment vertical="center"/>
      <protection locked="0"/>
    </xf>
    <xf numFmtId="4" fontId="61" fillId="0" borderId="10" xfId="0" applyNumberFormat="1" applyFont="1" applyFill="1" applyBorder="1" applyAlignment="1">
      <alignment horizontal="center" vertical="top" wrapText="1"/>
    </xf>
    <xf numFmtId="4" fontId="61" fillId="0" borderId="12" xfId="0" applyNumberFormat="1" applyFont="1" applyFill="1" applyBorder="1" applyAlignment="1">
      <alignment horizontal="center" vertical="top" wrapText="1"/>
    </xf>
    <xf numFmtId="0" fontId="60" fillId="0" borderId="12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8" fillId="0" borderId="11" xfId="0" applyFont="1" applyBorder="1" applyAlignment="1" applyProtection="1">
      <alignment horizontal="center" vertical="center"/>
      <protection hidden="1"/>
    </xf>
    <xf numFmtId="0" fontId="8" fillId="0" borderId="9" xfId="0" applyFont="1" applyBorder="1" applyAlignment="1" applyProtection="1">
      <alignment horizontal="center" vertical="center"/>
      <protection hidden="1"/>
    </xf>
    <xf numFmtId="0" fontId="8" fillId="0" borderId="13" xfId="0" applyFont="1" applyBorder="1" applyAlignment="1" applyProtection="1">
      <alignment horizontal="center" vertical="center"/>
      <protection hidden="1"/>
    </xf>
    <xf numFmtId="0" fontId="8" fillId="0" borderId="13" xfId="0" applyFont="1" applyFill="1" applyBorder="1" applyAlignment="1">
      <alignment horizontal="center" vertical="center"/>
    </xf>
    <xf numFmtId="0" fontId="9" fillId="6" borderId="39" xfId="0" applyFont="1" applyFill="1" applyBorder="1" applyAlignment="1">
      <alignment vertical="center"/>
    </xf>
    <xf numFmtId="0" fontId="8" fillId="0" borderId="41" xfId="0" applyFont="1" applyFill="1" applyBorder="1" applyAlignment="1">
      <alignment vertical="center"/>
    </xf>
    <xf numFmtId="0" fontId="8" fillId="0" borderId="43" xfId="0" applyFont="1" applyFill="1" applyBorder="1" applyAlignment="1">
      <alignment vertical="center"/>
    </xf>
    <xf numFmtId="0" fontId="68" fillId="0" borderId="41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left" vertical="center"/>
    </xf>
    <xf numFmtId="0" fontId="8" fillId="0" borderId="38" xfId="0" applyFont="1" applyFill="1" applyBorder="1" applyAlignment="1">
      <alignment vertical="center"/>
    </xf>
    <xf numFmtId="0" fontId="8" fillId="0" borderId="37" xfId="0" applyFont="1" applyFill="1" applyBorder="1" applyAlignment="1">
      <alignment vertical="center"/>
    </xf>
    <xf numFmtId="0" fontId="9" fillId="6" borderId="46" xfId="0" applyFont="1" applyFill="1" applyBorder="1" applyAlignment="1" applyProtection="1">
      <alignment vertical="center"/>
      <protection locked="0"/>
    </xf>
    <xf numFmtId="0" fontId="8" fillId="0" borderId="34" xfId="0" applyFont="1" applyFill="1" applyBorder="1" applyAlignment="1">
      <alignment vertical="center"/>
    </xf>
    <xf numFmtId="0" fontId="9" fillId="6" borderId="31" xfId="0" applyFont="1" applyFill="1" applyBorder="1" applyAlignment="1">
      <alignment vertical="center"/>
    </xf>
    <xf numFmtId="0" fontId="9" fillId="6" borderId="49" xfId="0" applyFont="1" applyFill="1" applyBorder="1" applyAlignment="1" applyProtection="1">
      <alignment vertical="center"/>
      <protection locked="0"/>
    </xf>
    <xf numFmtId="0" fontId="8" fillId="0" borderId="41" xfId="0" applyFont="1" applyFill="1" applyBorder="1" applyAlignment="1">
      <alignment horizontal="left" vertical="center"/>
    </xf>
    <xf numFmtId="0" fontId="10" fillId="7" borderId="47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 wrapText="1"/>
    </xf>
    <xf numFmtId="0" fontId="10" fillId="7" borderId="38" xfId="0" applyFont="1" applyFill="1" applyBorder="1" applyAlignment="1">
      <alignment vertical="center"/>
    </xf>
    <xf numFmtId="0" fontId="8" fillId="0" borderId="47" xfId="0" applyFont="1" applyFill="1" applyBorder="1" applyAlignment="1">
      <alignment vertical="center"/>
    </xf>
    <xf numFmtId="0" fontId="10" fillId="7" borderId="37" xfId="0" applyFont="1" applyFill="1" applyBorder="1" applyAlignment="1">
      <alignment vertical="center"/>
    </xf>
    <xf numFmtId="0" fontId="8" fillId="0" borderId="47" xfId="0" applyFont="1" applyFill="1" applyBorder="1" applyAlignment="1">
      <alignment horizontal="left" vertical="center"/>
    </xf>
    <xf numFmtId="0" fontId="9" fillId="6" borderId="52" xfId="0" applyFont="1" applyFill="1" applyBorder="1" applyAlignment="1">
      <alignment vertical="center"/>
    </xf>
    <xf numFmtId="0" fontId="8" fillId="0" borderId="47" xfId="0" applyFont="1" applyFill="1" applyBorder="1" applyAlignment="1">
      <alignment horizontal="left" vertical="center"/>
    </xf>
    <xf numFmtId="0" fontId="8" fillId="0" borderId="38" xfId="0" applyFont="1" applyFill="1" applyBorder="1" applyAlignment="1">
      <alignment horizontal="left" vertical="center"/>
    </xf>
    <xf numFmtId="0" fontId="8" fillId="0" borderId="45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8" fillId="0" borderId="0" xfId="0" applyFont="1" applyAlignment="1" applyProtection="1">
      <alignment vertical="center"/>
      <protection hidden="1"/>
    </xf>
    <xf numFmtId="0" fontId="7" fillId="0" borderId="0" xfId="0" applyFont="1" applyFill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8" fillId="0" borderId="10" xfId="0" applyFont="1" applyFill="1" applyBorder="1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8" fillId="0" borderId="9" xfId="0" applyFont="1" applyFill="1" applyBorder="1" applyAlignment="1">
      <alignment vertical="center"/>
    </xf>
    <xf numFmtId="0" fontId="0" fillId="0" borderId="0" xfId="0"/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/>
    </xf>
    <xf numFmtId="2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0" fontId="8" fillId="0" borderId="0" xfId="0" applyFont="1" applyBorder="1" applyAlignment="1" applyProtection="1">
      <alignment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8" fillId="0" borderId="0" xfId="0" applyFont="1" applyFill="1" applyBorder="1" applyAlignment="1">
      <alignment horizontal="left" vertical="center"/>
    </xf>
    <xf numFmtId="0" fontId="8" fillId="0" borderId="45" xfId="0" applyFont="1" applyFill="1" applyBorder="1" applyAlignment="1">
      <alignment vertical="center"/>
    </xf>
    <xf numFmtId="165" fontId="8" fillId="0" borderId="42" xfId="0" applyNumberFormat="1" applyFont="1" applyBorder="1"/>
    <xf numFmtId="165" fontId="8" fillId="0" borderId="26" xfId="0" applyNumberFormat="1" applyFont="1" applyFill="1" applyBorder="1" applyAlignment="1">
      <alignment vertical="center"/>
    </xf>
    <xf numFmtId="165" fontId="8" fillId="0" borderId="44" xfId="0" applyNumberFormat="1" applyFont="1" applyFill="1" applyBorder="1" applyAlignment="1">
      <alignment vertical="center"/>
    </xf>
    <xf numFmtId="0" fontId="0" fillId="4" borderId="2" xfId="0" applyFill="1" applyBorder="1" applyAlignment="1">
      <alignment horizontal="center"/>
    </xf>
    <xf numFmtId="166" fontId="8" fillId="4" borderId="28" xfId="1" applyNumberFormat="1" applyFont="1" applyFill="1" applyBorder="1" applyAlignment="1" applyProtection="1">
      <alignment horizontal="center" vertical="center"/>
      <protection locked="0"/>
    </xf>
    <xf numFmtId="166" fontId="0" fillId="4" borderId="2" xfId="0" applyNumberFormat="1" applyFill="1" applyBorder="1" applyAlignment="1">
      <alignment horizontal="center"/>
    </xf>
    <xf numFmtId="0" fontId="1" fillId="43" borderId="11" xfId="0" applyFont="1" applyFill="1" applyBorder="1" applyAlignment="1">
      <alignment horizontal="right"/>
    </xf>
    <xf numFmtId="0" fontId="1" fillId="43" borderId="13" xfId="0" applyFont="1" applyFill="1" applyBorder="1" applyAlignment="1">
      <alignment horizontal="right"/>
    </xf>
    <xf numFmtId="0" fontId="8" fillId="0" borderId="39" xfId="0" applyFont="1" applyFill="1" applyBorder="1" applyAlignment="1">
      <alignment vertical="center"/>
    </xf>
    <xf numFmtId="0" fontId="8" fillId="45" borderId="46" xfId="0" applyNumberFormat="1" applyFont="1" applyFill="1" applyBorder="1" applyAlignment="1" applyProtection="1">
      <alignment horizontal="center" vertical="center"/>
      <protection locked="0"/>
    </xf>
    <xf numFmtId="0" fontId="8" fillId="45" borderId="27" xfId="0" applyNumberFormat="1" applyFont="1" applyFill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8" fillId="0" borderId="2" xfId="0" applyFont="1" applyFill="1" applyBorder="1" applyAlignment="1">
      <alignment horizontal="left" vertical="center"/>
    </xf>
    <xf numFmtId="4" fontId="8" fillId="4" borderId="2" xfId="1" applyNumberFormat="1" applyFont="1" applyFill="1" applyBorder="1" applyAlignment="1" applyProtection="1">
      <alignment horizontal="center" vertical="center"/>
      <protection locked="0"/>
    </xf>
    <xf numFmtId="9" fontId="8" fillId="0" borderId="2" xfId="0" applyNumberFormat="1" applyFont="1" applyFill="1" applyBorder="1" applyAlignment="1">
      <alignment horizontal="left" vertical="center"/>
    </xf>
    <xf numFmtId="2" fontId="8" fillId="4" borderId="2" xfId="1" applyNumberFormat="1" applyFont="1" applyFill="1" applyBorder="1" applyAlignment="1" applyProtection="1">
      <alignment horizontal="center" vertical="center"/>
      <protection locked="0"/>
    </xf>
    <xf numFmtId="0" fontId="8" fillId="10" borderId="2" xfId="0" applyFont="1" applyFill="1" applyBorder="1" applyAlignment="1">
      <alignment horizontal="center" vertical="center"/>
    </xf>
    <xf numFmtId="2" fontId="8" fillId="8" borderId="2" xfId="0" applyNumberFormat="1" applyFont="1" applyFill="1" applyBorder="1" applyAlignment="1">
      <alignment horizontal="center" vertical="center"/>
    </xf>
    <xf numFmtId="0" fontId="9" fillId="6" borderId="8" xfId="0" applyFont="1" applyFill="1" applyBorder="1" applyAlignment="1">
      <alignment vertical="center"/>
    </xf>
    <xf numFmtId="0" fontId="10" fillId="7" borderId="6" xfId="0" applyFont="1" applyFill="1" applyBorder="1" applyAlignment="1">
      <alignment vertical="center"/>
    </xf>
    <xf numFmtId="0" fontId="10" fillId="7" borderId="7" xfId="0" applyFont="1" applyFill="1" applyBorder="1" applyAlignment="1" applyProtection="1">
      <alignment vertical="center"/>
      <protection locked="0"/>
    </xf>
    <xf numFmtId="0" fontId="10" fillId="7" borderId="8" xfId="0" applyFont="1" applyFill="1" applyBorder="1" applyAlignment="1">
      <alignment vertical="center"/>
    </xf>
    <xf numFmtId="0" fontId="8" fillId="4" borderId="2" xfId="0" applyNumberFormat="1" applyFont="1" applyFill="1" applyBorder="1" applyAlignment="1">
      <alignment horizontal="center" vertical="center"/>
    </xf>
    <xf numFmtId="2" fontId="8" fillId="4" borderId="2" xfId="0" applyNumberFormat="1" applyFont="1" applyFill="1" applyBorder="1" applyAlignment="1">
      <alignment horizontal="center" vertical="center"/>
    </xf>
    <xf numFmtId="0" fontId="71" fillId="6" borderId="6" xfId="0" applyFont="1" applyFill="1" applyBorder="1" applyAlignment="1">
      <alignment vertical="center"/>
    </xf>
    <xf numFmtId="0" fontId="71" fillId="6" borderId="7" xfId="0" applyFont="1" applyFill="1" applyBorder="1" applyAlignment="1">
      <alignment horizontal="center" vertical="center"/>
    </xf>
    <xf numFmtId="0" fontId="71" fillId="6" borderId="8" xfId="0" applyFont="1" applyFill="1" applyBorder="1" applyAlignment="1">
      <alignment vertical="center"/>
    </xf>
    <xf numFmtId="0" fontId="25" fillId="4" borderId="2" xfId="0" applyFont="1" applyFill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center" vertical="center"/>
    </xf>
    <xf numFmtId="16" fontId="8" fillId="0" borderId="2" xfId="0" quotePrefix="1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 applyProtection="1">
      <alignment vertical="center"/>
      <protection hidden="1"/>
    </xf>
    <xf numFmtId="43" fontId="7" fillId="4" borderId="0" xfId="1" applyFont="1" applyFill="1" applyBorder="1" applyAlignment="1" applyProtection="1">
      <alignment horizontal="center" vertical="center"/>
      <protection hidden="1"/>
    </xf>
    <xf numFmtId="0" fontId="7" fillId="0" borderId="9" xfId="0" applyFont="1" applyFill="1" applyBorder="1" applyAlignment="1" applyProtection="1">
      <alignment horizontal="right" vertical="center"/>
      <protection hidden="1"/>
    </xf>
    <xf numFmtId="43" fontId="7" fillId="0" borderId="9" xfId="0" applyNumberFormat="1" applyFont="1" applyBorder="1" applyAlignment="1" applyProtection="1">
      <alignment vertical="center"/>
      <protection hidden="1"/>
    </xf>
    <xf numFmtId="1" fontId="7" fillId="0" borderId="6" xfId="0" applyNumberFormat="1" applyFont="1" applyBorder="1" applyAlignment="1" applyProtection="1">
      <alignment vertical="center"/>
      <protection hidden="1"/>
    </xf>
    <xf numFmtId="1" fontId="7" fillId="0" borderId="7" xfId="0" applyNumberFormat="1" applyFont="1" applyBorder="1" applyAlignment="1" applyProtection="1">
      <alignment vertical="center"/>
      <protection hidden="1"/>
    </xf>
    <xf numFmtId="1" fontId="7" fillId="0" borderId="8" xfId="0" applyNumberFormat="1" applyFont="1" applyBorder="1" applyAlignment="1" applyProtection="1">
      <alignment vertical="center"/>
      <protection hidden="1"/>
    </xf>
    <xf numFmtId="1" fontId="7" fillId="0" borderId="6" xfId="1" applyNumberFormat="1" applyFont="1" applyBorder="1" applyAlignment="1" applyProtection="1">
      <alignment horizontal="center" vertical="center"/>
      <protection hidden="1"/>
    </xf>
    <xf numFmtId="1" fontId="7" fillId="0" borderId="7" xfId="1" applyNumberFormat="1" applyFont="1" applyBorder="1" applyAlignment="1" applyProtection="1">
      <alignment horizontal="center" vertical="center"/>
      <protection hidden="1"/>
    </xf>
    <xf numFmtId="1" fontId="7" fillId="0" borderId="8" xfId="1" applyNumberFormat="1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 wrapText="1"/>
      <protection hidden="1"/>
    </xf>
    <xf numFmtId="0" fontId="7" fillId="0" borderId="8" xfId="0" applyFont="1" applyBorder="1" applyAlignment="1" applyProtection="1">
      <alignment horizontal="center" vertical="center" wrapText="1"/>
      <protection hidden="1"/>
    </xf>
    <xf numFmtId="43" fontId="7" fillId="9" borderId="4" xfId="1" applyFont="1" applyFill="1" applyBorder="1" applyAlignment="1" applyProtection="1">
      <alignment horizontal="center" vertical="center"/>
      <protection hidden="1"/>
    </xf>
    <xf numFmtId="43" fontId="7" fillId="9" borderId="13" xfId="1" applyFont="1" applyFill="1" applyBorder="1" applyAlignment="1" applyProtection="1">
      <alignment horizontal="center" vertical="center"/>
      <protection hidden="1"/>
    </xf>
    <xf numFmtId="43" fontId="7" fillId="9" borderId="0" xfId="1" applyFont="1" applyFill="1" applyBorder="1" applyAlignment="1" applyProtection="1">
      <alignment horizontal="center" vertical="center"/>
      <protection hidden="1"/>
    </xf>
    <xf numFmtId="43" fontId="7" fillId="9" borderId="0" xfId="1" applyFont="1" applyFill="1" applyBorder="1" applyAlignment="1" applyProtection="1">
      <alignment horizontal="center" vertical="center" wrapText="1"/>
      <protection hidden="1"/>
    </xf>
    <xf numFmtId="43" fontId="7" fillId="9" borderId="12" xfId="1" applyFont="1" applyFill="1" applyBorder="1" applyAlignment="1" applyProtection="1">
      <alignment horizontal="center" vertical="center" wrapText="1"/>
      <protection hidden="1"/>
    </xf>
    <xf numFmtId="43" fontId="7" fillId="9" borderId="12" xfId="1" applyFont="1" applyFill="1" applyBorder="1" applyAlignment="1" applyProtection="1">
      <alignment horizontal="center" vertical="center"/>
      <protection hidden="1"/>
    </xf>
    <xf numFmtId="43" fontId="7" fillId="9" borderId="5" xfId="1" applyFont="1" applyFill="1" applyBorder="1" applyAlignment="1" applyProtection="1">
      <alignment horizontal="center" vertical="center"/>
      <protection hidden="1"/>
    </xf>
    <xf numFmtId="43" fontId="7" fillId="9" borderId="15" xfId="1" applyFont="1" applyFill="1" applyBorder="1" applyAlignment="1" applyProtection="1">
      <alignment horizontal="center" vertical="center"/>
      <protection hidden="1"/>
    </xf>
    <xf numFmtId="43" fontId="7" fillId="9" borderId="16" xfId="1" applyFont="1" applyFill="1" applyBorder="1" applyAlignment="1" applyProtection="1">
      <alignment horizontal="center" vertical="center"/>
      <protection hidden="1"/>
    </xf>
    <xf numFmtId="43" fontId="7" fillId="9" borderId="16" xfId="1" applyFont="1" applyFill="1" applyBorder="1" applyAlignment="1" applyProtection="1">
      <alignment horizontal="center" vertical="center" wrapText="1"/>
      <protection hidden="1"/>
    </xf>
    <xf numFmtId="43" fontId="7" fillId="9" borderId="14" xfId="1" applyFont="1" applyFill="1" applyBorder="1" applyAlignment="1" applyProtection="1">
      <alignment horizontal="center" vertical="center" wrapText="1"/>
      <protection hidden="1"/>
    </xf>
    <xf numFmtId="43" fontId="7" fillId="9" borderId="14" xfId="1" applyFont="1" applyFill="1" applyBorder="1" applyAlignment="1" applyProtection="1">
      <alignment horizontal="center" vertical="center"/>
      <protection hidden="1"/>
    </xf>
    <xf numFmtId="176" fontId="8" fillId="4" borderId="2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8" fillId="0" borderId="9" xfId="0" applyFont="1" applyBorder="1" applyAlignment="1" applyProtection="1">
      <alignment vertical="center"/>
      <protection hidden="1"/>
    </xf>
    <xf numFmtId="0" fontId="8" fillId="0" borderId="9" xfId="0" applyFont="1" applyFill="1" applyBorder="1" applyAlignment="1" applyProtection="1">
      <alignment vertical="center"/>
      <protection hidden="1"/>
    </xf>
    <xf numFmtId="9" fontId="8" fillId="0" borderId="9" xfId="0" applyNumberFormat="1" applyFont="1" applyFill="1" applyBorder="1" applyAlignment="1" applyProtection="1">
      <alignment vertical="center"/>
      <protection hidden="1"/>
    </xf>
    <xf numFmtId="0" fontId="8" fillId="0" borderId="9" xfId="0" applyFont="1" applyFill="1" applyBorder="1" applyAlignment="1" applyProtection="1">
      <alignment vertical="center" wrapText="1"/>
      <protection hidden="1"/>
    </xf>
    <xf numFmtId="0" fontId="8" fillId="0" borderId="10" xfId="0" applyFont="1" applyFill="1" applyBorder="1" applyAlignment="1" applyProtection="1">
      <alignment vertical="center"/>
      <protection hidden="1"/>
    </xf>
    <xf numFmtId="165" fontId="7" fillId="46" borderId="9" xfId="1" applyNumberFormat="1" applyFont="1" applyFill="1" applyBorder="1" applyAlignment="1" applyProtection="1">
      <alignment vertical="center"/>
      <protection hidden="1"/>
    </xf>
    <xf numFmtId="0" fontId="8" fillId="47" borderId="0" xfId="0" applyFont="1" applyFill="1" applyAlignment="1" applyProtection="1">
      <alignment horizontal="right" vertical="center"/>
      <protection hidden="1"/>
    </xf>
    <xf numFmtId="0" fontId="8" fillId="47" borderId="0" xfId="0" applyFont="1" applyFill="1" applyAlignment="1" applyProtection="1">
      <alignment horizontal="center" vertical="center"/>
      <protection hidden="1"/>
    </xf>
    <xf numFmtId="0" fontId="8" fillId="47" borderId="0" xfId="0" applyFont="1" applyFill="1" applyBorder="1" applyAlignment="1" applyProtection="1">
      <alignment horizontal="center" vertical="center"/>
      <protection hidden="1"/>
    </xf>
    <xf numFmtId="0" fontId="8" fillId="47" borderId="0" xfId="0" applyFont="1" applyFill="1" applyBorder="1" applyAlignment="1" applyProtection="1">
      <alignment vertical="center"/>
      <protection hidden="1"/>
    </xf>
    <xf numFmtId="0" fontId="7" fillId="47" borderId="0" xfId="0" applyFont="1" applyFill="1" applyAlignment="1" applyProtection="1">
      <alignment horizontal="center" vertical="center"/>
      <protection hidden="1"/>
    </xf>
    <xf numFmtId="0" fontId="21" fillId="47" borderId="0" xfId="0" applyFont="1" applyFill="1" applyAlignment="1" applyProtection="1">
      <alignment horizontal="center" vertical="center"/>
      <protection hidden="1"/>
    </xf>
    <xf numFmtId="0" fontId="7" fillId="47" borderId="0" xfId="0" applyFont="1" applyFill="1" applyBorder="1" applyAlignment="1" applyProtection="1">
      <alignment horizontal="center" vertical="center"/>
      <protection hidden="1"/>
    </xf>
    <xf numFmtId="0" fontId="22" fillId="47" borderId="0" xfId="0" applyFont="1" applyFill="1" applyAlignment="1" applyProtection="1">
      <alignment horizontal="center" vertical="center"/>
      <protection hidden="1"/>
    </xf>
    <xf numFmtId="9" fontId="22" fillId="47" borderId="0" xfId="2" applyFont="1" applyFill="1" applyAlignment="1" applyProtection="1">
      <alignment horizontal="center" vertical="center"/>
      <protection hidden="1"/>
    </xf>
    <xf numFmtId="9" fontId="22" fillId="47" borderId="0" xfId="2" applyNumberFormat="1" applyFont="1" applyFill="1" applyAlignment="1" applyProtection="1">
      <alignment horizontal="center" vertical="center"/>
      <protection hidden="1"/>
    </xf>
    <xf numFmtId="9" fontId="7" fillId="47" borderId="0" xfId="2" applyFont="1" applyFill="1" applyAlignment="1" applyProtection="1">
      <alignment horizontal="center" vertical="center"/>
      <protection hidden="1"/>
    </xf>
    <xf numFmtId="0" fontId="8" fillId="47" borderId="0" xfId="0" applyFont="1" applyFill="1" applyBorder="1" applyAlignment="1" applyProtection="1">
      <alignment horizontal="right" vertical="center"/>
      <protection hidden="1"/>
    </xf>
    <xf numFmtId="9" fontId="8" fillId="47" borderId="0" xfId="2" applyFont="1" applyFill="1" applyBorder="1" applyAlignment="1" applyProtection="1">
      <alignment horizontal="center" vertical="center"/>
      <protection hidden="1"/>
    </xf>
    <xf numFmtId="0" fontId="14" fillId="47" borderId="0" xfId="0" applyFont="1" applyFill="1" applyBorder="1" applyAlignment="1" applyProtection="1">
      <alignment horizontal="right" vertical="center"/>
      <protection hidden="1"/>
    </xf>
    <xf numFmtId="2" fontId="7" fillId="47" borderId="0" xfId="0" applyNumberFormat="1" applyFont="1" applyFill="1" applyAlignment="1" applyProtection="1">
      <alignment horizontal="center" vertical="center"/>
      <protection hidden="1"/>
    </xf>
    <xf numFmtId="0" fontId="14" fillId="47" borderId="0" xfId="0" applyFont="1" applyFill="1" applyBorder="1" applyAlignment="1" applyProtection="1">
      <alignment vertical="center"/>
      <protection hidden="1"/>
    </xf>
    <xf numFmtId="0" fontId="23" fillId="47" borderId="0" xfId="0" applyFont="1" applyFill="1" applyBorder="1" applyAlignment="1" applyProtection="1">
      <alignment vertical="center"/>
      <protection hidden="1"/>
    </xf>
    <xf numFmtId="2" fontId="7" fillId="47" borderId="0" xfId="0" applyNumberFormat="1" applyFont="1" applyFill="1" applyBorder="1" applyAlignment="1" applyProtection="1">
      <alignment horizontal="center" vertical="center"/>
      <protection hidden="1"/>
    </xf>
    <xf numFmtId="0" fontId="14" fillId="47" borderId="0" xfId="0" applyFont="1" applyFill="1" applyAlignment="1" applyProtection="1">
      <alignment horizontal="left" vertical="center"/>
      <protection hidden="1"/>
    </xf>
    <xf numFmtId="0" fontId="10" fillId="47" borderId="0" xfId="0" applyFont="1" applyFill="1" applyBorder="1" applyAlignment="1" applyProtection="1">
      <alignment vertical="center"/>
      <protection hidden="1"/>
    </xf>
    <xf numFmtId="0" fontId="8" fillId="47" borderId="11" xfId="0" applyFont="1" applyFill="1" applyBorder="1" applyAlignment="1" applyProtection="1">
      <alignment vertical="center"/>
      <protection hidden="1"/>
    </xf>
    <xf numFmtId="1" fontId="7" fillId="47" borderId="10" xfId="0" applyNumberFormat="1" applyFont="1" applyFill="1" applyBorder="1" applyAlignment="1" applyProtection="1">
      <alignment vertical="center"/>
      <protection hidden="1"/>
    </xf>
    <xf numFmtId="0" fontId="8" fillId="47" borderId="13" xfId="0" applyFont="1" applyFill="1" applyBorder="1" applyAlignment="1" applyProtection="1">
      <alignment vertical="center"/>
      <protection hidden="1"/>
    </xf>
    <xf numFmtId="1" fontId="7" fillId="47" borderId="12" xfId="0" applyNumberFormat="1" applyFont="1" applyFill="1" applyBorder="1" applyAlignment="1" applyProtection="1">
      <alignment vertical="center"/>
      <protection hidden="1"/>
    </xf>
    <xf numFmtId="0" fontId="8" fillId="47" borderId="15" xfId="0" applyFont="1" applyFill="1" applyBorder="1" applyAlignment="1" applyProtection="1">
      <alignment vertical="center"/>
      <protection hidden="1"/>
    </xf>
    <xf numFmtId="0" fontId="8" fillId="47" borderId="14" xfId="0" applyFont="1" applyFill="1" applyBorder="1" applyAlignment="1" applyProtection="1">
      <alignment vertical="center"/>
      <protection hidden="1"/>
    </xf>
    <xf numFmtId="1" fontId="8" fillId="47" borderId="0" xfId="0" applyNumberFormat="1" applyFont="1" applyFill="1" applyAlignment="1" applyProtection="1">
      <alignment horizontal="right" vertical="center"/>
      <protection hidden="1"/>
    </xf>
    <xf numFmtId="1" fontId="8" fillId="47" borderId="0" xfId="0" applyNumberFormat="1" applyFont="1" applyFill="1" applyAlignment="1" applyProtection="1">
      <alignment vertical="center"/>
      <protection hidden="1"/>
    </xf>
    <xf numFmtId="0" fontId="8" fillId="47" borderId="17" xfId="0" applyFont="1" applyFill="1" applyBorder="1" applyAlignment="1" applyProtection="1">
      <alignment vertical="center"/>
      <protection hidden="1"/>
    </xf>
    <xf numFmtId="165" fontId="8" fillId="47" borderId="0" xfId="1" applyNumberFormat="1" applyFont="1" applyFill="1" applyAlignment="1" applyProtection="1">
      <alignment vertical="center"/>
      <protection hidden="1"/>
    </xf>
    <xf numFmtId="0" fontId="19" fillId="47" borderId="0" xfId="0" applyFont="1" applyFill="1" applyBorder="1" applyAlignment="1" applyProtection="1">
      <alignment vertical="center"/>
      <protection hidden="1"/>
    </xf>
    <xf numFmtId="0" fontId="27" fillId="47" borderId="0" xfId="0" applyFont="1" applyFill="1" applyAlignment="1" applyProtection="1">
      <alignment horizontal="left" vertical="center"/>
      <protection hidden="1"/>
    </xf>
    <xf numFmtId="0" fontId="8" fillId="47" borderId="0" xfId="0" applyFont="1" applyFill="1" applyAlignment="1" applyProtection="1">
      <alignment vertical="center"/>
      <protection hidden="1"/>
    </xf>
    <xf numFmtId="0" fontId="7" fillId="47" borderId="0" xfId="0" applyFont="1" applyFill="1" applyAlignment="1" applyProtection="1">
      <alignment vertical="center"/>
      <protection hidden="1"/>
    </xf>
    <xf numFmtId="0" fontId="7" fillId="47" borderId="0" xfId="0" applyFont="1" applyFill="1" applyAlignment="1" applyProtection="1">
      <alignment horizontal="right" vertical="center"/>
      <protection hidden="1"/>
    </xf>
    <xf numFmtId="2" fontId="7" fillId="47" borderId="0" xfId="0" applyNumberFormat="1" applyFont="1" applyFill="1" applyAlignment="1" applyProtection="1">
      <alignment vertical="center"/>
      <protection hidden="1"/>
    </xf>
    <xf numFmtId="0" fontId="24" fillId="47" borderId="0" xfId="0" applyFont="1" applyFill="1" applyAlignment="1" applyProtection="1">
      <alignment vertical="center"/>
      <protection hidden="1"/>
    </xf>
    <xf numFmtId="0" fontId="8" fillId="47" borderId="11" xfId="0" applyFont="1" applyFill="1" applyBorder="1" applyAlignment="1" applyProtection="1">
      <alignment horizontal="left" vertical="center"/>
      <protection hidden="1"/>
    </xf>
    <xf numFmtId="43" fontId="8" fillId="47" borderId="10" xfId="1" applyFont="1" applyFill="1" applyBorder="1" applyAlignment="1" applyProtection="1">
      <alignment vertical="center"/>
      <protection hidden="1"/>
    </xf>
    <xf numFmtId="0" fontId="8" fillId="47" borderId="15" xfId="0" applyFont="1" applyFill="1" applyBorder="1" applyAlignment="1" applyProtection="1">
      <alignment horizontal="left" vertical="center"/>
      <protection hidden="1"/>
    </xf>
    <xf numFmtId="43" fontId="8" fillId="47" borderId="14" xfId="1" applyFont="1" applyFill="1" applyBorder="1" applyAlignment="1" applyProtection="1">
      <alignment vertical="center"/>
      <protection hidden="1"/>
    </xf>
    <xf numFmtId="0" fontId="0" fillId="47" borderId="0" xfId="0" applyFill="1" applyBorder="1"/>
    <xf numFmtId="168" fontId="7" fillId="47" borderId="0" xfId="1" applyNumberFormat="1" applyFont="1" applyFill="1" applyBorder="1" applyAlignment="1" applyProtection="1">
      <alignment horizontal="right" vertical="center"/>
      <protection hidden="1"/>
    </xf>
    <xf numFmtId="0" fontId="19" fillId="47" borderId="0" xfId="0" applyFont="1" applyFill="1" applyAlignment="1" applyProtection="1">
      <alignment vertical="center"/>
      <protection hidden="1"/>
    </xf>
    <xf numFmtId="3" fontId="8" fillId="47" borderId="0" xfId="0" applyNumberFormat="1" applyFont="1" applyFill="1" applyAlignment="1" applyProtection="1">
      <alignment horizontal="center" vertical="center"/>
      <protection hidden="1"/>
    </xf>
    <xf numFmtId="0" fontId="15" fillId="47" borderId="0" xfId="0" applyFont="1" applyFill="1" applyAlignment="1" applyProtection="1">
      <alignment vertical="center"/>
      <protection hidden="1"/>
    </xf>
    <xf numFmtId="0" fontId="20" fillId="47" borderId="0" xfId="0" applyFont="1" applyFill="1" applyAlignment="1" applyProtection="1">
      <alignment vertical="center"/>
      <protection hidden="1"/>
    </xf>
    <xf numFmtId="0" fontId="19" fillId="47" borderId="17" xfId="0" applyFont="1" applyFill="1" applyBorder="1" applyAlignment="1" applyProtection="1">
      <alignment vertical="center"/>
      <protection hidden="1"/>
    </xf>
    <xf numFmtId="0" fontId="0" fillId="47" borderId="0" xfId="0" applyFill="1"/>
    <xf numFmtId="0" fontId="8" fillId="47" borderId="0" xfId="0" applyFont="1" applyFill="1"/>
    <xf numFmtId="0" fontId="0" fillId="47" borderId="2" xfId="0" applyFill="1" applyBorder="1"/>
    <xf numFmtId="165" fontId="7" fillId="47" borderId="0" xfId="1" applyNumberFormat="1" applyFont="1" applyFill="1" applyAlignment="1" applyProtection="1">
      <alignment vertical="center"/>
      <protection hidden="1"/>
    </xf>
    <xf numFmtId="0" fontId="7" fillId="47" borderId="0" xfId="0" applyFont="1" applyFill="1" applyAlignment="1" applyProtection="1">
      <alignment horizontal="left" vertical="center"/>
      <protection hidden="1"/>
    </xf>
    <xf numFmtId="11" fontId="8" fillId="47" borderId="2" xfId="0" applyNumberFormat="1" applyFont="1" applyFill="1" applyBorder="1"/>
    <xf numFmtId="11" fontId="8" fillId="47" borderId="0" xfId="0" applyNumberFormat="1" applyFont="1" applyFill="1"/>
    <xf numFmtId="11" fontId="8" fillId="47" borderId="0" xfId="0" applyNumberFormat="1" applyFont="1" applyFill="1" applyBorder="1"/>
    <xf numFmtId="175" fontId="22" fillId="47" borderId="0" xfId="0" applyNumberFormat="1" applyFont="1" applyFill="1" applyBorder="1" applyAlignment="1" applyProtection="1">
      <alignment horizontal="right" vertical="center"/>
      <protection hidden="1"/>
    </xf>
    <xf numFmtId="165" fontId="22" fillId="47" borderId="0" xfId="0" applyNumberFormat="1" applyFont="1" applyFill="1" applyBorder="1" applyAlignment="1" applyProtection="1">
      <alignment horizontal="right" vertical="center"/>
      <protection hidden="1"/>
    </xf>
    <xf numFmtId="0" fontId="0" fillId="47" borderId="17" xfId="0" applyFill="1" applyBorder="1"/>
    <xf numFmtId="0" fontId="8" fillId="47" borderId="17" xfId="0" applyFont="1" applyFill="1" applyBorder="1" applyAlignment="1" applyProtection="1">
      <alignment horizontal="center" vertical="center"/>
      <protection hidden="1"/>
    </xf>
    <xf numFmtId="0" fontId="8" fillId="47" borderId="0" xfId="0" applyFont="1" applyFill="1" applyAlignment="1" applyProtection="1">
      <alignment vertical="center" wrapText="1"/>
      <protection hidden="1"/>
    </xf>
    <xf numFmtId="0" fontId="8" fillId="47" borderId="17" xfId="0" applyFont="1" applyFill="1" applyBorder="1" applyAlignment="1" applyProtection="1">
      <alignment vertical="center" wrapText="1"/>
      <protection hidden="1"/>
    </xf>
    <xf numFmtId="2" fontId="8" fillId="47" borderId="0" xfId="0" applyNumberFormat="1" applyFont="1" applyFill="1" applyBorder="1" applyAlignment="1" applyProtection="1">
      <alignment vertical="center"/>
      <protection hidden="1"/>
    </xf>
    <xf numFmtId="43" fontId="7" fillId="47" borderId="0" xfId="1" applyFont="1" applyFill="1" applyBorder="1" applyAlignment="1" applyProtection="1">
      <alignment horizontal="right" vertical="center"/>
      <protection hidden="1"/>
    </xf>
    <xf numFmtId="0" fontId="0" fillId="47" borderId="0" xfId="0" applyFill="1" applyAlignment="1"/>
    <xf numFmtId="0" fontId="8" fillId="47" borderId="0" xfId="0" applyFont="1" applyFill="1" applyAlignment="1"/>
    <xf numFmtId="0" fontId="0" fillId="47" borderId="2" xfId="0" applyFill="1" applyBorder="1" applyAlignment="1"/>
    <xf numFmtId="0" fontId="7" fillId="47" borderId="3" xfId="0" applyFont="1" applyFill="1" applyBorder="1" applyAlignment="1" applyProtection="1">
      <alignment vertical="center"/>
      <protection hidden="1"/>
    </xf>
    <xf numFmtId="0" fontId="7" fillId="47" borderId="3" xfId="0" applyFont="1" applyFill="1" applyBorder="1" applyAlignment="1" applyProtection="1">
      <alignment horizontal="center" vertical="center"/>
      <protection hidden="1"/>
    </xf>
    <xf numFmtId="167" fontId="8" fillId="47" borderId="4" xfId="0" applyNumberFormat="1" applyFont="1" applyFill="1" applyBorder="1" applyAlignment="1" applyProtection="1">
      <alignment horizontal="center" vertical="center"/>
      <protection hidden="1"/>
    </xf>
    <xf numFmtId="1" fontId="8" fillId="47" borderId="4" xfId="0" applyNumberFormat="1" applyFont="1" applyFill="1" applyBorder="1" applyAlignment="1" applyProtection="1">
      <alignment horizontal="center" vertical="center"/>
      <protection hidden="1"/>
    </xf>
    <xf numFmtId="167" fontId="8" fillId="47" borderId="5" xfId="0" applyNumberFormat="1" applyFont="1" applyFill="1" applyBorder="1" applyAlignment="1" applyProtection="1">
      <alignment horizontal="center" vertical="center"/>
      <protection hidden="1"/>
    </xf>
    <xf numFmtId="1" fontId="8" fillId="47" borderId="5" xfId="0" applyNumberFormat="1" applyFont="1" applyFill="1" applyBorder="1" applyAlignment="1" applyProtection="1">
      <alignment horizontal="center" vertical="center"/>
      <protection hidden="1"/>
    </xf>
    <xf numFmtId="0" fontId="0" fillId="47" borderId="13" xfId="0" applyFill="1" applyBorder="1" applyAlignment="1" applyProtection="1">
      <alignment horizontal="center" vertical="center"/>
      <protection hidden="1"/>
    </xf>
    <xf numFmtId="0" fontId="0" fillId="47" borderId="0" xfId="0" applyFill="1" applyBorder="1" applyAlignment="1" applyProtection="1">
      <alignment horizontal="center" vertical="center"/>
      <protection hidden="1"/>
    </xf>
    <xf numFmtId="0" fontId="0" fillId="47" borderId="12" xfId="0" applyFill="1" applyBorder="1" applyAlignment="1" applyProtection="1">
      <alignment horizontal="center" vertical="center"/>
      <protection hidden="1"/>
    </xf>
    <xf numFmtId="166" fontId="0" fillId="47" borderId="13" xfId="0" applyNumberFormat="1" applyFill="1" applyBorder="1" applyAlignment="1" applyProtection="1">
      <alignment horizontal="center" vertical="center"/>
      <protection hidden="1"/>
    </xf>
    <xf numFmtId="166" fontId="0" fillId="47" borderId="0" xfId="0" applyNumberFormat="1" applyFill="1" applyBorder="1" applyAlignment="1" applyProtection="1">
      <alignment horizontal="center" vertical="center"/>
      <protection hidden="1"/>
    </xf>
    <xf numFmtId="166" fontId="0" fillId="47" borderId="12" xfId="0" applyNumberFormat="1" applyFill="1" applyBorder="1" applyAlignment="1" applyProtection="1">
      <alignment horizontal="center" vertical="center"/>
      <protection hidden="1"/>
    </xf>
    <xf numFmtId="166" fontId="0" fillId="47" borderId="15" xfId="0" applyNumberFormat="1" applyFill="1" applyBorder="1" applyAlignment="1" applyProtection="1">
      <alignment horizontal="center" vertical="center"/>
      <protection hidden="1"/>
    </xf>
    <xf numFmtId="166" fontId="0" fillId="47" borderId="16" xfId="0" applyNumberFormat="1" applyFill="1" applyBorder="1" applyAlignment="1" applyProtection="1">
      <alignment horizontal="center" vertical="center"/>
      <protection hidden="1"/>
    </xf>
    <xf numFmtId="166" fontId="0" fillId="47" borderId="14" xfId="0" applyNumberFormat="1" applyFill="1" applyBorder="1" applyAlignment="1" applyProtection="1">
      <alignment horizontal="center" vertical="center"/>
      <protection hidden="1"/>
    </xf>
    <xf numFmtId="1" fontId="0" fillId="47" borderId="0" xfId="0" applyNumberFormat="1" applyFill="1" applyBorder="1" applyAlignment="1" applyProtection="1">
      <alignment horizontal="center" vertical="center"/>
      <protection hidden="1"/>
    </xf>
    <xf numFmtId="11" fontId="8" fillId="47" borderId="0" xfId="1" applyNumberFormat="1" applyFont="1" applyFill="1" applyAlignment="1" applyProtection="1">
      <alignment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15" fillId="47" borderId="0" xfId="0" applyFont="1" applyFill="1" applyBorder="1" applyAlignment="1" applyProtection="1">
      <alignment vertical="center"/>
      <protection hidden="1"/>
    </xf>
    <xf numFmtId="0" fontId="7" fillId="47" borderId="0" xfId="0" applyFont="1" applyFill="1" applyBorder="1" applyAlignment="1" applyProtection="1">
      <alignment vertical="center"/>
      <protection hidden="1"/>
    </xf>
    <xf numFmtId="0" fontId="22" fillId="47" borderId="0" xfId="0" applyFont="1" applyFill="1" applyBorder="1" applyAlignment="1" applyProtection="1">
      <alignment horizontal="right" vertical="center"/>
      <protection hidden="1"/>
    </xf>
    <xf numFmtId="165" fontId="7" fillId="47" borderId="0" xfId="0" applyNumberFormat="1" applyFont="1" applyFill="1" applyAlignment="1" applyProtection="1">
      <alignment vertical="center"/>
      <protection hidden="1"/>
    </xf>
    <xf numFmtId="0" fontId="7" fillId="47" borderId="0" xfId="0" applyFont="1" applyFill="1" applyBorder="1" applyAlignment="1" applyProtection="1">
      <alignment horizontal="left" vertical="center"/>
      <protection hidden="1"/>
    </xf>
    <xf numFmtId="43" fontId="8" fillId="47" borderId="0" xfId="1" applyFont="1" applyFill="1" applyAlignment="1" applyProtection="1">
      <alignment vertical="center"/>
      <protection hidden="1"/>
    </xf>
    <xf numFmtId="43" fontId="7" fillId="47" borderId="0" xfId="1" applyFont="1" applyFill="1" applyAlignment="1" applyProtection="1">
      <alignment vertical="center"/>
      <protection hidden="1"/>
    </xf>
    <xf numFmtId="165" fontId="8" fillId="47" borderId="0" xfId="1" applyNumberFormat="1" applyFont="1" applyFill="1" applyBorder="1" applyAlignment="1" applyProtection="1">
      <alignment vertical="center"/>
      <protection hidden="1"/>
    </xf>
    <xf numFmtId="0" fontId="22" fillId="47" borderId="0" xfId="0" applyFont="1" applyFill="1" applyAlignment="1" applyProtection="1">
      <alignment horizontal="right" vertical="center"/>
      <protection hidden="1"/>
    </xf>
    <xf numFmtId="0" fontId="7" fillId="47" borderId="0" xfId="0" applyFont="1" applyFill="1" applyBorder="1" applyAlignment="1" applyProtection="1">
      <alignment horizontal="right" vertical="center"/>
      <protection hidden="1"/>
    </xf>
    <xf numFmtId="43" fontId="7" fillId="47" borderId="0" xfId="1" applyFont="1" applyFill="1" applyBorder="1" applyAlignment="1" applyProtection="1">
      <alignment vertical="center"/>
      <protection hidden="1"/>
    </xf>
    <xf numFmtId="165" fontId="15" fillId="47" borderId="0" xfId="1" applyNumberFormat="1" applyFont="1" applyFill="1" applyBorder="1" applyAlignment="1" applyProtection="1">
      <alignment vertical="center"/>
      <protection hidden="1"/>
    </xf>
    <xf numFmtId="9" fontId="7" fillId="47" borderId="0" xfId="0" applyNumberFormat="1" applyFont="1" applyFill="1" applyBorder="1" applyAlignment="1" applyProtection="1">
      <alignment horizontal="right" vertical="center"/>
      <protection hidden="1"/>
    </xf>
    <xf numFmtId="0" fontId="21" fillId="47" borderId="0" xfId="0" applyFont="1" applyFill="1" applyBorder="1" applyAlignment="1" applyProtection="1">
      <alignment horizontal="right" vertical="center"/>
      <protection hidden="1"/>
    </xf>
    <xf numFmtId="1" fontId="7" fillId="47" borderId="0" xfId="0" applyNumberFormat="1" applyFont="1" applyFill="1" applyBorder="1" applyAlignment="1" applyProtection="1">
      <alignment horizontal="right" vertical="center"/>
      <protection hidden="1"/>
    </xf>
    <xf numFmtId="0" fontId="0" fillId="47" borderId="0" xfId="0" applyFill="1" applyAlignment="1" applyProtection="1">
      <alignment horizontal="right" vertical="center"/>
      <protection hidden="1"/>
    </xf>
    <xf numFmtId="2" fontId="7" fillId="47" borderId="0" xfId="0" applyNumberFormat="1" applyFont="1" applyFill="1" applyBorder="1" applyAlignment="1" applyProtection="1">
      <alignment horizontal="right" vertical="center"/>
      <protection hidden="1"/>
    </xf>
    <xf numFmtId="165" fontId="10" fillId="47" borderId="0" xfId="1" applyNumberFormat="1" applyFont="1" applyFill="1" applyAlignment="1" applyProtection="1">
      <alignment vertical="center"/>
      <protection hidden="1"/>
    </xf>
    <xf numFmtId="165" fontId="8" fillId="47" borderId="0" xfId="0" applyNumberFormat="1" applyFont="1" applyFill="1" applyAlignment="1" applyProtection="1">
      <alignment vertical="center"/>
      <protection hidden="1"/>
    </xf>
    <xf numFmtId="0" fontId="7" fillId="47" borderId="2" xfId="0" applyFont="1" applyFill="1" applyBorder="1" applyAlignment="1" applyProtection="1">
      <alignment vertical="center"/>
      <protection hidden="1"/>
    </xf>
    <xf numFmtId="0" fontId="7" fillId="47" borderId="7" xfId="0" applyFont="1" applyFill="1" applyBorder="1" applyAlignment="1" applyProtection="1">
      <alignment vertical="center"/>
      <protection hidden="1"/>
    </xf>
    <xf numFmtId="165" fontId="8" fillId="47" borderId="8" xfId="1" applyNumberFormat="1" applyFont="1" applyFill="1" applyBorder="1" applyAlignment="1" applyProtection="1">
      <alignment vertical="center"/>
      <protection hidden="1"/>
    </xf>
    <xf numFmtId="0" fontId="15" fillId="47" borderId="0" xfId="0" applyFont="1" applyFill="1" applyAlignment="1" applyProtection="1">
      <alignment horizontal="right" vertical="center"/>
      <protection hidden="1"/>
    </xf>
    <xf numFmtId="0" fontId="7" fillId="47" borderId="4" xfId="0" applyFont="1" applyFill="1" applyBorder="1" applyAlignment="1" applyProtection="1">
      <alignment vertical="center"/>
      <protection hidden="1"/>
    </xf>
    <xf numFmtId="2" fontId="7" fillId="47" borderId="0" xfId="0" applyNumberFormat="1" applyFont="1" applyFill="1" applyBorder="1" applyAlignment="1" applyProtection="1">
      <alignment vertical="center"/>
      <protection hidden="1"/>
    </xf>
    <xf numFmtId="43" fontId="8" fillId="47" borderId="12" xfId="1" applyNumberFormat="1" applyFont="1" applyFill="1" applyBorder="1" applyAlignment="1" applyProtection="1">
      <alignment vertical="center"/>
      <protection hidden="1"/>
    </xf>
    <xf numFmtId="0" fontId="10" fillId="47" borderId="0" xfId="0" applyFont="1" applyFill="1" applyAlignment="1" applyProtection="1">
      <alignment horizontal="right" vertical="center"/>
      <protection hidden="1"/>
    </xf>
    <xf numFmtId="165" fontId="8" fillId="47" borderId="0" xfId="0" applyNumberFormat="1" applyFont="1" applyFill="1" applyAlignment="1" applyProtection="1">
      <alignment horizontal="right" vertical="center"/>
      <protection hidden="1"/>
    </xf>
    <xf numFmtId="0" fontId="7" fillId="47" borderId="5" xfId="0" applyFont="1" applyFill="1" applyBorder="1" applyAlignment="1" applyProtection="1">
      <alignment vertical="center"/>
      <protection hidden="1"/>
    </xf>
    <xf numFmtId="2" fontId="7" fillId="47" borderId="16" xfId="0" applyNumberFormat="1" applyFont="1" applyFill="1" applyBorder="1" applyAlignment="1" applyProtection="1">
      <alignment vertical="center"/>
      <protection hidden="1"/>
    </xf>
    <xf numFmtId="43" fontId="8" fillId="47" borderId="14" xfId="1" applyNumberFormat="1" applyFont="1" applyFill="1" applyBorder="1" applyAlignment="1" applyProtection="1">
      <alignment vertical="center"/>
      <protection hidden="1"/>
    </xf>
    <xf numFmtId="172" fontId="8" fillId="47" borderId="0" xfId="0" applyNumberFormat="1" applyFont="1" applyFill="1" applyAlignment="1" applyProtection="1">
      <alignment vertical="center"/>
      <protection hidden="1"/>
    </xf>
    <xf numFmtId="0" fontId="15" fillId="47" borderId="17" xfId="0" applyFont="1" applyFill="1" applyBorder="1" applyAlignment="1" applyProtection="1">
      <alignment horizontal="right" vertical="center"/>
      <protection hidden="1"/>
    </xf>
    <xf numFmtId="0" fontId="15" fillId="47" borderId="17" xfId="0" applyFont="1" applyFill="1" applyBorder="1" applyAlignment="1" applyProtection="1">
      <alignment vertical="center"/>
      <protection hidden="1"/>
    </xf>
    <xf numFmtId="165" fontId="15" fillId="47" borderId="17" xfId="1" applyNumberFormat="1" applyFont="1" applyFill="1" applyBorder="1" applyAlignment="1" applyProtection="1">
      <alignment vertical="center"/>
      <protection hidden="1"/>
    </xf>
    <xf numFmtId="165" fontId="7" fillId="47" borderId="17" xfId="1" applyNumberFormat="1" applyFont="1" applyFill="1" applyBorder="1" applyAlignment="1" applyProtection="1">
      <alignment vertical="center"/>
      <protection hidden="1"/>
    </xf>
    <xf numFmtId="0" fontId="8" fillId="47" borderId="0" xfId="0" applyFont="1" applyFill="1" applyBorder="1" applyAlignment="1">
      <alignment horizontal="center"/>
    </xf>
    <xf numFmtId="0" fontId="8" fillId="47" borderId="0" xfId="0" applyFont="1" applyFill="1" applyBorder="1"/>
    <xf numFmtId="0" fontId="7" fillId="47" borderId="0" xfId="0" applyFont="1" applyFill="1" applyBorder="1" applyAlignment="1">
      <alignment horizontal="right"/>
    </xf>
    <xf numFmtId="165" fontId="7" fillId="47" borderId="0" xfId="1" applyNumberFormat="1" applyFont="1" applyFill="1" applyBorder="1" applyAlignment="1">
      <alignment horizontal="right"/>
    </xf>
    <xf numFmtId="165" fontId="7" fillId="47" borderId="0" xfId="1" applyNumberFormat="1" applyFont="1" applyFill="1" applyBorder="1"/>
    <xf numFmtId="0" fontId="8" fillId="47" borderId="0" xfId="0" applyFont="1" applyFill="1" applyBorder="1" applyAlignment="1">
      <alignment horizontal="right"/>
    </xf>
    <xf numFmtId="43" fontId="8" fillId="47" borderId="0" xfId="1" applyFont="1" applyFill="1" applyBorder="1"/>
    <xf numFmtId="0" fontId="22" fillId="47" borderId="0" xfId="0" applyFont="1" applyFill="1" applyBorder="1" applyAlignment="1">
      <alignment horizontal="right"/>
    </xf>
    <xf numFmtId="9" fontId="8" fillId="47" borderId="0" xfId="0" applyNumberFormat="1" applyFont="1" applyFill="1" applyBorder="1"/>
    <xf numFmtId="0" fontId="8" fillId="47" borderId="0" xfId="0" applyFont="1" applyFill="1" applyBorder="1" applyAlignment="1">
      <alignment horizontal="right" vertical="center"/>
    </xf>
    <xf numFmtId="2" fontId="7" fillId="47" borderId="0" xfId="0" applyNumberFormat="1" applyFont="1" applyFill="1" applyBorder="1"/>
    <xf numFmtId="2" fontId="8" fillId="47" borderId="0" xfId="0" applyNumberFormat="1" applyFont="1" applyFill="1" applyBorder="1" applyAlignment="1">
      <alignment horizontal="right"/>
    </xf>
    <xf numFmtId="43" fontId="7" fillId="47" borderId="0" xfId="1" applyFont="1" applyFill="1" applyBorder="1"/>
    <xf numFmtId="0" fontId="7" fillId="47" borderId="0" xfId="0" applyFont="1" applyFill="1" applyBorder="1"/>
    <xf numFmtId="0" fontId="34" fillId="47" borderId="0" xfId="0" applyFont="1" applyFill="1" applyBorder="1" applyAlignment="1">
      <alignment horizontal="left"/>
    </xf>
    <xf numFmtId="0" fontId="8" fillId="47" borderId="0" xfId="0" applyFont="1" applyFill="1" applyBorder="1" applyAlignment="1">
      <alignment horizontal="left"/>
    </xf>
    <xf numFmtId="165" fontId="8" fillId="47" borderId="0" xfId="1" applyNumberFormat="1" applyFont="1" applyFill="1" applyBorder="1"/>
    <xf numFmtId="0" fontId="8" fillId="48" borderId="0" xfId="0" applyFont="1" applyFill="1" applyBorder="1" applyAlignment="1" applyProtection="1">
      <alignment vertical="center"/>
      <protection hidden="1"/>
    </xf>
    <xf numFmtId="0" fontId="8" fillId="48" borderId="0" xfId="0" applyFont="1" applyFill="1" applyAlignment="1" applyProtection="1">
      <alignment horizontal="center" vertical="center"/>
      <protection hidden="1"/>
    </xf>
    <xf numFmtId="0" fontId="7" fillId="48" borderId="0" xfId="0" applyFont="1" applyFill="1" applyBorder="1" applyAlignment="1">
      <alignment horizontal="right"/>
    </xf>
    <xf numFmtId="165" fontId="7" fillId="48" borderId="0" xfId="1" applyNumberFormat="1" applyFont="1" applyFill="1" applyBorder="1" applyAlignment="1">
      <alignment horizontal="right"/>
    </xf>
    <xf numFmtId="165" fontId="7" fillId="48" borderId="0" xfId="1" applyNumberFormat="1" applyFont="1" applyFill="1" applyBorder="1"/>
    <xf numFmtId="0" fontId="7" fillId="48" borderId="0" xfId="0" applyFont="1" applyFill="1" applyBorder="1"/>
    <xf numFmtId="0" fontId="8" fillId="48" borderId="0" xfId="0" applyFont="1" applyFill="1" applyBorder="1" applyAlignment="1">
      <alignment horizontal="right"/>
    </xf>
    <xf numFmtId="2" fontId="8" fillId="48" borderId="0" xfId="0" applyNumberFormat="1" applyFont="1" applyFill="1" applyBorder="1"/>
    <xf numFmtId="0" fontId="8" fillId="48" borderId="0" xfId="0" applyFont="1" applyFill="1" applyBorder="1"/>
    <xf numFmtId="0" fontId="22" fillId="48" borderId="0" xfId="0" applyFont="1" applyFill="1" applyBorder="1" applyAlignment="1">
      <alignment horizontal="right"/>
    </xf>
    <xf numFmtId="9" fontId="8" fillId="48" borderId="0" xfId="0" applyNumberFormat="1" applyFont="1" applyFill="1" applyBorder="1"/>
    <xf numFmtId="0" fontId="8" fillId="48" borderId="0" xfId="0" applyFont="1" applyFill="1" applyBorder="1" applyAlignment="1">
      <alignment horizontal="right" vertical="center"/>
    </xf>
    <xf numFmtId="2" fontId="7" fillId="48" borderId="0" xfId="0" applyNumberFormat="1" applyFont="1" applyFill="1" applyBorder="1"/>
    <xf numFmtId="2" fontId="8" fillId="48" borderId="0" xfId="0" applyNumberFormat="1" applyFont="1" applyFill="1" applyBorder="1" applyAlignment="1">
      <alignment horizontal="right"/>
    </xf>
    <xf numFmtId="0" fontId="34" fillId="48" borderId="0" xfId="0" applyFont="1" applyFill="1" applyBorder="1" applyAlignment="1">
      <alignment horizontal="left"/>
    </xf>
    <xf numFmtId="0" fontId="8" fillId="48" borderId="0" xfId="0" applyFont="1" applyFill="1" applyBorder="1" applyAlignment="1">
      <alignment horizontal="left"/>
    </xf>
    <xf numFmtId="0" fontId="8" fillId="48" borderId="0" xfId="0" applyFont="1" applyFill="1" applyBorder="1" applyAlignment="1">
      <alignment horizontal="center"/>
    </xf>
    <xf numFmtId="164" fontId="8" fillId="48" borderId="0" xfId="1" applyNumberFormat="1" applyFont="1" applyFill="1" applyBorder="1"/>
    <xf numFmtId="165" fontId="8" fillId="48" borderId="0" xfId="1" applyNumberFormat="1" applyFont="1" applyFill="1" applyBorder="1"/>
    <xf numFmtId="43" fontId="8" fillId="47" borderId="0" xfId="0" applyNumberFormat="1" applyFont="1" applyFill="1" applyBorder="1"/>
    <xf numFmtId="0" fontId="20" fillId="47" borderId="0" xfId="0" applyFont="1" applyFill="1" applyBorder="1" applyAlignment="1">
      <alignment horizontal="right"/>
    </xf>
    <xf numFmtId="0" fontId="7" fillId="47" borderId="0" xfId="0" applyFont="1" applyFill="1" applyBorder="1" applyAlignment="1">
      <alignment horizontal="left"/>
    </xf>
    <xf numFmtId="0" fontId="23" fillId="47" borderId="0" xfId="0" applyFont="1" applyFill="1" applyBorder="1"/>
    <xf numFmtId="0" fontId="7" fillId="47" borderId="0" xfId="0" applyFont="1" applyFill="1" applyBorder="1" applyAlignment="1">
      <alignment horizontal="center"/>
    </xf>
    <xf numFmtId="164" fontId="7" fillId="47" borderId="0" xfId="1" applyNumberFormat="1" applyFont="1" applyFill="1" applyBorder="1"/>
    <xf numFmtId="0" fontId="10" fillId="48" borderId="0" xfId="0" applyFont="1" applyFill="1" applyBorder="1" applyAlignment="1">
      <alignment horizontal="right"/>
    </xf>
    <xf numFmtId="165" fontId="10" fillId="48" borderId="0" xfId="1" applyNumberFormat="1" applyFont="1" applyFill="1" applyBorder="1"/>
    <xf numFmtId="165" fontId="38" fillId="48" borderId="0" xfId="1" applyNumberFormat="1" applyFont="1" applyFill="1" applyBorder="1" applyAlignment="1">
      <alignment horizontal="right"/>
    </xf>
    <xf numFmtId="0" fontId="7" fillId="48" borderId="0" xfId="0" applyFont="1" applyFill="1" applyBorder="1" applyAlignment="1">
      <alignment horizontal="center"/>
    </xf>
    <xf numFmtId="0" fontId="10" fillId="47" borderId="0" xfId="0" applyFont="1" applyFill="1" applyBorder="1" applyAlignment="1">
      <alignment horizontal="right"/>
    </xf>
    <xf numFmtId="165" fontId="10" fillId="47" borderId="0" xfId="1" applyNumberFormat="1" applyFont="1" applyFill="1" applyBorder="1"/>
    <xf numFmtId="0" fontId="41" fillId="48" borderId="0" xfId="0" applyFont="1" applyFill="1" applyBorder="1" applyAlignment="1">
      <alignment horizontal="right"/>
    </xf>
    <xf numFmtId="165" fontId="41" fillId="48" borderId="0" xfId="1" applyNumberFormat="1" applyFont="1" applyFill="1" applyBorder="1" applyAlignment="1">
      <alignment horizontal="right"/>
    </xf>
    <xf numFmtId="43" fontId="8" fillId="47" borderId="0" xfId="1" applyNumberFormat="1" applyFont="1" applyFill="1" applyBorder="1"/>
    <xf numFmtId="2" fontId="8" fillId="47" borderId="4" xfId="0" applyNumberFormat="1" applyFont="1" applyFill="1" applyBorder="1" applyAlignment="1" applyProtection="1">
      <alignment horizontal="center" vertical="center"/>
      <protection hidden="1"/>
    </xf>
    <xf numFmtId="0" fontId="15" fillId="47" borderId="0" xfId="0" applyFont="1" applyFill="1" applyBorder="1"/>
    <xf numFmtId="0" fontId="15" fillId="47" borderId="0" xfId="0" applyFont="1" applyFill="1" applyBorder="1" applyAlignment="1">
      <alignment horizontal="right"/>
    </xf>
    <xf numFmtId="165" fontId="15" fillId="47" borderId="0" xfId="1" applyNumberFormat="1" applyFont="1" applyFill="1" applyBorder="1"/>
    <xf numFmtId="165" fontId="38" fillId="48" borderId="0" xfId="0" applyNumberFormat="1" applyFont="1" applyFill="1" applyBorder="1" applyAlignment="1">
      <alignment horizontal="right"/>
    </xf>
    <xf numFmtId="0" fontId="10" fillId="47" borderId="0" xfId="0" applyFont="1" applyFill="1" applyBorder="1"/>
    <xf numFmtId="165" fontId="34" fillId="47" borderId="0" xfId="1" applyNumberFormat="1" applyFont="1" applyFill="1" applyBorder="1"/>
    <xf numFmtId="0" fontId="38" fillId="48" borderId="0" xfId="0" applyFont="1" applyFill="1" applyBorder="1" applyAlignment="1">
      <alignment horizontal="right"/>
    </xf>
    <xf numFmtId="43" fontId="8" fillId="47" borderId="0" xfId="0" applyNumberFormat="1" applyFont="1" applyFill="1" applyBorder="1" applyAlignment="1" applyProtection="1">
      <alignment vertical="center"/>
      <protection hidden="1"/>
    </xf>
    <xf numFmtId="165" fontId="7" fillId="47" borderId="0" xfId="1" applyNumberFormat="1" applyFont="1" applyFill="1" applyBorder="1" applyAlignment="1" applyProtection="1">
      <alignment vertical="center"/>
      <protection hidden="1"/>
    </xf>
    <xf numFmtId="0" fontId="0" fillId="47" borderId="0" xfId="0" applyFill="1" applyBorder="1" applyAlignment="1" applyProtection="1">
      <alignment vertical="center"/>
      <protection hidden="1"/>
    </xf>
    <xf numFmtId="0" fontId="0" fillId="47" borderId="0" xfId="0" applyFill="1" applyAlignment="1" applyProtection="1">
      <alignment vertical="center"/>
      <protection hidden="1"/>
    </xf>
    <xf numFmtId="2" fontId="0" fillId="47" borderId="0" xfId="0" applyNumberFormat="1" applyFill="1" applyBorder="1" applyAlignment="1" applyProtection="1">
      <alignment horizontal="center" vertical="center"/>
      <protection hidden="1"/>
    </xf>
    <xf numFmtId="0" fontId="10" fillId="47" borderId="0" xfId="0" applyFont="1" applyFill="1" applyAlignment="1" applyProtection="1">
      <alignment vertical="center"/>
      <protection hidden="1"/>
    </xf>
    <xf numFmtId="1" fontId="8" fillId="47" borderId="0" xfId="0" applyNumberFormat="1" applyFont="1" applyFill="1" applyAlignment="1" applyProtection="1">
      <alignment horizontal="center" vertical="center"/>
      <protection hidden="1"/>
    </xf>
    <xf numFmtId="9" fontId="8" fillId="47" borderId="0" xfId="0" applyNumberFormat="1" applyFont="1" applyFill="1" applyBorder="1" applyAlignment="1" applyProtection="1">
      <alignment vertical="center"/>
      <protection hidden="1"/>
    </xf>
    <xf numFmtId="0" fontId="15" fillId="47" borderId="0" xfId="0" applyFont="1" applyFill="1" applyBorder="1" applyAlignment="1" applyProtection="1">
      <alignment horizontal="right" vertical="center"/>
      <protection hidden="1"/>
    </xf>
    <xf numFmtId="0" fontId="15" fillId="47" borderId="2" xfId="0" applyFont="1" applyFill="1" applyBorder="1" applyAlignment="1" applyProtection="1">
      <alignment vertical="center"/>
      <protection hidden="1"/>
    </xf>
    <xf numFmtId="165" fontId="7" fillId="47" borderId="2" xfId="1" applyNumberFormat="1" applyFont="1" applyFill="1" applyBorder="1" applyAlignment="1" applyProtection="1">
      <alignment vertical="center"/>
      <protection hidden="1"/>
    </xf>
    <xf numFmtId="0" fontId="10" fillId="47" borderId="0" xfId="0" applyFont="1" applyFill="1" applyBorder="1" applyAlignment="1" applyProtection="1">
      <alignment horizontal="left" vertical="center"/>
      <protection hidden="1"/>
    </xf>
    <xf numFmtId="1" fontId="8" fillId="47" borderId="0" xfId="0" applyNumberFormat="1" applyFont="1" applyFill="1" applyBorder="1" applyAlignment="1" applyProtection="1">
      <alignment vertical="center"/>
      <protection hidden="1"/>
    </xf>
    <xf numFmtId="165" fontId="8" fillId="47" borderId="0" xfId="0" applyNumberFormat="1" applyFont="1" applyFill="1" applyBorder="1" applyAlignment="1" applyProtection="1">
      <alignment vertical="center"/>
      <protection hidden="1"/>
    </xf>
    <xf numFmtId="165" fontId="10" fillId="47" borderId="0" xfId="0" applyNumberFormat="1" applyFont="1" applyFill="1" applyBorder="1" applyAlignment="1" applyProtection="1">
      <alignment vertical="center"/>
      <protection hidden="1"/>
    </xf>
    <xf numFmtId="0" fontId="8" fillId="47" borderId="0" xfId="0" applyFont="1" applyFill="1" applyBorder="1" applyAlignment="1" applyProtection="1">
      <alignment horizontal="left" vertical="center"/>
      <protection hidden="1"/>
    </xf>
    <xf numFmtId="0" fontId="13" fillId="47" borderId="0" xfId="0" applyFont="1" applyFill="1" applyBorder="1" applyAlignment="1" applyProtection="1">
      <alignment horizontal="left" vertical="center"/>
      <protection hidden="1"/>
    </xf>
    <xf numFmtId="167" fontId="8" fillId="47" borderId="0" xfId="0" applyNumberFormat="1" applyFont="1" applyFill="1" applyBorder="1" applyAlignment="1" applyProtection="1">
      <alignment vertical="center"/>
      <protection hidden="1"/>
    </xf>
    <xf numFmtId="2" fontId="10" fillId="47" borderId="0" xfId="0" applyNumberFormat="1" applyFont="1" applyFill="1" applyBorder="1" applyAlignment="1" applyProtection="1">
      <alignment vertical="center"/>
      <protection hidden="1"/>
    </xf>
    <xf numFmtId="166" fontId="8" fillId="47" borderId="0" xfId="0" applyNumberFormat="1" applyFont="1" applyFill="1" applyBorder="1" applyAlignment="1" applyProtection="1">
      <alignment vertical="center"/>
      <protection hidden="1"/>
    </xf>
    <xf numFmtId="2" fontId="7" fillId="47" borderId="0" xfId="0" applyNumberFormat="1" applyFont="1" applyFill="1" applyAlignment="1" applyProtection="1">
      <alignment horizontal="right" vertical="center"/>
      <protection hidden="1"/>
    </xf>
    <xf numFmtId="0" fontId="15" fillId="48" borderId="0" xfId="0" applyFont="1" applyFill="1" applyAlignment="1" applyProtection="1">
      <alignment vertical="center"/>
      <protection hidden="1"/>
    </xf>
    <xf numFmtId="0" fontId="7" fillId="48" borderId="0" xfId="0" applyFont="1" applyFill="1" applyAlignment="1" applyProtection="1">
      <alignment horizontal="right" vertical="center"/>
      <protection hidden="1"/>
    </xf>
    <xf numFmtId="2" fontId="7" fillId="48" borderId="0" xfId="0" applyNumberFormat="1" applyFont="1" applyFill="1" applyAlignment="1" applyProtection="1">
      <alignment horizontal="right" vertical="center"/>
      <protection hidden="1"/>
    </xf>
    <xf numFmtId="0" fontId="7" fillId="48" borderId="0" xfId="0" applyFont="1" applyFill="1" applyBorder="1" applyAlignment="1" applyProtection="1">
      <alignment vertical="center"/>
      <protection hidden="1"/>
    </xf>
    <xf numFmtId="3" fontId="8" fillId="47" borderId="0" xfId="1" applyNumberFormat="1" applyFont="1" applyFill="1" applyAlignment="1" applyProtection="1">
      <alignment horizontal="center" vertical="center"/>
      <protection hidden="1"/>
    </xf>
    <xf numFmtId="3" fontId="7" fillId="47" borderId="0" xfId="0" applyNumberFormat="1" applyFont="1" applyFill="1" applyAlignment="1" applyProtection="1">
      <alignment horizontal="right" vertical="center"/>
      <protection hidden="1"/>
    </xf>
    <xf numFmtId="1" fontId="7" fillId="47" borderId="0" xfId="0" applyNumberFormat="1" applyFont="1" applyFill="1" applyAlignment="1" applyProtection="1">
      <alignment horizontal="right" vertical="center"/>
      <protection hidden="1"/>
    </xf>
    <xf numFmtId="9" fontId="0" fillId="4" borderId="2" xfId="2" applyFont="1" applyFill="1" applyBorder="1" applyAlignment="1">
      <alignment horizontal="center"/>
    </xf>
    <xf numFmtId="43" fontId="7" fillId="48" borderId="0" xfId="1" applyFont="1" applyFill="1" applyAlignment="1" applyProtection="1">
      <alignment horizontal="right" vertical="center"/>
      <protection hidden="1"/>
    </xf>
    <xf numFmtId="0" fontId="28" fillId="47" borderId="0" xfId="0" applyFont="1" applyFill="1" applyAlignment="1" applyProtection="1">
      <alignment vertical="center"/>
      <protection hidden="1"/>
    </xf>
    <xf numFmtId="43" fontId="7" fillId="47" borderId="0" xfId="0" applyNumberFormat="1" applyFont="1" applyFill="1" applyAlignment="1" applyProtection="1">
      <alignment horizontal="right" vertical="center"/>
      <protection hidden="1"/>
    </xf>
    <xf numFmtId="0" fontId="7" fillId="47" borderId="0" xfId="0" applyFont="1" applyFill="1" applyAlignment="1" applyProtection="1">
      <alignment horizontal="right" vertical="center" wrapText="1"/>
      <protection hidden="1"/>
    </xf>
    <xf numFmtId="0" fontId="33" fillId="47" borderId="0" xfId="0" applyFont="1" applyFill="1" applyAlignment="1" applyProtection="1">
      <alignment horizontal="right" vertical="center"/>
      <protection hidden="1"/>
    </xf>
    <xf numFmtId="2" fontId="7" fillId="47" borderId="0" xfId="1" applyNumberFormat="1" applyFont="1" applyFill="1" applyAlignment="1" applyProtection="1">
      <alignment horizontal="right" vertical="center"/>
      <protection hidden="1"/>
    </xf>
    <xf numFmtId="0" fontId="15" fillId="47" borderId="0" xfId="0" applyFont="1" applyFill="1" applyAlignment="1" applyProtection="1">
      <alignment horizontal="left" vertical="center"/>
      <protection hidden="1"/>
    </xf>
    <xf numFmtId="2" fontId="28" fillId="47" borderId="0" xfId="0" applyNumberFormat="1" applyFont="1" applyFill="1" applyAlignment="1" applyProtection="1">
      <alignment vertical="center"/>
      <protection hidden="1"/>
    </xf>
    <xf numFmtId="43" fontId="7" fillId="47" borderId="0" xfId="0" applyNumberFormat="1" applyFont="1" applyFill="1" applyAlignment="1" applyProtection="1">
      <alignment vertical="center"/>
      <protection hidden="1"/>
    </xf>
    <xf numFmtId="177" fontId="7" fillId="47" borderId="0" xfId="0" applyNumberFormat="1" applyFont="1" applyFill="1" applyAlignment="1" applyProtection="1">
      <alignment horizontal="right" vertical="center"/>
      <protection hidden="1"/>
    </xf>
    <xf numFmtId="172" fontId="7" fillId="47" borderId="0" xfId="1" applyNumberFormat="1" applyFont="1" applyFill="1" applyAlignment="1" applyProtection="1">
      <alignment vertical="center"/>
      <protection hidden="1"/>
    </xf>
    <xf numFmtId="171" fontId="7" fillId="47" borderId="0" xfId="0" applyNumberFormat="1" applyFont="1" applyFill="1" applyAlignment="1" applyProtection="1">
      <alignment vertical="center"/>
      <protection hidden="1"/>
    </xf>
    <xf numFmtId="4" fontId="28" fillId="0" borderId="0" xfId="0" applyNumberFormat="1" applyFont="1" applyAlignment="1" applyProtection="1">
      <alignment vertical="center"/>
      <protection hidden="1"/>
    </xf>
    <xf numFmtId="43" fontId="7" fillId="47" borderId="0" xfId="0" applyNumberFormat="1" applyFont="1" applyFill="1" applyBorder="1" applyAlignment="1" applyProtection="1">
      <alignment horizontal="right" vertical="center"/>
      <protection hidden="1"/>
    </xf>
    <xf numFmtId="165" fontId="38" fillId="48" borderId="0" xfId="1" applyNumberFormat="1" applyFont="1" applyFill="1" applyBorder="1"/>
    <xf numFmtId="178" fontId="8" fillId="47" borderId="0" xfId="0" applyNumberFormat="1" applyFont="1" applyFill="1" applyBorder="1" applyAlignment="1" applyProtection="1">
      <alignment vertical="center"/>
      <protection hidden="1"/>
    </xf>
    <xf numFmtId="0" fontId="0" fillId="47" borderId="17" xfId="0" applyFill="1" applyBorder="1" applyAlignment="1" applyProtection="1">
      <alignment vertical="center"/>
      <protection hidden="1"/>
    </xf>
    <xf numFmtId="0" fontId="7" fillId="48" borderId="17" xfId="0" applyFont="1" applyFill="1" applyBorder="1" applyAlignment="1" applyProtection="1">
      <alignment horizontal="right" vertical="center"/>
      <protection hidden="1"/>
    </xf>
    <xf numFmtId="2" fontId="7" fillId="48" borderId="17" xfId="0" applyNumberFormat="1" applyFont="1" applyFill="1" applyBorder="1" applyAlignment="1" applyProtection="1">
      <alignment horizontal="right" vertical="center"/>
      <protection hidden="1"/>
    </xf>
    <xf numFmtId="43" fontId="7" fillId="48" borderId="17" xfId="1" applyFont="1" applyFill="1" applyBorder="1" applyAlignment="1" applyProtection="1">
      <alignment horizontal="right" vertical="center"/>
      <protection hidden="1"/>
    </xf>
    <xf numFmtId="0" fontId="28" fillId="0" borderId="17" xfId="0" applyFont="1" applyBorder="1" applyAlignment="1" applyProtection="1">
      <alignment vertical="center"/>
      <protection hidden="1"/>
    </xf>
    <xf numFmtId="2" fontId="7" fillId="0" borderId="17" xfId="0" applyNumberFormat="1" applyFont="1" applyBorder="1" applyAlignment="1" applyProtection="1">
      <alignment horizontal="right" vertical="center"/>
      <protection hidden="1"/>
    </xf>
    <xf numFmtId="0" fontId="28" fillId="0" borderId="17" xfId="0" applyFont="1" applyFill="1" applyBorder="1" applyAlignment="1" applyProtection="1">
      <alignment vertical="center"/>
      <protection hidden="1"/>
    </xf>
    <xf numFmtId="0" fontId="15" fillId="0" borderId="17" xfId="0" applyFont="1" applyFill="1" applyBorder="1" applyAlignment="1" applyProtection="1">
      <alignment vertical="center"/>
      <protection hidden="1"/>
    </xf>
    <xf numFmtId="165" fontId="38" fillId="47" borderId="0" xfId="1" applyNumberFormat="1" applyFont="1" applyFill="1" applyBorder="1"/>
    <xf numFmtId="43" fontId="10" fillId="47" borderId="0" xfId="0" applyNumberFormat="1" applyFont="1" applyFill="1" applyBorder="1"/>
    <xf numFmtId="0" fontId="28" fillId="48" borderId="0" xfId="0" applyFont="1" applyFill="1" applyAlignment="1" applyProtection="1">
      <alignment vertical="center"/>
      <protection hidden="1"/>
    </xf>
    <xf numFmtId="0" fontId="7" fillId="48" borderId="0" xfId="0" applyFont="1" applyFill="1" applyAlignment="1" applyProtection="1">
      <alignment vertical="center"/>
      <protection hidden="1"/>
    </xf>
    <xf numFmtId="165" fontId="8" fillId="48" borderId="0" xfId="0" applyNumberFormat="1" applyFont="1" applyFill="1" applyBorder="1"/>
    <xf numFmtId="0" fontId="23" fillId="50" borderId="0" xfId="0" applyFont="1" applyFill="1" applyBorder="1" applyAlignment="1" applyProtection="1">
      <alignment vertical="center"/>
      <protection hidden="1"/>
    </xf>
    <xf numFmtId="0" fontId="23" fillId="50" borderId="0" xfId="0" applyFont="1" applyFill="1" applyBorder="1" applyAlignment="1" applyProtection="1">
      <alignment horizontal="right" vertical="center"/>
      <protection hidden="1"/>
    </xf>
    <xf numFmtId="165" fontId="23" fillId="50" borderId="0" xfId="0" applyNumberFormat="1" applyFont="1" applyFill="1" applyBorder="1" applyAlignment="1" applyProtection="1">
      <alignment horizontal="right" vertical="center"/>
      <protection hidden="1"/>
    </xf>
    <xf numFmtId="43" fontId="23" fillId="50" borderId="0" xfId="0" applyNumberFormat="1" applyFont="1" applyFill="1" applyBorder="1" applyAlignment="1" applyProtection="1">
      <alignment vertical="center"/>
      <protection hidden="1"/>
    </xf>
    <xf numFmtId="43" fontId="23" fillId="50" borderId="0" xfId="1" applyNumberFormat="1" applyFont="1" applyFill="1" applyBorder="1" applyAlignment="1" applyProtection="1">
      <alignment vertical="center"/>
      <protection hidden="1"/>
    </xf>
    <xf numFmtId="165" fontId="8" fillId="52" borderId="0" xfId="1" applyNumberFormat="1" applyFont="1" applyFill="1" applyAlignment="1" applyProtection="1">
      <alignment vertical="center"/>
      <protection hidden="1"/>
    </xf>
    <xf numFmtId="0" fontId="8" fillId="52" borderId="0" xfId="0" applyFont="1" applyFill="1" applyAlignment="1" applyProtection="1">
      <alignment vertical="center"/>
      <protection hidden="1"/>
    </xf>
    <xf numFmtId="0" fontId="8" fillId="52" borderId="0" xfId="0" applyFont="1" applyFill="1" applyBorder="1" applyAlignment="1" applyProtection="1">
      <alignment vertical="center"/>
      <protection hidden="1"/>
    </xf>
    <xf numFmtId="165" fontId="10" fillId="47" borderId="0" xfId="0" applyNumberFormat="1" applyFont="1" applyFill="1" applyBorder="1"/>
    <xf numFmtId="1" fontId="8" fillId="47" borderId="0" xfId="0" applyNumberFormat="1" applyFont="1" applyFill="1" applyBorder="1"/>
    <xf numFmtId="169" fontId="8" fillId="47" borderId="0" xfId="0" applyNumberFormat="1" applyFont="1" applyFill="1" applyBorder="1"/>
    <xf numFmtId="0" fontId="10" fillId="47" borderId="0" xfId="0" applyFont="1" applyFill="1" applyBorder="1" applyAlignment="1">
      <alignment horizontal="left"/>
    </xf>
    <xf numFmtId="165" fontId="8" fillId="47" borderId="0" xfId="0" applyNumberFormat="1" applyFont="1" applyFill="1" applyBorder="1"/>
    <xf numFmtId="43" fontId="34" fillId="47" borderId="0" xfId="1" applyFont="1" applyFill="1" applyBorder="1"/>
    <xf numFmtId="0" fontId="38" fillId="47" borderId="0" xfId="0" applyFont="1" applyFill="1" applyBorder="1" applyAlignment="1">
      <alignment horizontal="left"/>
    </xf>
    <xf numFmtId="171" fontId="8" fillId="47" borderId="0" xfId="0" applyNumberFormat="1" applyFont="1" applyFill="1" applyBorder="1"/>
    <xf numFmtId="0" fontId="38" fillId="47" borderId="0" xfId="0" applyFont="1" applyFill="1" applyBorder="1"/>
    <xf numFmtId="170" fontId="34" fillId="47" borderId="0" xfId="1" applyNumberFormat="1" applyFont="1" applyFill="1" applyBorder="1" applyAlignment="1">
      <alignment horizontal="right"/>
    </xf>
    <xf numFmtId="170" fontId="8" fillId="47" borderId="0" xfId="0" applyNumberFormat="1" applyFont="1" applyFill="1" applyBorder="1"/>
    <xf numFmtId="165" fontId="38" fillId="48" borderId="0" xfId="0" applyNumberFormat="1" applyFont="1" applyFill="1" applyBorder="1"/>
    <xf numFmtId="43" fontId="8" fillId="49" borderId="0" xfId="0" applyNumberFormat="1" applyFont="1" applyFill="1" applyAlignment="1" applyProtection="1">
      <alignment vertical="center"/>
      <protection hidden="1"/>
    </xf>
    <xf numFmtId="0" fontId="7" fillId="47" borderId="8" xfId="0" applyFont="1" applyFill="1" applyBorder="1" applyAlignment="1" applyProtection="1">
      <alignment horizontal="center" vertical="center"/>
      <protection hidden="1"/>
    </xf>
    <xf numFmtId="11" fontId="7" fillId="47" borderId="0" xfId="0" applyNumberFormat="1" applyFont="1" applyFill="1" applyBorder="1" applyAlignment="1" applyProtection="1">
      <alignment vertical="center"/>
      <protection hidden="1"/>
    </xf>
    <xf numFmtId="179" fontId="7" fillId="47" borderId="0" xfId="0" applyNumberFormat="1" applyFont="1" applyFill="1" applyAlignment="1" applyProtection="1">
      <alignment vertical="center"/>
      <protection hidden="1"/>
    </xf>
    <xf numFmtId="178" fontId="7" fillId="47" borderId="0" xfId="1" applyNumberFormat="1" applyFont="1" applyFill="1" applyAlignment="1" applyProtection="1">
      <alignment vertical="center"/>
      <protection hidden="1"/>
    </xf>
    <xf numFmtId="11" fontId="7" fillId="47" borderId="0" xfId="0" applyNumberFormat="1" applyFont="1" applyFill="1" applyAlignment="1" applyProtection="1">
      <alignment vertical="center"/>
      <protection hidden="1"/>
    </xf>
    <xf numFmtId="167" fontId="7" fillId="47" borderId="0" xfId="0" applyNumberFormat="1" applyFont="1" applyFill="1" applyAlignment="1" applyProtection="1">
      <alignment vertical="center"/>
      <protection hidden="1"/>
    </xf>
    <xf numFmtId="43" fontId="8" fillId="47" borderId="0" xfId="1" applyNumberFormat="1" applyFont="1" applyFill="1" applyBorder="1" applyAlignment="1">
      <alignment vertical="center"/>
    </xf>
    <xf numFmtId="0" fontId="7" fillId="47" borderId="9" xfId="0" applyFont="1" applyFill="1" applyBorder="1" applyAlignment="1">
      <alignment horizontal="right"/>
    </xf>
    <xf numFmtId="165" fontId="8" fillId="47" borderId="9" xfId="1" applyNumberFormat="1" applyFont="1" applyFill="1" applyBorder="1" applyAlignment="1">
      <alignment vertical="center"/>
    </xf>
    <xf numFmtId="43" fontId="8" fillId="47" borderId="9" xfId="1" applyFont="1" applyFill="1" applyBorder="1" applyAlignment="1">
      <alignment vertical="center"/>
    </xf>
    <xf numFmtId="165" fontId="7" fillId="47" borderId="0" xfId="0" applyNumberFormat="1" applyFont="1" applyFill="1" applyBorder="1" applyAlignment="1" applyProtection="1">
      <alignment vertical="center"/>
      <protection hidden="1"/>
    </xf>
    <xf numFmtId="0" fontId="7" fillId="47" borderId="17" xfId="0" applyFont="1" applyFill="1" applyBorder="1" applyAlignment="1" applyProtection="1">
      <alignment vertical="center"/>
      <protection hidden="1"/>
    </xf>
    <xf numFmtId="4" fontId="7" fillId="47" borderId="0" xfId="0" applyNumberFormat="1" applyFont="1" applyFill="1" applyAlignment="1" applyProtection="1">
      <alignment vertical="center"/>
      <protection hidden="1"/>
    </xf>
    <xf numFmtId="0" fontId="21" fillId="47" borderId="0" xfId="0" applyFont="1" applyFill="1" applyAlignment="1" applyProtection="1">
      <alignment vertical="center"/>
      <protection hidden="1"/>
    </xf>
    <xf numFmtId="2" fontId="8" fillId="47" borderId="0" xfId="0" applyNumberFormat="1" applyFont="1" applyFill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7" fillId="51" borderId="0" xfId="0" applyFont="1" applyFill="1" applyAlignment="1" applyProtection="1">
      <alignment vertical="center"/>
      <protection hidden="1"/>
    </xf>
    <xf numFmtId="0" fontId="7" fillId="51" borderId="16" xfId="0" applyFont="1" applyFill="1" applyBorder="1" applyAlignment="1" applyProtection="1">
      <alignment vertical="center"/>
      <protection hidden="1"/>
    </xf>
    <xf numFmtId="0" fontId="7" fillId="51" borderId="0" xfId="0" applyFont="1" applyFill="1" applyAlignment="1" applyProtection="1">
      <alignment horizontal="center" vertical="center"/>
      <protection hidden="1"/>
    </xf>
    <xf numFmtId="0" fontId="8" fillId="51" borderId="0" xfId="0" applyFont="1" applyFill="1" applyBorder="1" applyAlignment="1" applyProtection="1">
      <alignment horizontal="right" vertical="center"/>
      <protection hidden="1"/>
    </xf>
    <xf numFmtId="165" fontId="7" fillId="51" borderId="0" xfId="1" applyNumberFormat="1" applyFont="1" applyFill="1" applyAlignment="1" applyProtection="1">
      <alignment vertical="center"/>
      <protection hidden="1"/>
    </xf>
    <xf numFmtId="168" fontId="7" fillId="51" borderId="0" xfId="1" applyNumberFormat="1" applyFont="1" applyFill="1" applyBorder="1" applyAlignment="1" applyProtection="1">
      <alignment horizontal="right" vertical="center"/>
      <protection hidden="1"/>
    </xf>
    <xf numFmtId="165" fontId="7" fillId="51" borderId="9" xfId="1" applyNumberFormat="1" applyFont="1" applyFill="1" applyBorder="1" applyAlignment="1" applyProtection="1">
      <alignment vertical="center"/>
      <protection hidden="1"/>
    </xf>
    <xf numFmtId="0" fontId="7" fillId="48" borderId="17" xfId="0" applyFont="1" applyFill="1" applyBorder="1" applyAlignment="1" applyProtection="1">
      <alignment vertical="center"/>
      <protection hidden="1"/>
    </xf>
    <xf numFmtId="0" fontId="7" fillId="48" borderId="0" xfId="0" applyFont="1" applyFill="1" applyAlignment="1" applyProtection="1">
      <alignment vertical="center" wrapText="1"/>
      <protection hidden="1"/>
    </xf>
    <xf numFmtId="0" fontId="8" fillId="48" borderId="0" xfId="0" applyFont="1" applyFill="1" applyAlignment="1" applyProtection="1">
      <alignment horizontal="right" vertical="center"/>
      <protection hidden="1"/>
    </xf>
    <xf numFmtId="0" fontId="7" fillId="48" borderId="0" xfId="0" quotePrefix="1" applyFont="1" applyFill="1" applyAlignment="1" applyProtection="1">
      <alignment vertical="center"/>
      <protection hidden="1"/>
    </xf>
    <xf numFmtId="0" fontId="7" fillId="48" borderId="0" xfId="0" applyFont="1" applyFill="1" applyAlignment="1" applyProtection="1">
      <alignment horizontal="center" vertical="center"/>
      <protection hidden="1"/>
    </xf>
    <xf numFmtId="0" fontId="8" fillId="48" borderId="0" xfId="0" applyFont="1" applyFill="1" applyBorder="1" applyAlignment="1" applyProtection="1">
      <alignment horizontal="right" vertical="center"/>
      <protection hidden="1"/>
    </xf>
    <xf numFmtId="43" fontId="7" fillId="48" borderId="0" xfId="1" applyFont="1" applyFill="1" applyAlignment="1" applyProtection="1">
      <alignment vertical="center"/>
      <protection hidden="1"/>
    </xf>
    <xf numFmtId="43" fontId="7" fillId="48" borderId="0" xfId="0" applyNumberFormat="1" applyFont="1" applyFill="1" applyAlignment="1" applyProtection="1">
      <alignment vertical="center"/>
      <protection hidden="1"/>
    </xf>
    <xf numFmtId="2" fontId="7" fillId="48" borderId="0" xfId="0" applyNumberFormat="1" applyFont="1" applyFill="1" applyAlignment="1" applyProtection="1">
      <alignment vertical="center"/>
      <protection hidden="1"/>
    </xf>
    <xf numFmtId="165" fontId="7" fillId="48" borderId="0" xfId="0" applyNumberFormat="1" applyFont="1" applyFill="1" applyAlignment="1" applyProtection="1">
      <alignment vertical="center"/>
      <protection hidden="1"/>
    </xf>
    <xf numFmtId="165" fontId="7" fillId="48" borderId="0" xfId="1" applyNumberFormat="1" applyFont="1" applyFill="1" applyAlignment="1" applyProtection="1">
      <alignment vertical="center"/>
      <protection hidden="1"/>
    </xf>
    <xf numFmtId="0" fontId="15" fillId="51" borderId="16" xfId="0" applyFont="1" applyFill="1" applyBorder="1" applyAlignment="1" applyProtection="1">
      <alignment vertical="center"/>
      <protection hidden="1"/>
    </xf>
    <xf numFmtId="0" fontId="8" fillId="47" borderId="6" xfId="0" applyFont="1" applyFill="1" applyBorder="1" applyAlignment="1" applyProtection="1">
      <alignment horizontal="left" vertical="center"/>
      <protection hidden="1"/>
    </xf>
    <xf numFmtId="0" fontId="8" fillId="47" borderId="8" xfId="0" applyFont="1" applyFill="1" applyBorder="1" applyAlignment="1" applyProtection="1">
      <alignment horizontal="center" vertical="center" wrapText="1"/>
      <protection hidden="1"/>
    </xf>
    <xf numFmtId="0" fontId="8" fillId="47" borderId="2" xfId="0" applyFont="1" applyFill="1" applyBorder="1" applyAlignment="1" applyProtection="1">
      <alignment horizontal="center" vertical="center" wrapText="1"/>
      <protection hidden="1"/>
    </xf>
    <xf numFmtId="0" fontId="8" fillId="47" borderId="12" xfId="0" applyFont="1" applyFill="1" applyBorder="1" applyAlignment="1" applyProtection="1">
      <alignment vertical="center"/>
      <protection hidden="1"/>
    </xf>
    <xf numFmtId="0" fontId="8" fillId="47" borderId="16" xfId="0" applyFont="1" applyFill="1" applyBorder="1" applyAlignment="1" applyProtection="1">
      <alignment vertical="center"/>
      <protection hidden="1"/>
    </xf>
    <xf numFmtId="168" fontId="8" fillId="47" borderId="0" xfId="1" applyNumberFormat="1" applyFont="1" applyFill="1" applyBorder="1" applyAlignment="1" applyProtection="1">
      <alignment vertical="center"/>
      <protection hidden="1"/>
    </xf>
    <xf numFmtId="168" fontId="10" fillId="47" borderId="9" xfId="1" applyNumberFormat="1" applyFont="1" applyFill="1" applyBorder="1" applyAlignment="1" applyProtection="1">
      <alignment vertical="center"/>
      <protection hidden="1"/>
    </xf>
    <xf numFmtId="168" fontId="15" fillId="47" borderId="9" xfId="1" applyNumberFormat="1" applyFont="1" applyFill="1" applyBorder="1" applyAlignment="1" applyProtection="1">
      <alignment vertical="center"/>
      <protection hidden="1"/>
    </xf>
    <xf numFmtId="168" fontId="8" fillId="47" borderId="9" xfId="1" applyNumberFormat="1" applyFont="1" applyFill="1" applyBorder="1" applyAlignment="1" applyProtection="1">
      <alignment vertical="center"/>
      <protection hidden="1"/>
    </xf>
    <xf numFmtId="168" fontId="7" fillId="47" borderId="9" xfId="1" applyNumberFormat="1" applyFont="1" applyFill="1" applyBorder="1" applyAlignment="1" applyProtection="1">
      <alignment vertical="center"/>
      <protection hidden="1"/>
    </xf>
    <xf numFmtId="0" fontId="7" fillId="47" borderId="16" xfId="0" applyFont="1" applyFill="1" applyBorder="1" applyAlignment="1" applyProtection="1">
      <alignment vertical="center"/>
      <protection hidden="1"/>
    </xf>
    <xf numFmtId="165" fontId="8" fillId="47" borderId="0" xfId="1" applyNumberFormat="1" applyFont="1" applyFill="1" applyAlignment="1" applyProtection="1">
      <alignment horizontal="right" vertical="center"/>
      <protection hidden="1"/>
    </xf>
    <xf numFmtId="165" fontId="7" fillId="47" borderId="9" xfId="1" applyNumberFormat="1" applyFont="1" applyFill="1" applyBorder="1" applyAlignment="1" applyProtection="1">
      <alignment vertical="center"/>
      <protection hidden="1"/>
    </xf>
    <xf numFmtId="165" fontId="7" fillId="47" borderId="9" xfId="0" applyNumberFormat="1" applyFont="1" applyFill="1" applyBorder="1" applyAlignment="1" applyProtection="1">
      <alignment vertical="center"/>
      <protection hidden="1"/>
    </xf>
    <xf numFmtId="43" fontId="7" fillId="47" borderId="0" xfId="0" applyNumberFormat="1" applyFont="1" applyFill="1" applyBorder="1" applyAlignment="1" applyProtection="1">
      <alignment vertical="center"/>
      <protection hidden="1"/>
    </xf>
    <xf numFmtId="0" fontId="27" fillId="47" borderId="0" xfId="0" applyFont="1" applyFill="1" applyAlignment="1" applyProtection="1">
      <alignment vertical="center"/>
      <protection hidden="1"/>
    </xf>
    <xf numFmtId="0" fontId="7" fillId="47" borderId="5" xfId="0" applyFont="1" applyFill="1" applyBorder="1" applyAlignment="1" applyProtection="1">
      <alignment horizontal="right" vertical="center"/>
      <protection hidden="1"/>
    </xf>
    <xf numFmtId="165" fontId="8" fillId="47" borderId="14" xfId="1" applyNumberFormat="1" applyFont="1" applyFill="1" applyBorder="1" applyAlignment="1" applyProtection="1">
      <alignment vertical="center"/>
      <protection hidden="1"/>
    </xf>
    <xf numFmtId="0" fontId="7" fillId="47" borderId="3" xfId="0" applyFont="1" applyFill="1" applyBorder="1" applyAlignment="1" applyProtection="1">
      <alignment horizontal="right" vertical="center"/>
      <protection hidden="1"/>
    </xf>
    <xf numFmtId="0" fontId="8" fillId="47" borderId="10" xfId="0" applyFont="1" applyFill="1" applyBorder="1" applyAlignment="1" applyProtection="1">
      <alignment horizontal="right" vertical="center"/>
      <protection hidden="1"/>
    </xf>
    <xf numFmtId="0" fontId="7" fillId="47" borderId="11" xfId="0" applyFont="1" applyFill="1" applyBorder="1" applyAlignment="1" applyProtection="1">
      <alignment vertical="center"/>
      <protection hidden="1"/>
    </xf>
    <xf numFmtId="0" fontId="7" fillId="47" borderId="10" xfId="0" applyFont="1" applyFill="1" applyBorder="1" applyAlignment="1" applyProtection="1">
      <alignment vertical="center"/>
      <protection hidden="1"/>
    </xf>
    <xf numFmtId="165" fontId="8" fillId="47" borderId="10" xfId="1" applyNumberFormat="1" applyFont="1" applyFill="1" applyBorder="1" applyAlignment="1" applyProtection="1">
      <alignment vertical="center"/>
      <protection hidden="1"/>
    </xf>
    <xf numFmtId="0" fontId="7" fillId="47" borderId="11" xfId="0" applyFont="1" applyFill="1" applyBorder="1" applyAlignment="1" applyProtection="1">
      <alignment horizontal="right" vertical="center"/>
      <protection hidden="1"/>
    </xf>
    <xf numFmtId="0" fontId="7" fillId="47" borderId="10" xfId="0" applyFont="1" applyFill="1" applyBorder="1" applyAlignment="1" applyProtection="1">
      <alignment horizontal="center" vertical="center"/>
      <protection hidden="1"/>
    </xf>
    <xf numFmtId="0" fontId="7" fillId="47" borderId="4" xfId="0" applyFont="1" applyFill="1" applyBorder="1" applyAlignment="1" applyProtection="1">
      <alignment horizontal="right" vertical="center"/>
      <protection hidden="1"/>
    </xf>
    <xf numFmtId="165" fontId="8" fillId="47" borderId="12" xfId="1" applyNumberFormat="1" applyFont="1" applyFill="1" applyBorder="1" applyAlignment="1" applyProtection="1">
      <alignment vertical="center"/>
      <protection hidden="1"/>
    </xf>
    <xf numFmtId="0" fontId="7" fillId="47" borderId="13" xfId="0" applyFont="1" applyFill="1" applyBorder="1" applyAlignment="1" applyProtection="1">
      <alignment horizontal="right" vertical="center"/>
      <protection hidden="1"/>
    </xf>
    <xf numFmtId="0" fontId="7" fillId="47" borderId="12" xfId="0" applyFont="1" applyFill="1" applyBorder="1" applyAlignment="1" applyProtection="1">
      <alignment horizontal="center" vertical="center"/>
      <protection hidden="1"/>
    </xf>
    <xf numFmtId="0" fontId="7" fillId="47" borderId="15" xfId="0" applyFont="1" applyFill="1" applyBorder="1" applyAlignment="1" applyProtection="1">
      <alignment horizontal="right" vertical="center"/>
      <protection hidden="1"/>
    </xf>
    <xf numFmtId="0" fontId="7" fillId="47" borderId="14" xfId="0" applyFont="1" applyFill="1" applyBorder="1" applyAlignment="1" applyProtection="1">
      <alignment horizontal="center" vertical="center"/>
      <protection hidden="1"/>
    </xf>
    <xf numFmtId="0" fontId="7" fillId="47" borderId="6" xfId="0" applyFont="1" applyFill="1" applyBorder="1" applyAlignment="1" applyProtection="1">
      <alignment horizontal="right" vertical="center"/>
      <protection hidden="1"/>
    </xf>
    <xf numFmtId="0" fontId="8" fillId="47" borderId="0" xfId="0" applyFont="1" applyFill="1" applyBorder="1" applyAlignment="1">
      <alignment horizontal="center" wrapText="1"/>
    </xf>
    <xf numFmtId="165" fontId="8" fillId="47" borderId="0" xfId="1" applyNumberFormat="1" applyFont="1" applyFill="1" applyBorder="1" applyAlignment="1">
      <alignment vertical="center"/>
    </xf>
    <xf numFmtId="43" fontId="7" fillId="47" borderId="0" xfId="1" applyNumberFormat="1" applyFont="1" applyFill="1" applyAlignment="1" applyProtection="1">
      <alignment vertical="center"/>
      <protection hidden="1"/>
    </xf>
    <xf numFmtId="43" fontId="7" fillId="47" borderId="9" xfId="0" applyNumberFormat="1" applyFont="1" applyFill="1" applyBorder="1" applyAlignment="1" applyProtection="1">
      <alignment vertical="center"/>
      <protection hidden="1"/>
    </xf>
    <xf numFmtId="2" fontId="7" fillId="8" borderId="0" xfId="0" applyNumberFormat="1" applyFont="1" applyFill="1" applyAlignment="1" applyProtection="1">
      <alignment vertical="center"/>
      <protection hidden="1"/>
    </xf>
    <xf numFmtId="170" fontId="7" fillId="8" borderId="0" xfId="1" applyNumberFormat="1" applyFont="1" applyFill="1" applyBorder="1" applyAlignment="1" applyProtection="1">
      <alignment vertical="center"/>
      <protection hidden="1"/>
    </xf>
    <xf numFmtId="170" fontId="7" fillId="8" borderId="0" xfId="1" applyNumberFormat="1" applyFont="1" applyFill="1" applyBorder="1" applyAlignment="1" applyProtection="1">
      <alignment horizontal="right" vertical="center"/>
      <protection hidden="1"/>
    </xf>
    <xf numFmtId="170" fontId="8" fillId="0" borderId="2" xfId="1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/>
    </xf>
    <xf numFmtId="0" fontId="25" fillId="0" borderId="41" xfId="0" applyFont="1" applyFill="1" applyBorder="1" applyAlignment="1">
      <alignment horizontal="left" vertical="center" wrapText="1"/>
    </xf>
    <xf numFmtId="0" fontId="25" fillId="0" borderId="43" xfId="0" applyFont="1" applyFill="1" applyBorder="1" applyAlignment="1">
      <alignment horizontal="left" vertical="center" wrapText="1"/>
    </xf>
    <xf numFmtId="0" fontId="8" fillId="0" borderId="31" xfId="0" applyFont="1" applyFill="1" applyBorder="1" applyAlignment="1">
      <alignment horizontal="left" vertical="center"/>
    </xf>
    <xf numFmtId="166" fontId="8" fillId="4" borderId="46" xfId="1" applyNumberFormat="1" applyFont="1" applyFill="1" applyBorder="1" applyAlignment="1" applyProtection="1">
      <alignment horizontal="center" vertical="center"/>
      <protection locked="0"/>
    </xf>
    <xf numFmtId="166" fontId="8" fillId="4" borderId="54" xfId="1" applyNumberFormat="1" applyFont="1" applyFill="1" applyBorder="1" applyAlignment="1" applyProtection="1">
      <alignment horizontal="center" vertical="center"/>
      <protection locked="0"/>
    </xf>
    <xf numFmtId="0" fontId="8" fillId="0" borderId="31" xfId="0" applyFont="1" applyFill="1" applyBorder="1" applyAlignment="1">
      <alignment vertical="center"/>
    </xf>
    <xf numFmtId="180" fontId="0" fillId="0" borderId="0" xfId="0" applyNumberFormat="1"/>
    <xf numFmtId="0" fontId="0" fillId="0" borderId="43" xfId="0" applyFont="1" applyFill="1" applyBorder="1" applyAlignment="1">
      <alignment vertical="center"/>
    </xf>
    <xf numFmtId="0" fontId="8" fillId="0" borderId="40" xfId="0" applyFont="1" applyFill="1" applyBorder="1" applyAlignment="1">
      <alignment vertical="center"/>
    </xf>
    <xf numFmtId="0" fontId="8" fillId="0" borderId="60" xfId="0" applyFont="1" applyFill="1" applyBorder="1" applyAlignment="1">
      <alignment vertical="center"/>
    </xf>
    <xf numFmtId="165" fontId="8" fillId="0" borderId="48" xfId="0" applyNumberFormat="1" applyFont="1" applyBorder="1"/>
    <xf numFmtId="0" fontId="0" fillId="0" borderId="70" xfId="0" applyFont="1" applyFill="1" applyBorder="1" applyAlignment="1">
      <alignment vertical="center"/>
    </xf>
    <xf numFmtId="166" fontId="25" fillId="4" borderId="5" xfId="0" applyNumberFormat="1" applyFont="1" applyFill="1" applyBorder="1" applyAlignment="1">
      <alignment horizontal="center" vertical="center"/>
    </xf>
    <xf numFmtId="166" fontId="25" fillId="4" borderId="26" xfId="0" applyNumberFormat="1" applyFont="1" applyFill="1" applyBorder="1" applyAlignment="1">
      <alignment horizontal="center" vertical="center"/>
    </xf>
    <xf numFmtId="166" fontId="25" fillId="4" borderId="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vertical="center"/>
    </xf>
    <xf numFmtId="0" fontId="8" fillId="4" borderId="26" xfId="0" applyFont="1" applyFill="1" applyBorder="1" applyAlignment="1" applyProtection="1">
      <alignment horizontal="center" vertical="center"/>
      <protection locked="0"/>
    </xf>
    <xf numFmtId="0" fontId="15" fillId="0" borderId="58" xfId="0" applyFont="1" applyFill="1" applyBorder="1" applyAlignment="1">
      <alignment vertical="center"/>
    </xf>
    <xf numFmtId="0" fontId="8" fillId="0" borderId="50" xfId="0" applyFont="1" applyBorder="1" applyAlignment="1" applyProtection="1">
      <alignment horizontal="center" vertical="center" wrapText="1"/>
      <protection hidden="1"/>
    </xf>
    <xf numFmtId="0" fontId="8" fillId="0" borderId="48" xfId="0" applyFont="1" applyBorder="1" applyAlignment="1" applyProtection="1">
      <alignment horizontal="center" vertical="center" wrapText="1"/>
      <protection hidden="1"/>
    </xf>
    <xf numFmtId="0" fontId="8" fillId="0" borderId="47" xfId="0" applyFont="1" applyFill="1" applyBorder="1" applyAlignment="1">
      <alignment horizontal="right" vertical="center"/>
    </xf>
    <xf numFmtId="0" fontId="8" fillId="0" borderId="51" xfId="0" applyFont="1" applyBorder="1" applyAlignment="1" applyProtection="1">
      <alignment horizontal="center" vertical="center"/>
      <protection hidden="1"/>
    </xf>
    <xf numFmtId="0" fontId="8" fillId="0" borderId="34" xfId="0" applyFont="1" applyFill="1" applyBorder="1" applyAlignment="1">
      <alignment horizontal="right" vertical="center"/>
    </xf>
    <xf numFmtId="0" fontId="8" fillId="0" borderId="35" xfId="0" applyFont="1" applyBorder="1" applyAlignment="1" applyProtection="1">
      <alignment horizontal="center" vertical="center"/>
      <protection hidden="1"/>
    </xf>
    <xf numFmtId="0" fontId="8" fillId="0" borderId="35" xfId="0" applyFont="1" applyFill="1" applyBorder="1" applyAlignment="1">
      <alignment horizontal="center" vertical="center"/>
    </xf>
    <xf numFmtId="0" fontId="8" fillId="0" borderId="60" xfId="0" applyFont="1" applyBorder="1" applyAlignment="1" applyProtection="1">
      <alignment horizontal="center" vertical="center"/>
      <protection hidden="1"/>
    </xf>
    <xf numFmtId="0" fontId="0" fillId="0" borderId="52" xfId="0" applyBorder="1"/>
    <xf numFmtId="165" fontId="8" fillId="0" borderId="50" xfId="0" applyNumberFormat="1" applyFont="1" applyFill="1" applyBorder="1" applyAlignment="1">
      <alignment vertical="center"/>
    </xf>
    <xf numFmtId="0" fontId="0" fillId="0" borderId="41" xfId="0" applyBorder="1"/>
    <xf numFmtId="0" fontId="15" fillId="3" borderId="31" xfId="0" applyFont="1" applyFill="1" applyBorder="1" applyAlignment="1">
      <alignment vertical="center"/>
    </xf>
    <xf numFmtId="0" fontId="15" fillId="3" borderId="62" xfId="0" applyFont="1" applyFill="1" applyBorder="1" applyAlignment="1">
      <alignment horizontal="center" vertical="center"/>
    </xf>
    <xf numFmtId="0" fontId="15" fillId="3" borderId="33" xfId="0" applyFont="1" applyFill="1" applyBorder="1" applyAlignment="1">
      <alignment horizontal="center" vertical="center"/>
    </xf>
    <xf numFmtId="0" fontId="15" fillId="3" borderId="63" xfId="0" applyFont="1" applyFill="1" applyBorder="1" applyAlignment="1">
      <alignment vertical="center"/>
    </xf>
    <xf numFmtId="0" fontId="15" fillId="3" borderId="32" xfId="0" applyFont="1" applyFill="1" applyBorder="1" applyAlignment="1">
      <alignment horizontal="center" vertical="center"/>
    </xf>
    <xf numFmtId="0" fontId="15" fillId="3" borderId="64" xfId="0" applyFont="1" applyFill="1" applyBorder="1" applyAlignment="1">
      <alignment horizontal="center" vertical="center"/>
    </xf>
    <xf numFmtId="0" fontId="15" fillId="3" borderId="49" xfId="0" applyFont="1" applyFill="1" applyBorder="1" applyAlignment="1">
      <alignment vertical="center"/>
    </xf>
    <xf numFmtId="0" fontId="15" fillId="3" borderId="49" xfId="0" applyFont="1" applyFill="1" applyBorder="1" applyAlignment="1">
      <alignment horizontal="center" vertical="center"/>
    </xf>
    <xf numFmtId="0" fontId="72" fillId="0" borderId="52" xfId="0" applyFont="1" applyFill="1" applyBorder="1" applyAlignment="1">
      <alignment horizontal="left" vertical="center"/>
    </xf>
    <xf numFmtId="0" fontId="72" fillId="0" borderId="41" xfId="0" applyFont="1" applyFill="1" applyBorder="1" applyAlignment="1">
      <alignment horizontal="left" vertical="center"/>
    </xf>
    <xf numFmtId="0" fontId="9" fillId="6" borderId="49" xfId="0" applyFont="1" applyFill="1" applyBorder="1" applyAlignment="1">
      <alignment vertical="center"/>
    </xf>
    <xf numFmtId="1" fontId="0" fillId="4" borderId="48" xfId="0" applyNumberFormat="1" applyFont="1" applyFill="1" applyBorder="1" applyAlignment="1">
      <alignment horizontal="center"/>
    </xf>
    <xf numFmtId="1" fontId="0" fillId="4" borderId="42" xfId="0" applyNumberFormat="1" applyFont="1" applyFill="1" applyBorder="1" applyAlignment="1">
      <alignment horizontal="center"/>
    </xf>
    <xf numFmtId="166" fontId="0" fillId="4" borderId="44" xfId="0" applyNumberFormat="1" applyFont="1" applyFill="1" applyBorder="1" applyAlignment="1">
      <alignment horizontal="center"/>
    </xf>
    <xf numFmtId="0" fontId="0" fillId="7" borderId="17" xfId="0" applyFont="1" applyFill="1" applyBorder="1" applyAlignment="1">
      <alignment vertical="center"/>
    </xf>
    <xf numFmtId="0" fontId="0" fillId="7" borderId="0" xfId="0" applyFont="1" applyFill="1" applyBorder="1" applyAlignment="1">
      <alignment vertical="center"/>
    </xf>
    <xf numFmtId="0" fontId="0" fillId="7" borderId="35" xfId="0" applyFont="1" applyFill="1" applyBorder="1" applyAlignment="1">
      <alignment vertical="center"/>
    </xf>
    <xf numFmtId="0" fontId="0" fillId="7" borderId="61" xfId="0" applyFont="1" applyFill="1" applyBorder="1" applyAlignment="1">
      <alignment vertical="center"/>
    </xf>
    <xf numFmtId="43" fontId="8" fillId="0" borderId="71" xfId="0" applyNumberFormat="1" applyFont="1" applyFill="1" applyBorder="1" applyAlignment="1">
      <alignment vertical="center"/>
    </xf>
    <xf numFmtId="0" fontId="15" fillId="3" borderId="32" xfId="0" applyFont="1" applyFill="1" applyBorder="1" applyAlignment="1">
      <alignment vertical="center"/>
    </xf>
    <xf numFmtId="0" fontId="15" fillId="3" borderId="33" xfId="0" applyFont="1" applyFill="1" applyBorder="1" applyAlignment="1">
      <alignment vertical="center"/>
    </xf>
    <xf numFmtId="0" fontId="9" fillId="6" borderId="48" xfId="0" applyFont="1" applyFill="1" applyBorder="1" applyAlignment="1" applyProtection="1">
      <alignment vertical="center"/>
      <protection locked="0"/>
    </xf>
    <xf numFmtId="0" fontId="8" fillId="45" borderId="42" xfId="0" applyNumberFormat="1" applyFont="1" applyFill="1" applyBorder="1" applyAlignment="1" applyProtection="1">
      <alignment horizontal="center" vertical="center"/>
      <protection locked="0"/>
    </xf>
    <xf numFmtId="1" fontId="8" fillId="45" borderId="42" xfId="1" applyNumberFormat="1" applyFont="1" applyFill="1" applyBorder="1" applyAlignment="1" applyProtection="1">
      <alignment horizontal="center" vertical="center"/>
      <protection locked="0"/>
    </xf>
    <xf numFmtId="166" fontId="8" fillId="45" borderId="42" xfId="1" applyNumberFormat="1" applyFont="1" applyFill="1" applyBorder="1" applyAlignment="1" applyProtection="1">
      <alignment horizontal="center" vertical="center"/>
      <protection locked="0"/>
    </xf>
    <xf numFmtId="1" fontId="8" fillId="45" borderId="44" xfId="1" applyNumberFormat="1" applyFont="1" applyFill="1" applyBorder="1" applyAlignment="1" applyProtection="1">
      <alignment horizontal="center" vertical="center"/>
      <protection locked="0"/>
    </xf>
    <xf numFmtId="0" fontId="5" fillId="7" borderId="47" xfId="0" applyFont="1" applyFill="1" applyBorder="1" applyAlignment="1">
      <alignment vertical="center"/>
    </xf>
    <xf numFmtId="0" fontId="5" fillId="7" borderId="29" xfId="0" applyFont="1" applyFill="1" applyBorder="1" applyAlignment="1" applyProtection="1">
      <alignment vertical="center"/>
      <protection locked="0"/>
    </xf>
    <xf numFmtId="0" fontId="10" fillId="7" borderId="34" xfId="0" applyFont="1" applyFill="1" applyBorder="1" applyAlignment="1">
      <alignment vertical="center"/>
    </xf>
    <xf numFmtId="0" fontId="10" fillId="7" borderId="57" xfId="0" applyFont="1" applyFill="1" applyBorder="1" applyAlignment="1">
      <alignment vertical="center"/>
    </xf>
    <xf numFmtId="0" fontId="10" fillId="7" borderId="56" xfId="0" applyFont="1" applyFill="1" applyBorder="1" applyAlignment="1">
      <alignment vertical="center"/>
    </xf>
    <xf numFmtId="0" fontId="10" fillId="7" borderId="29" xfId="0" applyFont="1" applyFill="1" applyBorder="1" applyAlignment="1">
      <alignment vertical="center"/>
    </xf>
    <xf numFmtId="0" fontId="8" fillId="0" borderId="4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vertical="center"/>
    </xf>
    <xf numFmtId="0" fontId="8" fillId="0" borderId="26" xfId="0" applyFont="1" applyFill="1" applyBorder="1" applyAlignment="1">
      <alignment horizontal="center" vertical="center"/>
    </xf>
    <xf numFmtId="16" fontId="8" fillId="0" borderId="26" xfId="0" quotePrefix="1" applyNumberFormat="1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0" fontId="10" fillId="7" borderId="31" xfId="0" applyFont="1" applyFill="1" applyBorder="1" applyAlignment="1">
      <alignment vertical="center"/>
    </xf>
    <xf numFmtId="0" fontId="10" fillId="7" borderId="49" xfId="0" applyFont="1" applyFill="1" applyBorder="1" applyAlignment="1">
      <alignment vertical="center"/>
    </xf>
    <xf numFmtId="0" fontId="8" fillId="0" borderId="45" xfId="0" applyFont="1" applyBorder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8" fillId="0" borderId="69" xfId="0" applyFont="1" applyFill="1" applyBorder="1" applyAlignment="1">
      <alignment horizontal="center" vertical="center"/>
    </xf>
    <xf numFmtId="0" fontId="8" fillId="0" borderId="73" xfId="0" applyFont="1" applyFill="1" applyBorder="1" applyAlignment="1">
      <alignment horizontal="center" vertical="center"/>
    </xf>
    <xf numFmtId="0" fontId="6" fillId="0" borderId="57" xfId="0" applyFont="1" applyFill="1" applyBorder="1" applyAlignment="1">
      <alignment vertical="center"/>
    </xf>
    <xf numFmtId="0" fontId="6" fillId="0" borderId="58" xfId="0" applyFont="1" applyFill="1" applyBorder="1" applyAlignment="1">
      <alignment vertical="center"/>
    </xf>
    <xf numFmtId="0" fontId="70" fillId="0" borderId="58" xfId="0" applyFont="1" applyFill="1" applyBorder="1" applyAlignment="1">
      <alignment vertical="center"/>
    </xf>
    <xf numFmtId="0" fontId="6" fillId="0" borderId="58" xfId="0" applyFont="1" applyFill="1" applyBorder="1" applyAlignment="1">
      <alignment horizontal="left" vertical="center"/>
    </xf>
    <xf numFmtId="0" fontId="6" fillId="0" borderId="59" xfId="0" applyFont="1" applyFill="1" applyBorder="1" applyAlignment="1">
      <alignment vertical="center"/>
    </xf>
    <xf numFmtId="0" fontId="73" fillId="0" borderId="0" xfId="0" applyFont="1" applyAlignment="1">
      <alignment horizontal="right" vertical="center"/>
    </xf>
    <xf numFmtId="0" fontId="6" fillId="8" borderId="0" xfId="0" applyFont="1" applyFill="1" applyAlignment="1">
      <alignment horizontal="center" vertical="center"/>
    </xf>
    <xf numFmtId="165" fontId="8" fillId="45" borderId="58" xfId="1" applyNumberFormat="1" applyFont="1" applyFill="1" applyBorder="1" applyAlignment="1" applyProtection="1">
      <alignment horizontal="center" vertical="center"/>
      <protection locked="0"/>
    </xf>
    <xf numFmtId="165" fontId="8" fillId="45" borderId="59" xfId="1" applyNumberFormat="1" applyFont="1" applyFill="1" applyBorder="1" applyAlignment="1" applyProtection="1">
      <alignment horizontal="center" vertical="center"/>
      <protection locked="0"/>
    </xf>
    <xf numFmtId="0" fontId="9" fillId="6" borderId="33" xfId="0" applyFont="1" applyFill="1" applyBorder="1" applyAlignment="1" applyProtection="1">
      <alignment vertical="center"/>
      <protection locked="0"/>
    </xf>
    <xf numFmtId="165" fontId="8" fillId="45" borderId="45" xfId="1" applyNumberFormat="1" applyFont="1" applyFill="1" applyBorder="1" applyAlignment="1" applyProtection="1">
      <alignment horizontal="left" vertical="center"/>
      <protection locked="0"/>
    </xf>
    <xf numFmtId="0" fontId="8" fillId="0" borderId="74" xfId="0" applyFont="1" applyFill="1" applyBorder="1" applyAlignment="1">
      <alignment horizontal="center" vertical="center"/>
    </xf>
    <xf numFmtId="0" fontId="8" fillId="0" borderId="66" xfId="0" applyFont="1" applyFill="1" applyBorder="1" applyAlignment="1">
      <alignment horizontal="center" vertical="center"/>
    </xf>
    <xf numFmtId="0" fontId="8" fillId="0" borderId="6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8" xfId="0" applyFont="1" applyFill="1" applyBorder="1" applyAlignment="1">
      <alignment horizontal="center" vertical="center"/>
    </xf>
    <xf numFmtId="0" fontId="8" fillId="0" borderId="67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16" fontId="8" fillId="0" borderId="3" xfId="0" quotePrefix="1" applyNumberFormat="1" applyFont="1" applyFill="1" applyBorder="1" applyAlignment="1">
      <alignment horizontal="center" vertical="center"/>
    </xf>
    <xf numFmtId="16" fontId="8" fillId="0" borderId="4" xfId="0" quotePrefix="1" applyNumberFormat="1" applyFont="1" applyFill="1" applyBorder="1" applyAlignment="1">
      <alignment horizontal="center" vertical="center"/>
    </xf>
    <xf numFmtId="16" fontId="8" fillId="0" borderId="5" xfId="0" quotePrefix="1" applyNumberFormat="1" applyFont="1" applyFill="1" applyBorder="1" applyAlignment="1">
      <alignment horizontal="center" vertical="center"/>
    </xf>
    <xf numFmtId="166" fontId="0" fillId="4" borderId="13" xfId="0" applyNumberFormat="1" applyFont="1" applyFill="1" applyBorder="1" applyAlignment="1">
      <alignment horizontal="center"/>
    </xf>
    <xf numFmtId="0" fontId="0" fillId="0" borderId="34" xfId="0" applyFont="1" applyFill="1" applyBorder="1" applyAlignment="1">
      <alignment horizontal="center" vertical="center"/>
    </xf>
    <xf numFmtId="165" fontId="0" fillId="0" borderId="4" xfId="1" applyNumberFormat="1" applyFont="1" applyFill="1" applyBorder="1" applyAlignment="1" applyProtection="1">
      <alignment horizontal="center" vertical="center"/>
      <protection locked="0"/>
    </xf>
    <xf numFmtId="165" fontId="0" fillId="0" borderId="35" xfId="1" applyNumberFormat="1" applyFont="1" applyFill="1" applyBorder="1" applyAlignment="1" applyProtection="1">
      <alignment horizontal="center" vertical="center"/>
      <protection locked="0"/>
    </xf>
    <xf numFmtId="0" fontId="0" fillId="0" borderId="68" xfId="0" applyFont="1" applyFill="1" applyBorder="1" applyAlignment="1">
      <alignment vertical="center"/>
    </xf>
    <xf numFmtId="0" fontId="0" fillId="47" borderId="34" xfId="0" applyFont="1" applyFill="1" applyBorder="1" applyAlignment="1">
      <alignment horizontal="center" vertical="center" wrapText="1"/>
    </xf>
    <xf numFmtId="43" fontId="0" fillId="47" borderId="4" xfId="1" applyNumberFormat="1" applyFont="1" applyFill="1" applyBorder="1" applyAlignment="1" applyProtection="1">
      <alignment horizontal="center" vertical="center"/>
      <protection locked="0"/>
    </xf>
    <xf numFmtId="43" fontId="0" fillId="47" borderId="35" xfId="1" applyNumberFormat="1" applyFont="1" applyFill="1" applyBorder="1" applyAlignment="1" applyProtection="1">
      <alignment horizontal="center" vertical="center"/>
      <protection locked="0"/>
    </xf>
    <xf numFmtId="43" fontId="0" fillId="47" borderId="67" xfId="1" applyNumberFormat="1" applyFont="1" applyFill="1" applyBorder="1" applyAlignment="1" applyProtection="1">
      <alignment horizontal="center" vertical="center"/>
      <protection locked="0"/>
    </xf>
    <xf numFmtId="0" fontId="0" fillId="0" borderId="34" xfId="0" applyFont="1" applyFill="1" applyBorder="1" applyAlignment="1">
      <alignment horizontal="center" vertical="center" wrapText="1"/>
    </xf>
    <xf numFmtId="43" fontId="0" fillId="0" borderId="4" xfId="1" applyNumberFormat="1" applyFont="1" applyFill="1" applyBorder="1" applyAlignment="1" applyProtection="1">
      <alignment horizontal="center" vertical="center"/>
      <protection locked="0"/>
    </xf>
    <xf numFmtId="43" fontId="0" fillId="0" borderId="35" xfId="1" applyNumberFormat="1" applyFont="1" applyFill="1" applyBorder="1" applyAlignment="1" applyProtection="1">
      <alignment horizontal="center" vertical="center"/>
      <protection locked="0"/>
    </xf>
    <xf numFmtId="43" fontId="0" fillId="0" borderId="67" xfId="1" applyNumberFormat="1" applyFont="1" applyFill="1" applyBorder="1" applyAlignment="1" applyProtection="1">
      <alignment horizontal="center" vertical="center"/>
      <protection locked="0"/>
    </xf>
    <xf numFmtId="0" fontId="0" fillId="47" borderId="36" xfId="0" applyFont="1" applyFill="1" applyBorder="1" applyAlignment="1">
      <alignment horizontal="center" vertical="center"/>
    </xf>
    <xf numFmtId="0" fontId="0" fillId="47" borderId="69" xfId="0" applyFont="1" applyFill="1" applyBorder="1" applyAlignment="1">
      <alignment vertical="center"/>
    </xf>
    <xf numFmtId="0" fontId="0" fillId="47" borderId="61" xfId="0" applyFont="1" applyFill="1" applyBorder="1" applyAlignment="1">
      <alignment vertical="center"/>
    </xf>
    <xf numFmtId="43" fontId="72" fillId="47" borderId="73" xfId="1" applyNumberFormat="1" applyFont="1" applyFill="1" applyBorder="1" applyAlignment="1" applyProtection="1">
      <alignment horizontal="center" vertical="center"/>
      <protection locked="0"/>
    </xf>
    <xf numFmtId="0" fontId="0" fillId="0" borderId="66" xfId="0" applyFont="1" applyFill="1" applyBorder="1" applyAlignment="1">
      <alignment horizontal="center" vertical="center"/>
    </xf>
    <xf numFmtId="165" fontId="0" fillId="0" borderId="4" xfId="1" applyNumberFormat="1" applyFont="1" applyFill="1" applyBorder="1" applyAlignment="1" applyProtection="1">
      <alignment horizontal="left" vertical="center"/>
      <protection locked="0"/>
    </xf>
    <xf numFmtId="165" fontId="0" fillId="0" borderId="0" xfId="1" applyNumberFormat="1" applyFont="1" applyFill="1" applyBorder="1" applyAlignment="1" applyProtection="1">
      <alignment horizontal="left" vertical="center"/>
      <protection locked="0"/>
    </xf>
    <xf numFmtId="165" fontId="0" fillId="0" borderId="67" xfId="1" applyNumberFormat="1" applyFont="1" applyFill="1" applyBorder="1" applyAlignment="1" applyProtection="1">
      <alignment horizontal="left" vertical="center"/>
      <protection locked="0"/>
    </xf>
    <xf numFmtId="0" fontId="0" fillId="47" borderId="66" xfId="0" applyFont="1" applyFill="1" applyBorder="1" applyAlignment="1">
      <alignment horizontal="center" vertical="center" wrapText="1"/>
    </xf>
    <xf numFmtId="43" fontId="0" fillId="47" borderId="0" xfId="1" applyNumberFormat="1" applyFont="1" applyFill="1" applyBorder="1" applyAlignment="1" applyProtection="1">
      <alignment horizontal="center" vertical="center"/>
      <protection locked="0"/>
    </xf>
    <xf numFmtId="0" fontId="0" fillId="0" borderId="66" xfId="0" applyFont="1" applyFill="1" applyBorder="1" applyAlignment="1">
      <alignment horizontal="center" vertical="center" wrapText="1"/>
    </xf>
    <xf numFmtId="43" fontId="0" fillId="0" borderId="0" xfId="1" applyNumberFormat="1" applyFont="1" applyFill="1" applyBorder="1" applyAlignment="1" applyProtection="1">
      <alignment horizontal="center" vertical="center"/>
      <protection locked="0"/>
    </xf>
    <xf numFmtId="166" fontId="0" fillId="47" borderId="4" xfId="0" applyNumberFormat="1" applyFont="1" applyFill="1" applyBorder="1" applyAlignment="1">
      <alignment vertical="center"/>
    </xf>
    <xf numFmtId="166" fontId="0" fillId="47" borderId="0" xfId="0" applyNumberFormat="1" applyFont="1" applyFill="1" applyBorder="1" applyAlignment="1">
      <alignment vertical="center"/>
    </xf>
    <xf numFmtId="166" fontId="0" fillId="47" borderId="67" xfId="0" applyNumberFormat="1" applyFont="1" applyFill="1" applyBorder="1" applyAlignment="1">
      <alignment vertical="center"/>
    </xf>
    <xf numFmtId="0" fontId="0" fillId="0" borderId="72" xfId="0" applyFont="1" applyFill="1" applyBorder="1" applyAlignment="1">
      <alignment horizontal="center" vertical="center" wrapText="1"/>
    </xf>
    <xf numFmtId="166" fontId="0" fillId="0" borderId="69" xfId="0" applyNumberFormat="1" applyFont="1" applyFill="1" applyBorder="1" applyAlignment="1" applyProtection="1">
      <alignment vertical="center"/>
      <protection locked="0"/>
    </xf>
    <xf numFmtId="166" fontId="0" fillId="0" borderId="17" xfId="0" applyNumberFormat="1" applyFont="1" applyFill="1" applyBorder="1" applyAlignment="1" applyProtection="1">
      <alignment vertical="center"/>
      <protection locked="0"/>
    </xf>
    <xf numFmtId="166" fontId="0" fillId="0" borderId="73" xfId="0" applyNumberFormat="1" applyFont="1" applyFill="1" applyBorder="1" applyAlignment="1" applyProtection="1">
      <alignment vertical="center"/>
      <protection locked="0"/>
    </xf>
    <xf numFmtId="0" fontId="8" fillId="0" borderId="57" xfId="0" applyFont="1" applyFill="1" applyBorder="1" applyAlignment="1">
      <alignment vertical="center"/>
    </xf>
    <xf numFmtId="0" fontId="8" fillId="0" borderId="58" xfId="0" applyFont="1" applyBorder="1"/>
    <xf numFmtId="0" fontId="8" fillId="0" borderId="76" xfId="0" applyFont="1" applyBorder="1" applyAlignment="1">
      <alignment horizontal="center"/>
    </xf>
    <xf numFmtId="0" fontId="8" fillId="0" borderId="71" xfId="0" applyFont="1" applyBorder="1" applyAlignment="1">
      <alignment horizontal="center"/>
    </xf>
    <xf numFmtId="0" fontId="8" fillId="0" borderId="32" xfId="0" applyFont="1" applyFill="1" applyBorder="1" applyAlignment="1">
      <alignment vertical="center"/>
    </xf>
    <xf numFmtId="0" fontId="8" fillId="0" borderId="33" xfId="0" applyFont="1" applyFill="1" applyBorder="1" applyAlignment="1">
      <alignment vertical="center"/>
    </xf>
    <xf numFmtId="0" fontId="8" fillId="53" borderId="70" xfId="0" applyFont="1" applyFill="1" applyBorder="1" applyAlignment="1">
      <alignment vertical="center"/>
    </xf>
    <xf numFmtId="2" fontId="0" fillId="53" borderId="76" xfId="0" applyNumberFormat="1" applyFill="1" applyBorder="1" applyAlignment="1">
      <alignment horizontal="center"/>
    </xf>
    <xf numFmtId="2" fontId="0" fillId="53" borderId="26" xfId="0" applyNumberFormat="1" applyFill="1" applyBorder="1" applyAlignment="1">
      <alignment horizontal="center"/>
    </xf>
    <xf numFmtId="2" fontId="0" fillId="53" borderId="44" xfId="0" applyNumberFormat="1" applyFill="1" applyBorder="1" applyAlignment="1">
      <alignment horizontal="center"/>
    </xf>
    <xf numFmtId="173" fontId="8" fillId="0" borderId="0" xfId="0" applyNumberFormat="1" applyFont="1" applyFill="1" applyBorder="1" applyAlignment="1">
      <alignment vertical="center"/>
    </xf>
  </cellXfs>
  <cellStyles count="275">
    <cellStyle name="20% - Accent1" xfId="240" builtinId="30" customBuiltin="1"/>
    <cellStyle name="20% - Accent2" xfId="244" builtinId="34" customBuiltin="1"/>
    <cellStyle name="20% - Accent3" xfId="248" builtinId="38" customBuiltin="1"/>
    <cellStyle name="20% - Accent4" xfId="252" builtinId="42" customBuiltin="1"/>
    <cellStyle name="20% - Accent5" xfId="256" builtinId="46" customBuiltin="1"/>
    <cellStyle name="20% - Accent6" xfId="260" builtinId="50" customBuiltin="1"/>
    <cellStyle name="40% - Accent1" xfId="241" builtinId="31" customBuiltin="1"/>
    <cellStyle name="40% - Accent2" xfId="245" builtinId="35" customBuiltin="1"/>
    <cellStyle name="40% - Accent3" xfId="249" builtinId="39" customBuiltin="1"/>
    <cellStyle name="40% - Accent4" xfId="253" builtinId="43" customBuiltin="1"/>
    <cellStyle name="40% - Accent5" xfId="257" builtinId="47" customBuiltin="1"/>
    <cellStyle name="40% - Accent6" xfId="261" builtinId="51" customBuiltin="1"/>
    <cellStyle name="60% - Accent1" xfId="242" builtinId="32" customBuiltin="1"/>
    <cellStyle name="60% - Accent2" xfId="246" builtinId="36" customBuiltin="1"/>
    <cellStyle name="60% - Accent3" xfId="250" builtinId="40" customBuiltin="1"/>
    <cellStyle name="60% - Accent4" xfId="254" builtinId="44" customBuiltin="1"/>
    <cellStyle name="60% - Accent5" xfId="258" builtinId="48" customBuiltin="1"/>
    <cellStyle name="60% - Accent6" xfId="262" builtinId="52" customBuiltin="1"/>
    <cellStyle name="Accent1" xfId="239" builtinId="29" customBuiltin="1"/>
    <cellStyle name="Accent2" xfId="243" builtinId="33" customBuiltin="1"/>
    <cellStyle name="Accent3" xfId="247" builtinId="37" customBuiltin="1"/>
    <cellStyle name="Accent4" xfId="251" builtinId="41" customBuiltin="1"/>
    <cellStyle name="Accent5" xfId="255" builtinId="45" customBuiltin="1"/>
    <cellStyle name="Accent6" xfId="259" builtinId="49" customBuiltin="1"/>
    <cellStyle name="Bad" xfId="228" builtinId="27" customBuiltin="1"/>
    <cellStyle name="Calculation" xfId="232" builtinId="22" customBuiltin="1"/>
    <cellStyle name="Check Cell" xfId="234" builtinId="23" customBuiltin="1"/>
    <cellStyle name="Comma" xfId="1" builtinId="3"/>
    <cellStyle name="Comma 10" xfId="270"/>
    <cellStyle name="Comma 11" xfId="268"/>
    <cellStyle name="Comma 14" xfId="267"/>
    <cellStyle name="Comma 15" xfId="271"/>
    <cellStyle name="Comma 16" xfId="273"/>
    <cellStyle name="Comma 17" xfId="272"/>
    <cellStyle name="Comma 2" xfId="263"/>
    <cellStyle name="Comma 3" xfId="266"/>
    <cellStyle name="Comma 5" xfId="269"/>
    <cellStyle name="Explanatory Text" xfId="237" builtinId="53" customBuiltin="1"/>
    <cellStyle name="Good" xfId="227" builtinId="26" customBuiltin="1"/>
    <cellStyle name="Heading 1" xfId="223" builtinId="16" customBuiltin="1"/>
    <cellStyle name="Heading 2" xfId="224" builtinId="17" customBuiltin="1"/>
    <cellStyle name="Heading 3" xfId="225" builtinId="18" customBuiltin="1"/>
    <cellStyle name="Heading 4" xfId="226" builtinId="19" customBuiltin="1"/>
    <cellStyle name="Hyperlink" xfId="3" builtinId="8"/>
    <cellStyle name="Hyperlink 2" xfId="274"/>
    <cellStyle name="Input" xfId="230" builtinId="20" customBuiltin="1"/>
    <cellStyle name="Linked Cell" xfId="233" builtinId="24" customBuiltin="1"/>
    <cellStyle name="Neutral" xfId="229" builtinId="28" customBuiltin="1"/>
    <cellStyle name="Normal" xfId="0" builtinId="0"/>
    <cellStyle name="Normal 2" xfId="265"/>
    <cellStyle name="Note" xfId="236" builtinId="10" customBuiltin="1"/>
    <cellStyle name="Note 10" xfId="4"/>
    <cellStyle name="Note 10 2" xfId="5"/>
    <cellStyle name="Note 10 3" xfId="6"/>
    <cellStyle name="Note 11" xfId="7"/>
    <cellStyle name="Note 11 2" xfId="8"/>
    <cellStyle name="Note 11 3" xfId="9"/>
    <cellStyle name="Note 12" xfId="10"/>
    <cellStyle name="Note 12 2" xfId="11"/>
    <cellStyle name="Note 12 3" xfId="12"/>
    <cellStyle name="Note 13" xfId="13"/>
    <cellStyle name="Note 13 2" xfId="14"/>
    <cellStyle name="Note 13 3" xfId="15"/>
    <cellStyle name="Note 14" xfId="16"/>
    <cellStyle name="Note 14 2" xfId="17"/>
    <cellStyle name="Note 14 3" xfId="18"/>
    <cellStyle name="Note 15" xfId="19"/>
    <cellStyle name="Note 15 2" xfId="20"/>
    <cellStyle name="Note 15 3" xfId="21"/>
    <cellStyle name="Note 16" xfId="22"/>
    <cellStyle name="Note 16 2" xfId="23"/>
    <cellStyle name="Note 16 3" xfId="24"/>
    <cellStyle name="Note 17" xfId="25"/>
    <cellStyle name="Note 17 2" xfId="26"/>
    <cellStyle name="Note 17 3" xfId="27"/>
    <cellStyle name="Note 18" xfId="28"/>
    <cellStyle name="Note 18 2" xfId="29"/>
    <cellStyle name="Note 18 3" xfId="30"/>
    <cellStyle name="Note 19" xfId="31"/>
    <cellStyle name="Note 19 2" xfId="32"/>
    <cellStyle name="Note 19 3" xfId="33"/>
    <cellStyle name="Note 2" xfId="34"/>
    <cellStyle name="Note 2 2" xfId="35"/>
    <cellStyle name="Note 2 3" xfId="36"/>
    <cellStyle name="Note 20" xfId="37"/>
    <cellStyle name="Note 20 2" xfId="38"/>
    <cellStyle name="Note 20 3" xfId="39"/>
    <cellStyle name="Note 21" xfId="40"/>
    <cellStyle name="Note 21 2" xfId="41"/>
    <cellStyle name="Note 21 3" xfId="42"/>
    <cellStyle name="Note 22" xfId="43"/>
    <cellStyle name="Note 22 2" xfId="44"/>
    <cellStyle name="Note 22 3" xfId="45"/>
    <cellStyle name="Note 23" xfId="46"/>
    <cellStyle name="Note 23 2" xfId="47"/>
    <cellStyle name="Note 23 3" xfId="48"/>
    <cellStyle name="Note 24" xfId="49"/>
    <cellStyle name="Note 24 2" xfId="50"/>
    <cellStyle name="Note 24 3" xfId="51"/>
    <cellStyle name="Note 25" xfId="52"/>
    <cellStyle name="Note 25 2" xfId="53"/>
    <cellStyle name="Note 25 3" xfId="54"/>
    <cellStyle name="Note 26" xfId="55"/>
    <cellStyle name="Note 26 2" xfId="56"/>
    <cellStyle name="Note 26 3" xfId="57"/>
    <cellStyle name="Note 27" xfId="58"/>
    <cellStyle name="Note 27 2" xfId="59"/>
    <cellStyle name="Note 27 3" xfId="60"/>
    <cellStyle name="Note 28" xfId="61"/>
    <cellStyle name="Note 28 2" xfId="62"/>
    <cellStyle name="Note 28 3" xfId="63"/>
    <cellStyle name="Note 29" xfId="64"/>
    <cellStyle name="Note 29 2" xfId="65"/>
    <cellStyle name="Note 29 3" xfId="66"/>
    <cellStyle name="Note 3" xfId="67"/>
    <cellStyle name="Note 3 2" xfId="68"/>
    <cellStyle name="Note 3 3" xfId="69"/>
    <cellStyle name="Note 30" xfId="70"/>
    <cellStyle name="Note 30 2" xfId="71"/>
    <cellStyle name="Note 30 3" xfId="72"/>
    <cellStyle name="Note 31" xfId="73"/>
    <cellStyle name="Note 31 2" xfId="74"/>
    <cellStyle name="Note 31 3" xfId="75"/>
    <cellStyle name="Note 32" xfId="76"/>
    <cellStyle name="Note 32 2" xfId="77"/>
    <cellStyle name="Note 32 3" xfId="78"/>
    <cellStyle name="Note 33" xfId="79"/>
    <cellStyle name="Note 33 2" xfId="80"/>
    <cellStyle name="Note 33 3" xfId="81"/>
    <cellStyle name="Note 34" xfId="82"/>
    <cellStyle name="Note 34 2" xfId="83"/>
    <cellStyle name="Note 34 3" xfId="84"/>
    <cellStyle name="Note 35" xfId="85"/>
    <cellStyle name="Note 35 2" xfId="86"/>
    <cellStyle name="Note 35 3" xfId="87"/>
    <cellStyle name="Note 36" xfId="88"/>
    <cellStyle name="Note 36 2" xfId="89"/>
    <cellStyle name="Note 36 3" xfId="90"/>
    <cellStyle name="Note 37" xfId="91"/>
    <cellStyle name="Note 37 2" xfId="92"/>
    <cellStyle name="Note 37 3" xfId="93"/>
    <cellStyle name="Note 38" xfId="94"/>
    <cellStyle name="Note 38 2" xfId="95"/>
    <cellStyle name="Note 38 3" xfId="96"/>
    <cellStyle name="Note 39" xfId="97"/>
    <cellStyle name="Note 39 2" xfId="98"/>
    <cellStyle name="Note 39 3" xfId="99"/>
    <cellStyle name="Note 4" xfId="100"/>
    <cellStyle name="Note 4 2" xfId="101"/>
    <cellStyle name="Note 4 3" xfId="102"/>
    <cellStyle name="Note 40" xfId="103"/>
    <cellStyle name="Note 40 2" xfId="104"/>
    <cellStyle name="Note 40 3" xfId="105"/>
    <cellStyle name="Note 41" xfId="106"/>
    <cellStyle name="Note 41 2" xfId="107"/>
    <cellStyle name="Note 41 3" xfId="108"/>
    <cellStyle name="Note 42" xfId="109"/>
    <cellStyle name="Note 42 2" xfId="110"/>
    <cellStyle name="Note 42 3" xfId="111"/>
    <cellStyle name="Note 43" xfId="112"/>
    <cellStyle name="Note 43 2" xfId="113"/>
    <cellStyle name="Note 43 3" xfId="114"/>
    <cellStyle name="Note 44" xfId="115"/>
    <cellStyle name="Note 44 2" xfId="116"/>
    <cellStyle name="Note 44 3" xfId="117"/>
    <cellStyle name="Note 45" xfId="118"/>
    <cellStyle name="Note 45 2" xfId="119"/>
    <cellStyle name="Note 45 3" xfId="120"/>
    <cellStyle name="Note 46" xfId="121"/>
    <cellStyle name="Note 46 2" xfId="122"/>
    <cellStyle name="Note 46 3" xfId="123"/>
    <cellStyle name="Note 47" xfId="124"/>
    <cellStyle name="Note 47 2" xfId="125"/>
    <cellStyle name="Note 47 3" xfId="126"/>
    <cellStyle name="Note 48" xfId="127"/>
    <cellStyle name="Note 48 2" xfId="128"/>
    <cellStyle name="Note 48 3" xfId="129"/>
    <cellStyle name="Note 49" xfId="130"/>
    <cellStyle name="Note 49 2" xfId="131"/>
    <cellStyle name="Note 49 3" xfId="132"/>
    <cellStyle name="Note 5" xfId="133"/>
    <cellStyle name="Note 5 2" xfId="134"/>
    <cellStyle name="Note 5 3" xfId="135"/>
    <cellStyle name="Note 50" xfId="136"/>
    <cellStyle name="Note 50 2" xfId="137"/>
    <cellStyle name="Note 50 3" xfId="138"/>
    <cellStyle name="Note 51" xfId="139"/>
    <cellStyle name="Note 51 2" xfId="140"/>
    <cellStyle name="Note 51 3" xfId="141"/>
    <cellStyle name="Note 52" xfId="142"/>
    <cellStyle name="Note 52 2" xfId="143"/>
    <cellStyle name="Note 52 3" xfId="144"/>
    <cellStyle name="Note 53" xfId="145"/>
    <cellStyle name="Note 53 2" xfId="146"/>
    <cellStyle name="Note 53 3" xfId="147"/>
    <cellStyle name="Note 54" xfId="148"/>
    <cellStyle name="Note 54 2" xfId="149"/>
    <cellStyle name="Note 54 3" xfId="150"/>
    <cellStyle name="Note 55" xfId="151"/>
    <cellStyle name="Note 55 2" xfId="152"/>
    <cellStyle name="Note 55 3" xfId="153"/>
    <cellStyle name="Note 56" xfId="154"/>
    <cellStyle name="Note 56 2" xfId="155"/>
    <cellStyle name="Note 56 3" xfId="156"/>
    <cellStyle name="Note 57" xfId="157"/>
    <cellStyle name="Note 57 2" xfId="158"/>
    <cellStyle name="Note 57 3" xfId="159"/>
    <cellStyle name="Note 58" xfId="160"/>
    <cellStyle name="Note 58 2" xfId="161"/>
    <cellStyle name="Note 58 3" xfId="162"/>
    <cellStyle name="Note 59" xfId="163"/>
    <cellStyle name="Note 59 2" xfId="164"/>
    <cellStyle name="Note 59 3" xfId="165"/>
    <cellStyle name="Note 6" xfId="166"/>
    <cellStyle name="Note 6 2" xfId="167"/>
    <cellStyle name="Note 6 3" xfId="168"/>
    <cellStyle name="Note 60" xfId="169"/>
    <cellStyle name="Note 60 2" xfId="170"/>
    <cellStyle name="Note 60 3" xfId="171"/>
    <cellStyle name="Note 61" xfId="172"/>
    <cellStyle name="Note 61 2" xfId="173"/>
    <cellStyle name="Note 61 3" xfId="174"/>
    <cellStyle name="Note 62" xfId="175"/>
    <cellStyle name="Note 62 2" xfId="176"/>
    <cellStyle name="Note 62 3" xfId="177"/>
    <cellStyle name="Note 63" xfId="178"/>
    <cellStyle name="Note 63 2" xfId="179"/>
    <cellStyle name="Note 63 3" xfId="180"/>
    <cellStyle name="Note 64" xfId="181"/>
    <cellStyle name="Note 64 2" xfId="182"/>
    <cellStyle name="Note 64 3" xfId="183"/>
    <cellStyle name="Note 65" xfId="184"/>
    <cellStyle name="Note 65 2" xfId="185"/>
    <cellStyle name="Note 65 3" xfId="186"/>
    <cellStyle name="Note 66" xfId="187"/>
    <cellStyle name="Note 66 2" xfId="188"/>
    <cellStyle name="Note 66 3" xfId="189"/>
    <cellStyle name="Note 67" xfId="190"/>
    <cellStyle name="Note 67 2" xfId="191"/>
    <cellStyle name="Note 67 3" xfId="192"/>
    <cellStyle name="Note 68" xfId="193"/>
    <cellStyle name="Note 68 2" xfId="194"/>
    <cellStyle name="Note 68 3" xfId="195"/>
    <cellStyle name="Note 69" xfId="196"/>
    <cellStyle name="Note 69 2" xfId="197"/>
    <cellStyle name="Note 69 3" xfId="198"/>
    <cellStyle name="Note 7" xfId="199"/>
    <cellStyle name="Note 7 2" xfId="200"/>
    <cellStyle name="Note 7 3" xfId="201"/>
    <cellStyle name="Note 70" xfId="202"/>
    <cellStyle name="Note 70 2" xfId="203"/>
    <cellStyle name="Note 70 3" xfId="204"/>
    <cellStyle name="Note 71" xfId="205"/>
    <cellStyle name="Note 71 2" xfId="206"/>
    <cellStyle name="Note 71 3" xfId="207"/>
    <cellStyle name="Note 72" xfId="208"/>
    <cellStyle name="Note 72 2" xfId="209"/>
    <cellStyle name="Note 72 3" xfId="210"/>
    <cellStyle name="Note 73" xfId="211"/>
    <cellStyle name="Note 73 2" xfId="212"/>
    <cellStyle name="Note 73 3" xfId="213"/>
    <cellStyle name="Note 74" xfId="214"/>
    <cellStyle name="Note 8" xfId="215"/>
    <cellStyle name="Note 8 2" xfId="216"/>
    <cellStyle name="Note 8 3" xfId="217"/>
    <cellStyle name="Note 9" xfId="218"/>
    <cellStyle name="Note 9 2" xfId="219"/>
    <cellStyle name="Note 9 3" xfId="220"/>
    <cellStyle name="Output" xfId="231" builtinId="21" customBuiltin="1"/>
    <cellStyle name="Percent" xfId="2" builtinId="5"/>
    <cellStyle name="Title" xfId="222" builtinId="15" customBuiltin="1"/>
    <cellStyle name="Title 2" xfId="221"/>
    <cellStyle name="Title 3" xfId="264"/>
    <cellStyle name="Total" xfId="238" builtinId="25" customBuiltin="1"/>
    <cellStyle name="Warning Text" xfId="23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38938" y="30730033"/>
          <a:ext cx="5975438" cy="3297971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5" name="Straight Arrow Connector 4"/>
        <xdr:cNvCxnSpPr/>
      </xdr:nvCxnSpPr>
      <xdr:spPr>
        <a:xfrm flipV="1">
          <a:off x="5357813" y="7560470"/>
          <a:ext cx="1178718" cy="378618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107156</xdr:colOff>
      <xdr:row>42</xdr:row>
      <xdr:rowOff>130969</xdr:rowOff>
    </xdr:from>
    <xdr:to>
      <xdr:col>3</xdr:col>
      <xdr:colOff>631031</xdr:colOff>
      <xdr:row>56</xdr:row>
      <xdr:rowOff>166688</xdr:rowOff>
    </xdr:to>
    <xdr:cxnSp macro="">
      <xdr:nvCxnSpPr>
        <xdr:cNvPr id="7" name="Straight Arrow Connector 6"/>
        <xdr:cNvCxnSpPr/>
      </xdr:nvCxnSpPr>
      <xdr:spPr>
        <a:xfrm>
          <a:off x="5417344" y="8679657"/>
          <a:ext cx="523875" cy="277415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38108"/>
          <a:ext cx="5980201" cy="3207484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38108"/>
          <a:ext cx="5980201" cy="3207484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737509</xdr:colOff>
      <xdr:row>226</xdr:row>
      <xdr:rowOff>149677</xdr:rowOff>
    </xdr:from>
    <xdr:to>
      <xdr:col>11</xdr:col>
      <xdr:colOff>741591</xdr:colOff>
      <xdr:row>232</xdr:row>
      <xdr:rowOff>190499</xdr:rowOff>
    </xdr:to>
    <xdr:cxnSp macro="">
      <xdr:nvCxnSpPr>
        <xdr:cNvPr id="2" name="Straight Arrow Connector 1"/>
        <xdr:cNvCxnSpPr/>
      </xdr:nvCxnSpPr>
      <xdr:spPr>
        <a:xfrm rot="16200000" flipH="1">
          <a:off x="17102139" y="23894822"/>
          <a:ext cx="1240972" cy="40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231325</xdr:colOff>
      <xdr:row>227</xdr:row>
      <xdr:rowOff>68039</xdr:rowOff>
    </xdr:from>
    <xdr:to>
      <xdr:col>11</xdr:col>
      <xdr:colOff>656730</xdr:colOff>
      <xdr:row>232</xdr:row>
      <xdr:rowOff>126748</xdr:rowOff>
    </xdr:to>
    <xdr:cxnSp macro="">
      <xdr:nvCxnSpPr>
        <xdr:cNvPr id="3" name="Straight Arrow Connector 2"/>
        <xdr:cNvCxnSpPr/>
      </xdr:nvCxnSpPr>
      <xdr:spPr>
        <a:xfrm rot="5400000" flipH="1" flipV="1">
          <a:off x="16897686" y="23711478"/>
          <a:ext cx="1058834" cy="4254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108857</xdr:colOff>
      <xdr:row>235</xdr:row>
      <xdr:rowOff>95251</xdr:rowOff>
    </xdr:from>
    <xdr:to>
      <xdr:col>17</xdr:col>
      <xdr:colOff>693964</xdr:colOff>
      <xdr:row>235</xdr:row>
      <xdr:rowOff>108858</xdr:rowOff>
    </xdr:to>
    <xdr:cxnSp macro="">
      <xdr:nvCxnSpPr>
        <xdr:cNvPr id="4" name="Straight Arrow Connector 3"/>
        <xdr:cNvCxnSpPr/>
      </xdr:nvCxnSpPr>
      <xdr:spPr>
        <a:xfrm flipV="1">
          <a:off x="23597507" y="250221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108858</xdr:colOff>
      <xdr:row>226</xdr:row>
      <xdr:rowOff>149677</xdr:rowOff>
    </xdr:from>
    <xdr:to>
      <xdr:col>11</xdr:col>
      <xdr:colOff>122465</xdr:colOff>
      <xdr:row>232</xdr:row>
      <xdr:rowOff>190499</xdr:rowOff>
    </xdr:to>
    <xdr:cxnSp macro="">
      <xdr:nvCxnSpPr>
        <xdr:cNvPr id="5" name="Straight Arrow Connector 4"/>
        <xdr:cNvCxnSpPr/>
      </xdr:nvCxnSpPr>
      <xdr:spPr>
        <a:xfrm rot="16200000" flipH="1">
          <a:off x="16478251" y="23890059"/>
          <a:ext cx="1240972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258535</xdr:colOff>
      <xdr:row>235</xdr:row>
      <xdr:rowOff>95251</xdr:rowOff>
    </xdr:from>
    <xdr:to>
      <xdr:col>19</xdr:col>
      <xdr:colOff>843642</xdr:colOff>
      <xdr:row>235</xdr:row>
      <xdr:rowOff>108858</xdr:rowOff>
    </xdr:to>
    <xdr:cxnSp macro="">
      <xdr:nvCxnSpPr>
        <xdr:cNvPr id="6" name="Straight Arrow Connector 5"/>
        <xdr:cNvCxnSpPr/>
      </xdr:nvCxnSpPr>
      <xdr:spPr>
        <a:xfrm flipV="1">
          <a:off x="25890310" y="250221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340178</xdr:colOff>
      <xdr:row>235</xdr:row>
      <xdr:rowOff>95251</xdr:rowOff>
    </xdr:from>
    <xdr:to>
      <xdr:col>22</xdr:col>
      <xdr:colOff>925285</xdr:colOff>
      <xdr:row>235</xdr:row>
      <xdr:rowOff>108858</xdr:rowOff>
    </xdr:to>
    <xdr:cxnSp macro="">
      <xdr:nvCxnSpPr>
        <xdr:cNvPr id="7" name="Straight Arrow Connector 6"/>
        <xdr:cNvCxnSpPr/>
      </xdr:nvCxnSpPr>
      <xdr:spPr>
        <a:xfrm flipV="1">
          <a:off x="28934228" y="250221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269421</xdr:colOff>
      <xdr:row>235</xdr:row>
      <xdr:rowOff>95251</xdr:rowOff>
    </xdr:from>
    <xdr:to>
      <xdr:col>24</xdr:col>
      <xdr:colOff>854528</xdr:colOff>
      <xdr:row>235</xdr:row>
      <xdr:rowOff>108858</xdr:rowOff>
    </xdr:to>
    <xdr:cxnSp macro="">
      <xdr:nvCxnSpPr>
        <xdr:cNvPr id="8" name="Straight Arrow Connector 7"/>
        <xdr:cNvCxnSpPr/>
      </xdr:nvCxnSpPr>
      <xdr:spPr>
        <a:xfrm flipV="1">
          <a:off x="30892296" y="77628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779</xdr:row>
          <xdr:rowOff>0</xdr:rowOff>
        </xdr:from>
        <xdr:to>
          <xdr:col>9</xdr:col>
          <xdr:colOff>428625</xdr:colOff>
          <xdr:row>779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1166813</xdr:colOff>
      <xdr:row>42</xdr:row>
      <xdr:rowOff>35719</xdr:rowOff>
    </xdr:from>
    <xdr:to>
      <xdr:col>3</xdr:col>
      <xdr:colOff>488156</xdr:colOff>
      <xdr:row>56</xdr:row>
      <xdr:rowOff>71438</xdr:rowOff>
    </xdr:to>
    <xdr:cxnSp macro="">
      <xdr:nvCxnSpPr>
        <xdr:cNvPr id="4" name="Straight Arrow Connector 3"/>
        <xdr:cNvCxnSpPr/>
      </xdr:nvCxnSpPr>
      <xdr:spPr>
        <a:xfrm>
          <a:off x="5281613" y="8493919"/>
          <a:ext cx="521493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107156</xdr:colOff>
      <xdr:row>42</xdr:row>
      <xdr:rowOff>130969</xdr:rowOff>
    </xdr:from>
    <xdr:to>
      <xdr:col>3</xdr:col>
      <xdr:colOff>631031</xdr:colOff>
      <xdr:row>56</xdr:row>
      <xdr:rowOff>166688</xdr:rowOff>
    </xdr:to>
    <xdr:cxnSp macro="">
      <xdr:nvCxnSpPr>
        <xdr:cNvPr id="4" name="Straight Arrow Connector 3"/>
        <xdr:cNvCxnSpPr/>
      </xdr:nvCxnSpPr>
      <xdr:spPr>
        <a:xfrm>
          <a:off x="5422106" y="8589169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7" Type="http://schemas.openxmlformats.org/officeDocument/2006/relationships/comments" Target="../comments7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infiltec.com/infmukstd.htm" TargetMode="External"/><Relationship Id="rId6" Type="http://schemas.openxmlformats.org/officeDocument/2006/relationships/image" Target="../media/image2.w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23" sqref="F23"/>
    </sheetView>
  </sheetViews>
  <sheetFormatPr defaultRowHeight="15" x14ac:dyDescent="0.25"/>
  <sheetData>
    <row r="1" spans="1:1" x14ac:dyDescent="0.25">
      <c r="A1" t="s">
        <v>1129</v>
      </c>
    </row>
    <row r="4" spans="1:1" x14ac:dyDescent="0.25">
      <c r="A4" t="s">
        <v>1128</v>
      </c>
    </row>
    <row r="6" spans="1:1" x14ac:dyDescent="0.25">
      <c r="A6" t="s">
        <v>1126</v>
      </c>
    </row>
    <row r="7" spans="1:1" x14ac:dyDescent="0.25">
      <c r="A7" t="s">
        <v>1127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DM985"/>
  <sheetViews>
    <sheetView topLeftCell="D508" zoomScale="80" zoomScaleNormal="80" workbookViewId="0">
      <selection activeCell="L68" sqref="L68"/>
    </sheetView>
  </sheetViews>
  <sheetFormatPr defaultColWidth="9.140625" defaultRowHeight="12.75" outlineLevelRow="1" x14ac:dyDescent="0.25"/>
  <cols>
    <col min="1" max="1" width="9.140625" style="10"/>
    <col min="2" max="2" width="26.85546875" style="10" customWidth="1"/>
    <col min="3" max="3" width="34.28515625" style="11" customWidth="1"/>
    <col min="4" max="4" width="22.85546875" style="11" customWidth="1"/>
    <col min="5" max="5" width="13.5703125" style="10" customWidth="1"/>
    <col min="6" max="6" width="20.42578125" style="10" customWidth="1"/>
    <col min="7" max="7" width="32.140625" style="10" customWidth="1"/>
    <col min="8" max="8" width="14.28515625" style="10" customWidth="1"/>
    <col min="9" max="9" width="18.5703125" style="10" customWidth="1"/>
    <col min="10" max="10" width="28.28515625" style="10" customWidth="1"/>
    <col min="11" max="11" width="16.7109375" style="10" customWidth="1"/>
    <col min="12" max="12" width="23.28515625" style="10" customWidth="1"/>
    <col min="13" max="13" width="30.85546875" style="10" customWidth="1"/>
    <col min="14" max="14" width="15.140625" style="10" customWidth="1"/>
    <col min="15" max="15" width="15.7109375" style="10" customWidth="1"/>
    <col min="16" max="16" width="15.140625" style="10" customWidth="1"/>
    <col min="17" max="17" width="18" style="10" customWidth="1"/>
    <col min="18" max="18" width="14.7109375" style="10" customWidth="1"/>
    <col min="19" max="20" width="17.42578125" style="10" customWidth="1"/>
    <col min="21" max="21" width="14.85546875" style="10" customWidth="1"/>
    <col min="22" max="22" width="12.140625" style="10" customWidth="1"/>
    <col min="23" max="23" width="16.7109375" style="10" customWidth="1"/>
    <col min="24" max="24" width="13.7109375" style="10" customWidth="1"/>
    <col min="25" max="25" width="16.85546875" style="10" bestFit="1" customWidth="1"/>
    <col min="26" max="26" width="13.28515625" style="10" customWidth="1"/>
    <col min="27" max="27" width="18.85546875" style="12" bestFit="1" customWidth="1"/>
    <col min="28" max="28" width="32.140625" style="12" customWidth="1"/>
    <col min="29" max="29" width="24" style="10" customWidth="1"/>
    <col min="30" max="30" width="26.85546875" style="10" bestFit="1" customWidth="1"/>
    <col min="31" max="31" width="21" style="10" customWidth="1"/>
    <col min="32" max="32" width="23.5703125" style="10" customWidth="1"/>
    <col min="33" max="33" width="17.28515625" style="10" customWidth="1"/>
    <col min="34" max="34" width="23" style="10" bestFit="1" customWidth="1"/>
    <col min="35" max="35" width="11.5703125" style="10" bestFit="1" customWidth="1"/>
    <col min="36" max="36" width="13.140625" style="10" bestFit="1" customWidth="1"/>
    <col min="37" max="37" width="16.28515625" style="10" customWidth="1"/>
    <col min="38" max="38" width="15.28515625" style="10" customWidth="1"/>
    <col min="39" max="39" width="14.85546875" style="10" bestFit="1" customWidth="1"/>
    <col min="40" max="40" width="9.140625" style="10"/>
    <col min="41" max="41" width="14" style="10" customWidth="1"/>
    <col min="42" max="42" width="14.42578125" style="10" customWidth="1"/>
    <col min="43" max="43" width="17.5703125" style="10" customWidth="1"/>
    <col min="44" max="44" width="21.140625" style="10" customWidth="1"/>
    <col min="45" max="63" width="9.140625" style="10"/>
    <col min="64" max="71" width="14.7109375" style="10" customWidth="1"/>
    <col min="72" max="98" width="9.140625" style="10"/>
    <col min="99" max="99" width="19" style="10" customWidth="1"/>
    <col min="100" max="100" width="29" style="10" customWidth="1"/>
    <col min="101" max="101" width="29.7109375" style="10" customWidth="1"/>
    <col min="102" max="107" width="9.140625" style="10"/>
    <col min="108" max="108" width="16.28515625" style="10" customWidth="1"/>
    <col min="109" max="109" width="12.140625" style="10" customWidth="1"/>
    <col min="110" max="110" width="16.85546875" style="10" customWidth="1"/>
    <col min="111" max="16384" width="9.140625" style="10"/>
  </cols>
  <sheetData>
    <row r="1" spans="1:117" ht="15.75" x14ac:dyDescent="0.25">
      <c r="A1" s="550" t="s">
        <v>80</v>
      </c>
      <c r="B1" s="539"/>
      <c r="C1" s="507"/>
      <c r="D1" s="507"/>
      <c r="E1" s="539"/>
      <c r="F1" s="539"/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39"/>
      <c r="S1" s="539"/>
      <c r="T1" s="539"/>
      <c r="U1" s="539"/>
      <c r="V1" s="539"/>
      <c r="W1" s="539"/>
      <c r="X1" s="539"/>
      <c r="Y1" s="539"/>
      <c r="Z1" s="539"/>
      <c r="AA1" s="567"/>
      <c r="AB1" s="567"/>
      <c r="AC1" s="539"/>
      <c r="AD1" s="539"/>
    </row>
    <row r="2" spans="1:117" s="39" customFormat="1" ht="13.5" thickBot="1" x14ac:dyDescent="0.3">
      <c r="A2" s="535"/>
      <c r="B2" s="507" t="s">
        <v>83</v>
      </c>
      <c r="C2" s="551">
        <f>Inputs!C11</f>
        <v>6871</v>
      </c>
      <c r="D2" s="535"/>
      <c r="E2" s="535"/>
      <c r="F2" s="535"/>
      <c r="G2" s="535"/>
      <c r="H2" s="535"/>
      <c r="I2" s="535"/>
      <c r="J2" s="535"/>
      <c r="K2" s="535"/>
      <c r="L2" s="535"/>
      <c r="M2" s="535"/>
      <c r="N2" s="535"/>
      <c r="O2" s="535"/>
      <c r="P2" s="535"/>
      <c r="Q2" s="535"/>
      <c r="R2" s="535"/>
      <c r="S2" s="535"/>
      <c r="T2" s="535"/>
      <c r="U2" s="535"/>
      <c r="V2" s="535"/>
      <c r="W2" s="535"/>
      <c r="X2" s="535"/>
      <c r="Y2" s="535"/>
      <c r="Z2" s="535"/>
      <c r="AA2" s="568"/>
      <c r="AB2" s="568"/>
      <c r="AC2" s="535"/>
      <c r="AD2" s="535"/>
    </row>
    <row r="3" spans="1:117" s="19" customFormat="1" ht="15" x14ac:dyDescent="0.25">
      <c r="A3" s="552" t="s">
        <v>659</v>
      </c>
      <c r="B3" s="539"/>
      <c r="C3" s="510"/>
      <c r="D3" s="510"/>
      <c r="E3" s="510"/>
      <c r="F3" s="510"/>
      <c r="G3" s="510"/>
      <c r="H3" s="510"/>
      <c r="I3" s="510"/>
      <c r="J3" s="510"/>
      <c r="K3" s="555"/>
      <c r="L3" s="555"/>
      <c r="M3" s="552" t="s">
        <v>426</v>
      </c>
      <c r="N3" s="540"/>
      <c r="O3" s="539"/>
      <c r="P3" s="539"/>
      <c r="Q3" s="539"/>
      <c r="R3" s="539"/>
      <c r="S3" s="540"/>
      <c r="T3" s="540"/>
      <c r="U3" s="540"/>
      <c r="V3" s="539"/>
      <c r="W3" s="510"/>
      <c r="X3" s="510"/>
      <c r="Y3" s="510"/>
      <c r="Z3" s="510"/>
      <c r="AA3" s="510" t="s">
        <v>994</v>
      </c>
      <c r="AB3" s="510"/>
      <c r="AC3" s="510"/>
      <c r="AD3" s="510"/>
      <c r="AE3" s="21"/>
      <c r="AF3" s="510"/>
      <c r="AG3" s="510"/>
      <c r="AH3" s="510"/>
      <c r="AI3" s="510"/>
      <c r="AJ3" s="510"/>
      <c r="AK3" s="510"/>
      <c r="AL3" s="510"/>
      <c r="AM3" s="510"/>
      <c r="AN3" s="510"/>
      <c r="AO3" s="510"/>
      <c r="AP3" s="510"/>
      <c r="AQ3" s="510"/>
      <c r="AR3" s="510" t="s">
        <v>995</v>
      </c>
      <c r="AS3" s="510"/>
      <c r="AT3" s="510"/>
      <c r="AU3" s="510"/>
      <c r="AV3" s="510"/>
      <c r="AW3" s="510"/>
      <c r="AX3" s="510"/>
      <c r="AY3" s="510"/>
      <c r="AZ3" s="510"/>
      <c r="BA3" s="510"/>
      <c r="BB3" s="510"/>
      <c r="BC3" s="510"/>
      <c r="BD3" s="510"/>
      <c r="BE3" s="510"/>
      <c r="BF3" s="510"/>
      <c r="BG3" s="510"/>
      <c r="BH3" s="510"/>
      <c r="BI3" s="510"/>
      <c r="BJ3" s="510"/>
      <c r="BK3" s="510"/>
      <c r="BL3" s="510"/>
      <c r="BM3" s="510"/>
      <c r="BN3" s="510"/>
      <c r="BO3" s="510"/>
      <c r="BP3" s="510" t="s">
        <v>996</v>
      </c>
      <c r="BQ3" s="510"/>
      <c r="BR3" s="510"/>
      <c r="BS3" s="510"/>
      <c r="BT3" s="510"/>
      <c r="BU3" s="510"/>
      <c r="BV3" s="510"/>
      <c r="BW3" s="510"/>
      <c r="BX3" s="510"/>
      <c r="BY3" s="510"/>
      <c r="BZ3" s="510"/>
      <c r="CA3" s="510"/>
      <c r="CB3" s="510"/>
      <c r="CC3" s="510"/>
      <c r="CD3" s="510"/>
      <c r="CE3" s="510"/>
      <c r="CF3" s="510"/>
      <c r="CG3" s="510"/>
      <c r="CH3" s="510"/>
      <c r="CI3" s="510"/>
      <c r="CJ3" s="510"/>
      <c r="CK3" s="510"/>
      <c r="CL3" s="510"/>
      <c r="CM3" s="510"/>
      <c r="CN3" s="510"/>
      <c r="CO3" s="510"/>
      <c r="CP3" s="510"/>
      <c r="CQ3" s="510"/>
      <c r="CR3" s="510"/>
      <c r="CS3" s="510"/>
      <c r="CT3" s="510"/>
      <c r="CU3" s="510"/>
      <c r="CV3" s="510"/>
      <c r="CW3" s="510"/>
      <c r="CX3" s="510"/>
      <c r="CY3" s="510"/>
      <c r="CZ3" s="510"/>
      <c r="DA3" s="510"/>
      <c r="DB3" s="510"/>
      <c r="DC3" s="510" t="s">
        <v>113</v>
      </c>
      <c r="DD3" s="510"/>
      <c r="DE3" s="510"/>
      <c r="DF3" s="510"/>
      <c r="DK3" s="45"/>
      <c r="DL3" s="46"/>
    </row>
    <row r="4" spans="1:117" s="19" customFormat="1" ht="15" x14ac:dyDescent="0.25">
      <c r="A4" s="552"/>
      <c r="B4" s="539"/>
      <c r="C4" s="510"/>
      <c r="D4" s="510"/>
      <c r="E4" s="510"/>
      <c r="F4" s="510"/>
      <c r="G4" s="510"/>
      <c r="H4" s="510"/>
      <c r="I4" s="510"/>
      <c r="J4" s="510"/>
      <c r="K4" s="571"/>
      <c r="L4" s="571"/>
      <c r="M4" s="539"/>
      <c r="N4" s="541"/>
      <c r="O4" s="511" t="s">
        <v>427</v>
      </c>
      <c r="P4" s="511" t="s">
        <v>428</v>
      </c>
      <c r="Q4" s="511" t="s">
        <v>91</v>
      </c>
      <c r="R4" s="539"/>
      <c r="S4" s="572" t="s">
        <v>601</v>
      </c>
      <c r="T4" s="572"/>
      <c r="U4" s="573">
        <v>3.3650000000000002</v>
      </c>
      <c r="V4" s="571"/>
      <c r="W4" s="510"/>
      <c r="X4" s="510"/>
      <c r="Y4" s="518"/>
      <c r="Z4" s="569"/>
      <c r="AA4" s="509" t="s">
        <v>18</v>
      </c>
      <c r="AB4" s="509" t="s">
        <v>106</v>
      </c>
      <c r="AC4" s="509" t="s">
        <v>107</v>
      </c>
      <c r="AD4" s="509" t="s">
        <v>108</v>
      </c>
      <c r="AE4" s="51"/>
      <c r="AF4" s="507"/>
      <c r="AG4" s="574" t="s">
        <v>438</v>
      </c>
      <c r="AH4" s="539" t="s">
        <v>990</v>
      </c>
      <c r="AI4" s="574" t="s">
        <v>721</v>
      </c>
      <c r="AJ4" s="574" t="s">
        <v>439</v>
      </c>
      <c r="AK4" s="574" t="s">
        <v>720</v>
      </c>
      <c r="AL4" s="574" t="s">
        <v>440</v>
      </c>
      <c r="AM4" s="575" t="s">
        <v>719</v>
      </c>
      <c r="AN4" s="574" t="s">
        <v>441</v>
      </c>
      <c r="AO4" s="575" t="s">
        <v>442</v>
      </c>
      <c r="AP4" s="574" t="s">
        <v>443</v>
      </c>
      <c r="AQ4" s="574" t="s">
        <v>444</v>
      </c>
      <c r="AR4" s="580">
        <v>1</v>
      </c>
      <c r="AS4" s="581">
        <v>2</v>
      </c>
      <c r="AT4" s="581">
        <v>3</v>
      </c>
      <c r="AU4" s="581">
        <v>4</v>
      </c>
      <c r="AV4" s="581">
        <v>5</v>
      </c>
      <c r="AW4" s="581">
        <v>6</v>
      </c>
      <c r="AX4" s="581">
        <v>7</v>
      </c>
      <c r="AY4" s="581">
        <v>8</v>
      </c>
      <c r="AZ4" s="581">
        <v>9</v>
      </c>
      <c r="BA4" s="581">
        <v>10</v>
      </c>
      <c r="BB4" s="581">
        <v>11</v>
      </c>
      <c r="BC4" s="581">
        <v>12</v>
      </c>
      <c r="BD4" s="581">
        <v>13</v>
      </c>
      <c r="BE4" s="581">
        <v>14</v>
      </c>
      <c r="BF4" s="581">
        <v>15</v>
      </c>
      <c r="BG4" s="581">
        <v>16</v>
      </c>
      <c r="BH4" s="581">
        <v>17</v>
      </c>
      <c r="BI4" s="581">
        <v>18</v>
      </c>
      <c r="BJ4" s="581">
        <v>19</v>
      </c>
      <c r="BK4" s="581">
        <v>20</v>
      </c>
      <c r="BL4" s="581">
        <v>21</v>
      </c>
      <c r="BM4" s="581">
        <v>22</v>
      </c>
      <c r="BN4" s="581">
        <v>23</v>
      </c>
      <c r="BO4" s="582">
        <v>24</v>
      </c>
      <c r="BP4" s="581">
        <v>1</v>
      </c>
      <c r="BQ4" s="581">
        <v>2</v>
      </c>
      <c r="BR4" s="581">
        <v>3</v>
      </c>
      <c r="BS4" s="581">
        <v>4</v>
      </c>
      <c r="BT4" s="581">
        <v>5</v>
      </c>
      <c r="BU4" s="581">
        <v>6</v>
      </c>
      <c r="BV4" s="581">
        <v>7</v>
      </c>
      <c r="BW4" s="581">
        <v>8</v>
      </c>
      <c r="BX4" s="581">
        <v>9</v>
      </c>
      <c r="BY4" s="581">
        <v>10</v>
      </c>
      <c r="BZ4" s="581">
        <v>11</v>
      </c>
      <c r="CA4" s="581">
        <v>12</v>
      </c>
      <c r="CB4" s="581">
        <v>13</v>
      </c>
      <c r="CC4" s="581">
        <v>14</v>
      </c>
      <c r="CD4" s="581">
        <v>15</v>
      </c>
      <c r="CE4" s="581">
        <v>16</v>
      </c>
      <c r="CF4" s="581">
        <v>17</v>
      </c>
      <c r="CG4" s="581">
        <v>18</v>
      </c>
      <c r="CH4" s="581">
        <v>19</v>
      </c>
      <c r="CI4" s="581">
        <v>20</v>
      </c>
      <c r="CJ4" s="581">
        <v>21</v>
      </c>
      <c r="CK4" s="581">
        <v>22</v>
      </c>
      <c r="CL4" s="581">
        <v>23</v>
      </c>
      <c r="CM4" s="581">
        <v>24</v>
      </c>
      <c r="CN4" s="510"/>
      <c r="CO4" s="539"/>
      <c r="CP4" s="581"/>
      <c r="CQ4" s="581"/>
      <c r="CR4" s="581" t="s">
        <v>448</v>
      </c>
      <c r="CS4" s="581" t="s">
        <v>447</v>
      </c>
      <c r="CT4" s="510"/>
      <c r="CU4" s="689" t="s">
        <v>451</v>
      </c>
      <c r="CV4" s="689" t="s">
        <v>452</v>
      </c>
      <c r="CW4" s="690" t="s">
        <v>453</v>
      </c>
      <c r="CX4" s="690" t="s">
        <v>454</v>
      </c>
      <c r="CY4" s="690" t="s">
        <v>455</v>
      </c>
      <c r="CZ4" s="689" t="s">
        <v>456</v>
      </c>
      <c r="DA4" s="539" t="s">
        <v>457</v>
      </c>
      <c r="DB4" s="539"/>
      <c r="DC4" s="509" t="s">
        <v>18</v>
      </c>
      <c r="DD4" s="509" t="s">
        <v>106</v>
      </c>
      <c r="DE4" s="509" t="s">
        <v>107</v>
      </c>
      <c r="DF4" s="509" t="s">
        <v>108</v>
      </c>
      <c r="DG4" s="422"/>
      <c r="DH4" s="422"/>
      <c r="DI4" s="422"/>
      <c r="DJ4" s="422"/>
      <c r="DK4" s="422"/>
      <c r="DL4" s="422"/>
      <c r="DM4" s="422"/>
    </row>
    <row r="5" spans="1:117" s="21" customFormat="1" ht="15.75" outlineLevel="1" x14ac:dyDescent="0.25">
      <c r="A5" s="537"/>
      <c r="B5" s="526" t="s">
        <v>100</v>
      </c>
      <c r="C5" s="526" t="s">
        <v>82</v>
      </c>
      <c r="D5" s="510"/>
      <c r="E5" s="510"/>
      <c r="F5" s="526" t="s">
        <v>93</v>
      </c>
      <c r="G5" s="510"/>
      <c r="H5" s="510"/>
      <c r="I5" s="510"/>
      <c r="J5" s="510"/>
      <c r="K5" s="555"/>
      <c r="L5" s="555"/>
      <c r="M5" s="540"/>
      <c r="N5" s="541" t="s">
        <v>114</v>
      </c>
      <c r="O5" s="540">
        <v>2.6783999999999999</v>
      </c>
      <c r="P5" s="558">
        <v>744</v>
      </c>
      <c r="Q5" s="540">
        <v>31</v>
      </c>
      <c r="R5" s="539"/>
      <c r="S5" s="556" t="s">
        <v>602</v>
      </c>
      <c r="T5" s="556"/>
      <c r="U5" s="557">
        <v>1.0920000000000001</v>
      </c>
      <c r="V5" s="556"/>
      <c r="W5" s="510"/>
      <c r="X5" s="510"/>
      <c r="Y5" s="570"/>
      <c r="Z5" s="570" t="s">
        <v>114</v>
      </c>
      <c r="AA5" s="569">
        <f>O5*$E$18</f>
        <v>0.71742857142857142</v>
      </c>
      <c r="AB5" s="569">
        <f>O5*$F$18</f>
        <v>0.95657142857142852</v>
      </c>
      <c r="AC5" s="569">
        <f>O5*$G$18</f>
        <v>0.28697142857142854</v>
      </c>
      <c r="AD5" s="569">
        <f>O5*$H$18</f>
        <v>0.71742857142857142</v>
      </c>
      <c r="AF5" s="507" t="s">
        <v>114</v>
      </c>
      <c r="AG5" s="576">
        <f ca="1">Weather!C12</f>
        <v>-4.6449528936742839</v>
      </c>
      <c r="AH5" s="576">
        <f ca="1">Weather!D12</f>
        <v>4.8803499327052062</v>
      </c>
      <c r="AI5" s="679">
        <f ca="1">Weather!E12</f>
        <v>125.29874723787528</v>
      </c>
      <c r="AJ5" s="679">
        <f ca="1">Weather!F12</f>
        <v>87.47012497021079</v>
      </c>
      <c r="AK5" s="679">
        <f ca="1">Weather!G12</f>
        <v>43.025255393380995</v>
      </c>
      <c r="AL5" s="679">
        <f ca="1">Weather!H12</f>
        <v>23.676016893917467</v>
      </c>
      <c r="AM5" s="679">
        <f ca="1">Weather!I12</f>
        <v>23.012963114183467</v>
      </c>
      <c r="AN5" s="679">
        <f ca="1">Weather!J12</f>
        <v>26.291711032177453</v>
      </c>
      <c r="AO5" s="679">
        <f ca="1">Weather!K12</f>
        <v>58.818099030452551</v>
      </c>
      <c r="AP5" s="679">
        <f ca="1">Weather!L12</f>
        <v>107.34785920366583</v>
      </c>
      <c r="AQ5" s="679">
        <f ca="1">Weather!M12</f>
        <v>73.597577388963657</v>
      </c>
      <c r="AR5" s="583">
        <f ca="1">Weather!N12</f>
        <v>-6.283870967741934</v>
      </c>
      <c r="AS5" s="584">
        <f ca="1">Weather!O12</f>
        <v>-6.1806451612903217</v>
      </c>
      <c r="AT5" s="584">
        <f ca="1">Weather!P12</f>
        <v>-6.0870967741935464</v>
      </c>
      <c r="AU5" s="584">
        <f ca="1">Weather!Q12</f>
        <v>-6.2741935483870952</v>
      </c>
      <c r="AV5" s="584">
        <f ca="1">Weather!R12</f>
        <v>-6.5225806451612884</v>
      </c>
      <c r="AW5" s="584">
        <f ca="1">Weather!S12</f>
        <v>-6.8064516129032233</v>
      </c>
      <c r="AX5" s="584">
        <f ca="1">Weather!T12</f>
        <v>-6.7806451612903214</v>
      </c>
      <c r="AY5" s="584">
        <f ca="1">Weather!U12</f>
        <v>-6.5580645161290327</v>
      </c>
      <c r="AZ5" s="584">
        <f ca="1">Weather!V12</f>
        <v>-5.5516129032258075</v>
      </c>
      <c r="BA5" s="584">
        <f ca="1">Weather!W12</f>
        <v>-4.3612903225806479</v>
      </c>
      <c r="BB5" s="584">
        <f ca="1">Weather!X12</f>
        <v>-3.5451612903225809</v>
      </c>
      <c r="BC5" s="584">
        <f ca="1">Weather!Y12</f>
        <v>-2.7903225806451619</v>
      </c>
      <c r="BD5" s="584">
        <f ca="1">Weather!Z12</f>
        <v>-2.0290322580645159</v>
      </c>
      <c r="BE5" s="584">
        <f ca="1">Weather!AA12</f>
        <v>-1.6838709677419355</v>
      </c>
      <c r="BF5" s="584">
        <f ca="1">Weather!AB12</f>
        <v>-1.596774193548387</v>
      </c>
      <c r="BG5" s="584">
        <f ca="1">Weather!AC12</f>
        <v>-1.8612903225806452</v>
      </c>
      <c r="BH5" s="584">
        <f ca="1">Weather!AD12</f>
        <v>-2.9129032258064509</v>
      </c>
      <c r="BI5" s="584">
        <f ca="1">Weather!AE12</f>
        <v>-3.8258064516129031</v>
      </c>
      <c r="BJ5" s="584">
        <f ca="1">Weather!AF12</f>
        <v>-4.5451612903225795</v>
      </c>
      <c r="BK5" s="584">
        <f ca="1">Weather!AG12</f>
        <v>-4.5096774193548379</v>
      </c>
      <c r="BL5" s="584">
        <f ca="1">Weather!AH12</f>
        <v>-4.7096774193548381</v>
      </c>
      <c r="BM5" s="584">
        <f ca="1">Weather!AI12</f>
        <v>-4.9774193548387098</v>
      </c>
      <c r="BN5" s="584">
        <f ca="1">Weather!AJ12</f>
        <v>-5.2387096774193544</v>
      </c>
      <c r="BO5" s="585">
        <f ca="1">Weather!AK12</f>
        <v>-5.8866666666666667</v>
      </c>
      <c r="BP5" s="589">
        <f ca="1">Weather!AL12</f>
        <v>0</v>
      </c>
      <c r="BQ5" s="589">
        <f ca="1">Weather!AM12</f>
        <v>0</v>
      </c>
      <c r="BR5" s="589">
        <f ca="1">Weather!AN12</f>
        <v>0</v>
      </c>
      <c r="BS5" s="589">
        <f ca="1">Weather!AO12</f>
        <v>0</v>
      </c>
      <c r="BT5" s="589">
        <f ca="1">Weather!AP12</f>
        <v>0</v>
      </c>
      <c r="BU5" s="589">
        <f ca="1">Weather!AQ12</f>
        <v>0</v>
      </c>
      <c r="BV5" s="589">
        <f ca="1">Weather!AR12</f>
        <v>0</v>
      </c>
      <c r="BW5" s="589">
        <f ca="1">Weather!AS12</f>
        <v>20.322580645161292</v>
      </c>
      <c r="BX5" s="589">
        <f ca="1">Weather!AT12</f>
        <v>92.870967741935488</v>
      </c>
      <c r="BY5" s="589">
        <f ca="1">Weather!AU12</f>
        <v>191.2258064516129</v>
      </c>
      <c r="BZ5" s="589">
        <f ca="1">Weather!AV12</f>
        <v>260.12903225806451</v>
      </c>
      <c r="CA5" s="589">
        <f ca="1">Weather!AW12</f>
        <v>302.74193548387098</v>
      </c>
      <c r="CB5" s="589">
        <f ca="1">Weather!AX12</f>
        <v>305.90322580645159</v>
      </c>
      <c r="CC5" s="589">
        <f ca="1">Weather!AY12</f>
        <v>276.77419354838707</v>
      </c>
      <c r="CD5" s="589">
        <f ca="1">Weather!AZ12</f>
        <v>192.51612903225808</v>
      </c>
      <c r="CE5" s="589">
        <f ca="1">Weather!BA12</f>
        <v>98.806451612903231</v>
      </c>
      <c r="CF5" s="589">
        <f ca="1">Weather!BB12</f>
        <v>22.677419354838708</v>
      </c>
      <c r="CG5" s="589">
        <f ca="1">Weather!BC12</f>
        <v>0</v>
      </c>
      <c r="CH5" s="589">
        <f ca="1">Weather!BD12</f>
        <v>0</v>
      </c>
      <c r="CI5" s="589">
        <f ca="1">Weather!BE12</f>
        <v>0</v>
      </c>
      <c r="CJ5" s="589">
        <f ca="1">Weather!BF12</f>
        <v>0</v>
      </c>
      <c r="CK5" s="589">
        <f ca="1">Weather!BG12</f>
        <v>0</v>
      </c>
      <c r="CL5" s="589">
        <f ca="1">Weather!BH12</f>
        <v>0</v>
      </c>
      <c r="CM5" s="589">
        <f ca="1">Weather!BI12</f>
        <v>0</v>
      </c>
      <c r="CN5" s="510"/>
      <c r="CO5" s="539"/>
      <c r="CP5" s="589"/>
      <c r="CQ5" s="589"/>
      <c r="CR5" s="584">
        <f t="shared" ref="CR5:CR16" ca="1" si="0">SUMPRODUCT($BP$18:$CM$18,AR5:BO5)/SUM($BP$18:$CM$18)</f>
        <v>-3.3308243727598574</v>
      </c>
      <c r="CS5" s="584">
        <f t="shared" ref="CS5:CS16" ca="1" si="1">SUMPRODUCT($BP$19:$CM$19,AR5:BO5)/SUM($BP$19:$CM$19)</f>
        <v>-5.4361003584229382</v>
      </c>
      <c r="CT5" s="510"/>
      <c r="CU5" s="584">
        <f t="shared" ref="CU5:CU16" ca="1" si="2">SUMPRODUCT($BP$18:$CM$18,BP5:CM5)/SUM($BP$18:$CM$18)</f>
        <v>193.47670250896056</v>
      </c>
      <c r="CV5" s="584">
        <f t="shared" ref="CV5:CV16" ca="1" si="3">SUMPRODUCT($BP$19:$CM$19,BP5:CM5)/SUM($BP$19:$CM$19)</f>
        <v>1.5118279569892472</v>
      </c>
      <c r="CW5" s="584">
        <f t="shared" ref="CW5:CW16" ca="1" si="4">$CU5*AA5</f>
        <v>138.80571428571426</v>
      </c>
      <c r="CX5" s="584">
        <f t="shared" ref="CX5:CX16" ca="1" si="5">$CV5*AB5</f>
        <v>1.4461714285714284</v>
      </c>
      <c r="CY5" s="584">
        <f t="shared" ref="CY5:CY16" ca="1" si="6">$CU5*AC5</f>
        <v>55.522285714285701</v>
      </c>
      <c r="CZ5" s="584">
        <f t="shared" ref="CZ5:CZ16" ca="1" si="7">$CV5*AD5</f>
        <v>1.0846285714285713</v>
      </c>
      <c r="DA5" s="691">
        <f t="shared" ref="DA5:DA16" ca="1" si="8">SUM(CW5:CZ5)</f>
        <v>196.85879999999995</v>
      </c>
      <c r="DB5" s="539"/>
      <c r="DC5" s="569">
        <f t="shared" ref="DC5:DC16" ca="1" si="9">CW5/$DA5</f>
        <v>0.70510291785642454</v>
      </c>
      <c r="DD5" s="569">
        <f t="shared" ref="DD5:DD16" ca="1" si="10">CX5/$DA5</f>
        <v>7.3462371434318855E-3</v>
      </c>
      <c r="DE5" s="569">
        <f t="shared" ref="DE5:DE16" ca="1" si="11">CY5/$DA5</f>
        <v>0.28204116714256977</v>
      </c>
      <c r="DF5" s="569">
        <f t="shared" ref="DF5:DF16" ca="1" si="12">CZ5/$DA5</f>
        <v>5.5096778575739139E-3</v>
      </c>
      <c r="DG5" s="10"/>
      <c r="DH5" s="422"/>
      <c r="DI5" s="422"/>
      <c r="DJ5" s="422"/>
      <c r="DK5" s="422"/>
      <c r="DL5" s="422"/>
      <c r="DM5" s="422"/>
    </row>
    <row r="6" spans="1:117" s="21" customFormat="1" ht="15.75" outlineLevel="1" x14ac:dyDescent="0.25">
      <c r="A6" s="537"/>
      <c r="B6" s="510"/>
      <c r="C6" s="527" t="s">
        <v>84</v>
      </c>
      <c r="D6" s="528">
        <f>Inputs!C16</f>
        <v>8</v>
      </c>
      <c r="E6" s="510"/>
      <c r="F6" s="527" t="s">
        <v>96</v>
      </c>
      <c r="G6" s="528">
        <f>Inputs!$C$14</f>
        <v>0</v>
      </c>
      <c r="H6" s="510"/>
      <c r="I6" s="510"/>
      <c r="J6" s="510"/>
      <c r="K6" s="555"/>
      <c r="L6" s="555"/>
      <c r="M6" s="559"/>
      <c r="N6" s="541" t="s">
        <v>115</v>
      </c>
      <c r="O6" s="540">
        <v>2.4192</v>
      </c>
      <c r="P6" s="558">
        <v>672</v>
      </c>
      <c r="Q6" s="540">
        <v>28</v>
      </c>
      <c r="R6" s="540"/>
      <c r="S6" s="556"/>
      <c r="T6" s="556"/>
      <c r="U6" s="556"/>
      <c r="V6" s="556"/>
      <c r="W6" s="510"/>
      <c r="X6" s="510"/>
      <c r="Y6" s="570"/>
      <c r="Z6" s="570" t="s">
        <v>115</v>
      </c>
      <c r="AA6" s="569">
        <f t="shared" ref="AA6:AA16" si="13">O6*$E$18</f>
        <v>0.64800000000000002</v>
      </c>
      <c r="AB6" s="569">
        <f t="shared" ref="AB6:AB16" si="14">O6*$F$18</f>
        <v>0.86399999999999999</v>
      </c>
      <c r="AC6" s="569">
        <f t="shared" ref="AC6:AC16" si="15">O6*$G$18</f>
        <v>0.25919999999999999</v>
      </c>
      <c r="AD6" s="569">
        <f t="shared" ref="AD6:AD16" si="16">O6*$H$18</f>
        <v>0.64800000000000002</v>
      </c>
      <c r="AF6" s="507" t="s">
        <v>115</v>
      </c>
      <c r="AG6" s="576">
        <f ca="1">Weather!C13</f>
        <v>-2.5291666666666686</v>
      </c>
      <c r="AH6" s="576">
        <f ca="1">Weather!D13</f>
        <v>5.0703869047618753</v>
      </c>
      <c r="AI6" s="577">
        <f ca="1">Weather!E13</f>
        <v>143.27943725883407</v>
      </c>
      <c r="AJ6" s="577">
        <f ca="1">Weather!F13</f>
        <v>105.53195061557504</v>
      </c>
      <c r="AK6" s="577">
        <f ca="1">Weather!G13</f>
        <v>60.44094852673404</v>
      </c>
      <c r="AL6" s="577">
        <f ca="1">Weather!H13</f>
        <v>34.671139634170245</v>
      </c>
      <c r="AM6" s="577">
        <f ca="1">Weather!I13</f>
        <v>32.098611138550666</v>
      </c>
      <c r="AN6" s="577">
        <f ca="1">Weather!J13</f>
        <v>40.146531337066307</v>
      </c>
      <c r="AO6" s="577">
        <f ca="1">Weather!K13</f>
        <v>79.499319569158715</v>
      </c>
      <c r="AP6" s="577">
        <f ca="1">Weather!L13</f>
        <v>127.1272531646656</v>
      </c>
      <c r="AQ6" s="577">
        <f ca="1">Weather!M13</f>
        <v>103.88988095238095</v>
      </c>
      <c r="AR6" s="583">
        <f ca="1">Weather!N13</f>
        <v>-3.6571428571428575</v>
      </c>
      <c r="AS6" s="584">
        <f ca="1">Weather!O13</f>
        <v>-3.9285714285714297</v>
      </c>
      <c r="AT6" s="584">
        <f ca="1">Weather!P13</f>
        <v>-4.1464285714285714</v>
      </c>
      <c r="AU6" s="584">
        <f ca="1">Weather!Q13</f>
        <v>-4.4642857142857153</v>
      </c>
      <c r="AV6" s="584">
        <f ca="1">Weather!R13</f>
        <v>-4.9071428571428566</v>
      </c>
      <c r="AW6" s="584">
        <f ca="1">Weather!S13</f>
        <v>-5.1214285714285728</v>
      </c>
      <c r="AX6" s="584">
        <f ca="1">Weather!T13</f>
        <v>-5.2642857142857151</v>
      </c>
      <c r="AY6" s="584">
        <f ca="1">Weather!U13</f>
        <v>-4.625</v>
      </c>
      <c r="AZ6" s="584">
        <f ca="1">Weather!V13</f>
        <v>-3.2928571428571418</v>
      </c>
      <c r="BA6" s="584">
        <f ca="1">Weather!W13</f>
        <v>-2.0964285714285711</v>
      </c>
      <c r="BB6" s="584">
        <f ca="1">Weather!X13</f>
        <v>-1.0214285714285718</v>
      </c>
      <c r="BC6" s="584">
        <f ca="1">Weather!Y13</f>
        <v>-0.24285714285714294</v>
      </c>
      <c r="BD6" s="584">
        <f ca="1">Weather!Z13</f>
        <v>0.25714285714285684</v>
      </c>
      <c r="BE6" s="584">
        <f ca="1">Weather!AA13</f>
        <v>0.39642857142857163</v>
      </c>
      <c r="BF6" s="584">
        <f ca="1">Weather!AB13</f>
        <v>0.49642857142857127</v>
      </c>
      <c r="BG6" s="584">
        <f ca="1">Weather!AC13</f>
        <v>0.26071428571428618</v>
      </c>
      <c r="BH6" s="584">
        <f ca="1">Weather!AD13</f>
        <v>-0.46428571428571414</v>
      </c>
      <c r="BI6" s="584">
        <f ca="1">Weather!AE13</f>
        <v>-1.4249999999999996</v>
      </c>
      <c r="BJ6" s="584">
        <f ca="1">Weather!AF13</f>
        <v>-2.346428571428572</v>
      </c>
      <c r="BK6" s="584">
        <f ca="1">Weather!AG13</f>
        <v>-2.5821428571428577</v>
      </c>
      <c r="BL6" s="584">
        <f ca="1">Weather!AH13</f>
        <v>-2.850000000000001</v>
      </c>
      <c r="BM6" s="584">
        <f ca="1">Weather!AI13</f>
        <v>-2.9250000000000007</v>
      </c>
      <c r="BN6" s="584">
        <f ca="1">Weather!AJ13</f>
        <v>-3.1500000000000008</v>
      </c>
      <c r="BO6" s="585">
        <f ca="1">Weather!AK13</f>
        <v>-3.5999999999999992</v>
      </c>
      <c r="BP6" s="589">
        <f ca="1">Weather!AL13</f>
        <v>0</v>
      </c>
      <c r="BQ6" s="589">
        <f ca="1">Weather!AM13</f>
        <v>0</v>
      </c>
      <c r="BR6" s="589">
        <f ca="1">Weather!AN13</f>
        <v>0</v>
      </c>
      <c r="BS6" s="589">
        <f ca="1">Weather!AO13</f>
        <v>0</v>
      </c>
      <c r="BT6" s="589">
        <f ca="1">Weather!AP13</f>
        <v>0</v>
      </c>
      <c r="BU6" s="589">
        <f ca="1">Weather!AQ13</f>
        <v>0</v>
      </c>
      <c r="BV6" s="589">
        <f ca="1">Weather!AR13</f>
        <v>3.0714285714285716</v>
      </c>
      <c r="BW6" s="589">
        <f ca="1">Weather!AS13</f>
        <v>48.25</v>
      </c>
      <c r="BX6" s="589">
        <f ca="1">Weather!AT13</f>
        <v>149.5</v>
      </c>
      <c r="BY6" s="589">
        <f ca="1">Weather!AU13</f>
        <v>271.39285714285717</v>
      </c>
      <c r="BZ6" s="589">
        <f ca="1">Weather!AV13</f>
        <v>364.5</v>
      </c>
      <c r="CA6" s="589">
        <f ca="1">Weather!AW13</f>
        <v>390.39285714285717</v>
      </c>
      <c r="CB6" s="589">
        <f ca="1">Weather!AX13</f>
        <v>395.17857142857144</v>
      </c>
      <c r="CC6" s="589">
        <f ca="1">Weather!AY13</f>
        <v>342.28571428571428</v>
      </c>
      <c r="CD6" s="589">
        <f ca="1">Weather!AZ13</f>
        <v>273.92857142857144</v>
      </c>
      <c r="CE6" s="589">
        <f ca="1">Weather!BA13</f>
        <v>179.64285714285714</v>
      </c>
      <c r="CF6" s="589">
        <f ca="1">Weather!BB13</f>
        <v>67.607142857142861</v>
      </c>
      <c r="CG6" s="589">
        <f ca="1">Weather!BC13</f>
        <v>7.6071428571428568</v>
      </c>
      <c r="CH6" s="589">
        <f ca="1">Weather!BD13</f>
        <v>0</v>
      </c>
      <c r="CI6" s="589">
        <f ca="1">Weather!BE13</f>
        <v>0</v>
      </c>
      <c r="CJ6" s="589">
        <f ca="1">Weather!BF13</f>
        <v>0</v>
      </c>
      <c r="CK6" s="589">
        <f ca="1">Weather!BG13</f>
        <v>0</v>
      </c>
      <c r="CL6" s="589">
        <f ca="1">Weather!BH13</f>
        <v>0</v>
      </c>
      <c r="CM6" s="589">
        <f ca="1">Weather!BI13</f>
        <v>0</v>
      </c>
      <c r="CN6" s="510"/>
      <c r="CO6" s="539"/>
      <c r="CP6" s="589"/>
      <c r="CQ6" s="589"/>
      <c r="CR6" s="584">
        <f t="shared" ca="1" si="0"/>
        <v>-1.0964285714285713</v>
      </c>
      <c r="CS6" s="584">
        <f t="shared" ca="1" si="1"/>
        <v>-3.3888095238095248</v>
      </c>
      <c r="CT6" s="510"/>
      <c r="CU6" s="584">
        <f t="shared" ca="1" si="2"/>
        <v>268.34126984126988</v>
      </c>
      <c r="CV6" s="584">
        <f t="shared" ca="1" si="3"/>
        <v>5.2190476190476192</v>
      </c>
      <c r="CW6" s="584">
        <f t="shared" ca="1" si="4"/>
        <v>173.88514285714288</v>
      </c>
      <c r="CX6" s="584">
        <f t="shared" ca="1" si="5"/>
        <v>4.5092571428571429</v>
      </c>
      <c r="CY6" s="584">
        <f t="shared" ca="1" si="6"/>
        <v>69.554057142857147</v>
      </c>
      <c r="CZ6" s="584">
        <f t="shared" ca="1" si="7"/>
        <v>3.3819428571428571</v>
      </c>
      <c r="DA6" s="691">
        <f t="shared" ca="1" si="8"/>
        <v>251.33040000000003</v>
      </c>
      <c r="DB6" s="539"/>
      <c r="DC6" s="569">
        <f t="shared" ca="1" si="9"/>
        <v>0.69185877576744736</v>
      </c>
      <c r="DD6" s="569">
        <f t="shared" ca="1" si="10"/>
        <v>1.7941550814613523E-2</v>
      </c>
      <c r="DE6" s="569">
        <f t="shared" ca="1" si="11"/>
        <v>0.27674351030697891</v>
      </c>
      <c r="DF6" s="569">
        <f t="shared" ca="1" si="12"/>
        <v>1.3456163110960142E-2</v>
      </c>
      <c r="DG6" s="10"/>
      <c r="DH6" s="422"/>
      <c r="DI6" s="422"/>
      <c r="DJ6" s="422"/>
      <c r="DK6" s="422"/>
      <c r="DL6" s="422"/>
      <c r="DM6" s="422"/>
    </row>
    <row r="7" spans="1:117" s="21" customFormat="1" ht="15.75" outlineLevel="1" x14ac:dyDescent="0.25">
      <c r="A7" s="537"/>
      <c r="B7" s="510"/>
      <c r="C7" s="529" t="s">
        <v>89</v>
      </c>
      <c r="D7" s="530">
        <f>Inputs!C17</f>
        <v>17</v>
      </c>
      <c r="E7" s="510"/>
      <c r="F7" s="529" t="s">
        <v>89</v>
      </c>
      <c r="G7" s="530">
        <f>Inputs!$C$15+1</f>
        <v>5</v>
      </c>
      <c r="H7" s="510"/>
      <c r="I7" s="510"/>
      <c r="J7" s="510"/>
      <c r="K7" s="555"/>
      <c r="L7" s="555"/>
      <c r="M7" s="540"/>
      <c r="N7" s="541" t="s">
        <v>116</v>
      </c>
      <c r="O7" s="540">
        <v>2.6783999999999999</v>
      </c>
      <c r="P7" s="558">
        <v>744</v>
      </c>
      <c r="Q7" s="540">
        <v>31</v>
      </c>
      <c r="R7" s="540"/>
      <c r="S7" s="556" t="s">
        <v>606</v>
      </c>
      <c r="T7" s="556"/>
      <c r="U7" s="556"/>
      <c r="V7" s="556"/>
      <c r="W7" s="510"/>
      <c r="X7" s="510"/>
      <c r="Y7" s="570"/>
      <c r="Z7" s="570" t="s">
        <v>116</v>
      </c>
      <c r="AA7" s="569">
        <f t="shared" si="13"/>
        <v>0.71742857142857142</v>
      </c>
      <c r="AB7" s="569">
        <f t="shared" si="14"/>
        <v>0.95657142857142852</v>
      </c>
      <c r="AC7" s="569">
        <f t="shared" si="15"/>
        <v>0.28697142857142854</v>
      </c>
      <c r="AD7" s="569">
        <f t="shared" si="16"/>
        <v>0.71742857142857142</v>
      </c>
      <c r="AF7" s="507" t="s">
        <v>116</v>
      </c>
      <c r="AG7" s="576">
        <f ca="1">Weather!C14</f>
        <v>3.8249999999999953</v>
      </c>
      <c r="AH7" s="576">
        <f ca="1">Weather!D14</f>
        <v>5.4857526881719902</v>
      </c>
      <c r="AI7" s="577">
        <f ca="1">Weather!E14</f>
        <v>146.20556355985991</v>
      </c>
      <c r="AJ7" s="577">
        <f ca="1">Weather!F14</f>
        <v>121.74748855815628</v>
      </c>
      <c r="AK7" s="577">
        <f ca="1">Weather!G14</f>
        <v>84.754447311336023</v>
      </c>
      <c r="AL7" s="577">
        <f ca="1">Weather!H14</f>
        <v>51.784132192308135</v>
      </c>
      <c r="AM7" s="577">
        <f ca="1">Weather!I14</f>
        <v>42.823672382911298</v>
      </c>
      <c r="AN7" s="577">
        <f ca="1">Weather!J14</f>
        <v>58.995242034107548</v>
      </c>
      <c r="AO7" s="577">
        <f ca="1">Weather!K14</f>
        <v>99.955796287557817</v>
      </c>
      <c r="AP7" s="577">
        <f ca="1">Weather!L14</f>
        <v>135.91064177515455</v>
      </c>
      <c r="AQ7" s="577">
        <f ca="1">Weather!M14</f>
        <v>143.34005376344086</v>
      </c>
      <c r="AR7" s="583">
        <f ca="1">Weather!N14</f>
        <v>2.0225806451612902</v>
      </c>
      <c r="AS7" s="584">
        <f ca="1">Weather!O14</f>
        <v>1.8161290322580645</v>
      </c>
      <c r="AT7" s="584">
        <f ca="1">Weather!P14</f>
        <v>1.767741935483871</v>
      </c>
      <c r="AU7" s="584">
        <f ca="1">Weather!Q14</f>
        <v>1.2483870967741937</v>
      </c>
      <c r="AV7" s="584">
        <f ca="1">Weather!R14</f>
        <v>1.1322580645161291</v>
      </c>
      <c r="AW7" s="584">
        <f ca="1">Weather!S14</f>
        <v>0.91935483870967749</v>
      </c>
      <c r="AX7" s="584">
        <f ca="1">Weather!T14</f>
        <v>1.4225806451612903</v>
      </c>
      <c r="AY7" s="584">
        <f ca="1">Weather!U14</f>
        <v>2.7548387096774198</v>
      </c>
      <c r="AZ7" s="584">
        <f ca="1">Weather!V14</f>
        <v>3.9677419354838714</v>
      </c>
      <c r="BA7" s="584">
        <f ca="1">Weather!W14</f>
        <v>5.0548387096774192</v>
      </c>
      <c r="BB7" s="584">
        <f ca="1">Weather!X14</f>
        <v>5.9387096774193537</v>
      </c>
      <c r="BC7" s="584">
        <f ca="1">Weather!Y14</f>
        <v>6.8193548387096774</v>
      </c>
      <c r="BD7" s="584">
        <f ca="1">Weather!Z14</f>
        <v>7.187096774193547</v>
      </c>
      <c r="BE7" s="584">
        <f ca="1">Weather!AA14</f>
        <v>7.3258064516129036</v>
      </c>
      <c r="BF7" s="584">
        <f ca="1">Weather!AB14</f>
        <v>7.1935483870967731</v>
      </c>
      <c r="BG7" s="584">
        <f ca="1">Weather!AC14</f>
        <v>6.7677419354838708</v>
      </c>
      <c r="BH7" s="584">
        <f ca="1">Weather!AD14</f>
        <v>6.1354838709677404</v>
      </c>
      <c r="BI7" s="584">
        <f ca="1">Weather!AE14</f>
        <v>5.0387096774193543</v>
      </c>
      <c r="BJ7" s="584">
        <f ca="1">Weather!AF14</f>
        <v>3.9419354838709673</v>
      </c>
      <c r="BK7" s="584">
        <f ca="1">Weather!AG14</f>
        <v>3.3000000000000003</v>
      </c>
      <c r="BL7" s="584">
        <f ca="1">Weather!AH14</f>
        <v>2.9419354838709681</v>
      </c>
      <c r="BM7" s="584">
        <f ca="1">Weather!AI14</f>
        <v>2.6096774193548393</v>
      </c>
      <c r="BN7" s="584">
        <f ca="1">Weather!AJ14</f>
        <v>2.3741935483870966</v>
      </c>
      <c r="BO7" s="585">
        <f ca="1">Weather!AK14</f>
        <v>2.1193548387096777</v>
      </c>
      <c r="BP7" s="589">
        <f ca="1">Weather!AL14</f>
        <v>0</v>
      </c>
      <c r="BQ7" s="589">
        <f ca="1">Weather!AM14</f>
        <v>0</v>
      </c>
      <c r="BR7" s="589">
        <f ca="1">Weather!AN14</f>
        <v>0</v>
      </c>
      <c r="BS7" s="589">
        <f ca="1">Weather!AO14</f>
        <v>0</v>
      </c>
      <c r="BT7" s="589">
        <f ca="1">Weather!AP14</f>
        <v>0</v>
      </c>
      <c r="BU7" s="589">
        <f ca="1">Weather!AQ14</f>
        <v>0.58064516129032262</v>
      </c>
      <c r="BV7" s="589">
        <f ca="1">Weather!AR14</f>
        <v>31.774193548387096</v>
      </c>
      <c r="BW7" s="589">
        <f ca="1">Weather!AS14</f>
        <v>132</v>
      </c>
      <c r="BX7" s="589">
        <f ca="1">Weather!AT14</f>
        <v>241.41935483870967</v>
      </c>
      <c r="BY7" s="589">
        <f ca="1">Weather!AU14</f>
        <v>368.48387096774195</v>
      </c>
      <c r="BZ7" s="589">
        <f ca="1">Weather!AV14</f>
        <v>455.51612903225805</v>
      </c>
      <c r="CA7" s="589">
        <f ca="1">Weather!AW14</f>
        <v>479.70967741935482</v>
      </c>
      <c r="CB7" s="589">
        <f ca="1">Weather!AX14</f>
        <v>503.90322580645159</v>
      </c>
      <c r="CC7" s="589">
        <f ca="1">Weather!AY14</f>
        <v>451.09677419354841</v>
      </c>
      <c r="CD7" s="589">
        <f ca="1">Weather!AZ14</f>
        <v>361.03225806451616</v>
      </c>
      <c r="CE7" s="589">
        <f ca="1">Weather!BA14</f>
        <v>252.90322580645162</v>
      </c>
      <c r="CF7" s="589">
        <f ca="1">Weather!BB14</f>
        <v>128.06451612903226</v>
      </c>
      <c r="CG7" s="589">
        <f ca="1">Weather!BC14</f>
        <v>33.12903225806452</v>
      </c>
      <c r="CH7" s="589">
        <f ca="1">Weather!BD14</f>
        <v>0.54838709677419351</v>
      </c>
      <c r="CI7" s="589">
        <f ca="1">Weather!BE14</f>
        <v>0</v>
      </c>
      <c r="CJ7" s="589">
        <f ca="1">Weather!BF14</f>
        <v>0</v>
      </c>
      <c r="CK7" s="589">
        <f ca="1">Weather!BG14</f>
        <v>0</v>
      </c>
      <c r="CL7" s="589">
        <f ca="1">Weather!BH14</f>
        <v>0</v>
      </c>
      <c r="CM7" s="589">
        <f ca="1">Weather!BI14</f>
        <v>0</v>
      </c>
      <c r="CN7" s="510"/>
      <c r="CO7" s="539"/>
      <c r="CP7" s="589"/>
      <c r="CQ7" s="589"/>
      <c r="CR7" s="584">
        <f t="shared" ca="1" si="0"/>
        <v>5.8899641577060926</v>
      </c>
      <c r="CS7" s="584">
        <f t="shared" ca="1" si="1"/>
        <v>2.586021505376344</v>
      </c>
      <c r="CT7" s="510"/>
      <c r="CU7" s="584">
        <f t="shared" ca="1" si="2"/>
        <v>360.67383512544802</v>
      </c>
      <c r="CV7" s="584">
        <f t="shared" ca="1" si="3"/>
        <v>12.939784946236559</v>
      </c>
      <c r="CW7" s="584">
        <f t="shared" ca="1" si="4"/>
        <v>258.75771428571426</v>
      </c>
      <c r="CX7" s="584">
        <f t="shared" ca="1" si="5"/>
        <v>12.377828571428571</v>
      </c>
      <c r="CY7" s="584">
        <f t="shared" ca="1" si="6"/>
        <v>103.5030857142857</v>
      </c>
      <c r="CZ7" s="584">
        <f t="shared" ca="1" si="7"/>
        <v>9.2833714285714279</v>
      </c>
      <c r="DA7" s="691">
        <f t="shared" ca="1" si="8"/>
        <v>383.92199999999991</v>
      </c>
      <c r="DB7" s="539"/>
      <c r="DC7" s="569">
        <f t="shared" ca="1" si="9"/>
        <v>0.67398511751270918</v>
      </c>
      <c r="DD7" s="569">
        <f t="shared" ca="1" si="10"/>
        <v>3.224047741840419E-2</v>
      </c>
      <c r="DE7" s="569">
        <f t="shared" ca="1" si="11"/>
        <v>0.26959404700508366</v>
      </c>
      <c r="DF7" s="569">
        <f t="shared" ca="1" si="12"/>
        <v>2.4180358063803142E-2</v>
      </c>
      <c r="DG7" s="10"/>
      <c r="DH7" s="422"/>
      <c r="DI7" s="422"/>
      <c r="DJ7" s="422"/>
      <c r="DK7" s="422"/>
      <c r="DL7" s="422"/>
      <c r="DM7" s="422"/>
    </row>
    <row r="8" spans="1:117" s="21" customFormat="1" ht="15.75" outlineLevel="1" x14ac:dyDescent="0.25">
      <c r="A8" s="537"/>
      <c r="B8" s="510"/>
      <c r="C8" s="531" t="s">
        <v>82</v>
      </c>
      <c r="D8" s="532">
        <f>IF(D7-D6&lt;0,24+(D7-D6),D7-D6)</f>
        <v>9</v>
      </c>
      <c r="E8" s="510"/>
      <c r="F8" s="531" t="s">
        <v>93</v>
      </c>
      <c r="G8" s="532">
        <f>IF(G7-G6&lt;0,7+(G7-G6),G7-G6)</f>
        <v>5</v>
      </c>
      <c r="H8" s="510"/>
      <c r="I8" s="510"/>
      <c r="J8" s="510"/>
      <c r="K8" s="555"/>
      <c r="L8" s="555"/>
      <c r="M8" s="540"/>
      <c r="N8" s="541" t="s">
        <v>117</v>
      </c>
      <c r="O8" s="540">
        <v>2.5920000000000001</v>
      </c>
      <c r="P8" s="558">
        <v>720</v>
      </c>
      <c r="Q8" s="540">
        <v>30</v>
      </c>
      <c r="R8" s="540"/>
      <c r="S8" s="556"/>
      <c r="T8" s="556"/>
      <c r="U8" s="556" t="s">
        <v>611</v>
      </c>
      <c r="V8" s="556"/>
      <c r="W8" s="510"/>
      <c r="X8" s="510"/>
      <c r="Y8" s="570"/>
      <c r="Z8" s="570" t="s">
        <v>117</v>
      </c>
      <c r="AA8" s="569">
        <f t="shared" si="13"/>
        <v>0.69428571428571428</v>
      </c>
      <c r="AB8" s="569">
        <f t="shared" si="14"/>
        <v>0.92571428571428571</v>
      </c>
      <c r="AC8" s="569">
        <f t="shared" si="15"/>
        <v>0.27771428571428569</v>
      </c>
      <c r="AD8" s="569">
        <f t="shared" si="16"/>
        <v>0.69428571428571428</v>
      </c>
      <c r="AF8" s="507" t="s">
        <v>117</v>
      </c>
      <c r="AG8" s="576">
        <f ca="1">Weather!C15</f>
        <v>9.9386111111111219</v>
      </c>
      <c r="AH8" s="576">
        <f ca="1">Weather!D15</f>
        <v>4.8402777777777537</v>
      </c>
      <c r="AI8" s="577">
        <f ca="1">Weather!E15</f>
        <v>129.54571922468008</v>
      </c>
      <c r="AJ8" s="577">
        <f ca="1">Weather!F15</f>
        <v>123.91942686761442</v>
      </c>
      <c r="AK8" s="577">
        <f ca="1">Weather!G15</f>
        <v>104.91217158295014</v>
      </c>
      <c r="AL8" s="577">
        <f ca="1">Weather!H15</f>
        <v>71.359002342574854</v>
      </c>
      <c r="AM8" s="577">
        <f ca="1">Weather!I15</f>
        <v>54.123489094092776</v>
      </c>
      <c r="AN8" s="577">
        <f ca="1">Weather!J15</f>
        <v>84.55601237335236</v>
      </c>
      <c r="AO8" s="577">
        <f ca="1">Weather!K15</f>
        <v>124.64504199091182</v>
      </c>
      <c r="AP8" s="577">
        <f ca="1">Weather!L15</f>
        <v>138.29984982056544</v>
      </c>
      <c r="AQ8" s="577">
        <f ca="1">Weather!M15</f>
        <v>183.0888888888889</v>
      </c>
      <c r="AR8" s="583">
        <f ca="1">Weather!N15</f>
        <v>7.7933333333333339</v>
      </c>
      <c r="AS8" s="584">
        <f ca="1">Weather!O15</f>
        <v>7.6133333333333342</v>
      </c>
      <c r="AT8" s="584">
        <f ca="1">Weather!P15</f>
        <v>7.5633333333333344</v>
      </c>
      <c r="AU8" s="584">
        <f ca="1">Weather!Q15</f>
        <v>7.1933333333333342</v>
      </c>
      <c r="AV8" s="584">
        <f ca="1">Weather!R15</f>
        <v>6.9566666666666652</v>
      </c>
      <c r="AW8" s="584">
        <f ca="1">Weather!S15</f>
        <v>7.0366666666666662</v>
      </c>
      <c r="AX8" s="584">
        <f ca="1">Weather!T15</f>
        <v>8.0933333333333319</v>
      </c>
      <c r="AY8" s="584">
        <f ca="1">Weather!U15</f>
        <v>9.2566666666666642</v>
      </c>
      <c r="AZ8" s="584">
        <f ca="1">Weather!V15</f>
        <v>10.186666666666669</v>
      </c>
      <c r="BA8" s="584">
        <f ca="1">Weather!W15</f>
        <v>10.946666666666662</v>
      </c>
      <c r="BB8" s="584">
        <f ca="1">Weather!X15</f>
        <v>11.793333333333333</v>
      </c>
      <c r="BC8" s="584">
        <f ca="1">Weather!Y15</f>
        <v>12.276666666666671</v>
      </c>
      <c r="BD8" s="584">
        <f ca="1">Weather!Z15</f>
        <v>12.763333333333337</v>
      </c>
      <c r="BE8" s="584">
        <f ca="1">Weather!AA15</f>
        <v>13.120000000000001</v>
      </c>
      <c r="BF8" s="584">
        <f ca="1">Weather!AB15</f>
        <v>13.01333333333333</v>
      </c>
      <c r="BG8" s="584">
        <f ca="1">Weather!AC15</f>
        <v>12.840000000000002</v>
      </c>
      <c r="BH8" s="584">
        <f ca="1">Weather!AD15</f>
        <v>12.409999999999998</v>
      </c>
      <c r="BI8" s="584">
        <f ca="1">Weather!AE15</f>
        <v>11.503333333333336</v>
      </c>
      <c r="BJ8" s="584">
        <f ca="1">Weather!AF15</f>
        <v>10.576666666666666</v>
      </c>
      <c r="BK8" s="584">
        <f ca="1">Weather!AG15</f>
        <v>9.8800000000000026</v>
      </c>
      <c r="BL8" s="584">
        <f ca="1">Weather!AH15</f>
        <v>9.4866666666666699</v>
      </c>
      <c r="BM8" s="584">
        <f ca="1">Weather!AI15</f>
        <v>9.1800000000000015</v>
      </c>
      <c r="BN8" s="584">
        <f ca="1">Weather!AJ15</f>
        <v>8.9166666666666643</v>
      </c>
      <c r="BO8" s="585">
        <f ca="1">Weather!AK15</f>
        <v>8.1266666666666669</v>
      </c>
      <c r="BP8" s="589">
        <f ca="1">Weather!AL15</f>
        <v>0</v>
      </c>
      <c r="BQ8" s="589">
        <f ca="1">Weather!AM15</f>
        <v>0</v>
      </c>
      <c r="BR8" s="589">
        <f ca="1">Weather!AN15</f>
        <v>0</v>
      </c>
      <c r="BS8" s="589">
        <f ca="1">Weather!AO15</f>
        <v>0</v>
      </c>
      <c r="BT8" s="589">
        <f ca="1">Weather!AP15</f>
        <v>0</v>
      </c>
      <c r="BU8" s="589">
        <f ca="1">Weather!AQ15</f>
        <v>7.1333333333333337</v>
      </c>
      <c r="BV8" s="589">
        <f ca="1">Weather!AR15</f>
        <v>148.4</v>
      </c>
      <c r="BW8" s="589">
        <f ca="1">Weather!AS15</f>
        <v>241.53333333333333</v>
      </c>
      <c r="BX8" s="589">
        <f ca="1">Weather!AT15</f>
        <v>371.53333333333336</v>
      </c>
      <c r="BY8" s="589">
        <f ca="1">Weather!AU15</f>
        <v>463.8</v>
      </c>
      <c r="BZ8" s="589">
        <f ca="1">Weather!AV15</f>
        <v>516.1</v>
      </c>
      <c r="CA8" s="589">
        <f ca="1">Weather!AW15</f>
        <v>548.5333333333333</v>
      </c>
      <c r="CB8" s="589">
        <f ca="1">Weather!AX15</f>
        <v>519.5</v>
      </c>
      <c r="CC8" s="589">
        <f ca="1">Weather!AY15</f>
        <v>528.93333333333328</v>
      </c>
      <c r="CD8" s="589">
        <f ca="1">Weather!AZ15</f>
        <v>438.93333333333334</v>
      </c>
      <c r="CE8" s="589">
        <f ca="1">Weather!BA15</f>
        <v>327.93333333333334</v>
      </c>
      <c r="CF8" s="589">
        <f ca="1">Weather!BB15</f>
        <v>193.56666666666666</v>
      </c>
      <c r="CG8" s="589">
        <f ca="1">Weather!BC15</f>
        <v>85.533333333333331</v>
      </c>
      <c r="CH8" s="589">
        <f ca="1">Weather!BD15</f>
        <v>2.7</v>
      </c>
      <c r="CI8" s="589">
        <f ca="1">Weather!BE15</f>
        <v>0</v>
      </c>
      <c r="CJ8" s="589">
        <f ca="1">Weather!BF15</f>
        <v>0</v>
      </c>
      <c r="CK8" s="589">
        <f ca="1">Weather!BG15</f>
        <v>0</v>
      </c>
      <c r="CL8" s="589">
        <f ca="1">Weather!BH15</f>
        <v>0</v>
      </c>
      <c r="CM8" s="589">
        <f ca="1">Weather!BI15</f>
        <v>0</v>
      </c>
      <c r="CN8" s="510"/>
      <c r="CO8" s="539"/>
      <c r="CP8" s="589"/>
      <c r="CQ8" s="589"/>
      <c r="CR8" s="584">
        <f t="shared" ca="1" si="0"/>
        <v>11.799629629629631</v>
      </c>
      <c r="CS8" s="584">
        <f t="shared" ca="1" si="1"/>
        <v>8.822000000000001</v>
      </c>
      <c r="CT8" s="510"/>
      <c r="CU8" s="584">
        <f t="shared" ca="1" si="2"/>
        <v>439.64444444444445</v>
      </c>
      <c r="CV8" s="584">
        <f t="shared" ca="1" si="3"/>
        <v>29.155555555555555</v>
      </c>
      <c r="CW8" s="584">
        <f t="shared" ca="1" si="4"/>
        <v>305.23885714285717</v>
      </c>
      <c r="CX8" s="584">
        <f t="shared" ca="1" si="5"/>
        <v>26.989714285714285</v>
      </c>
      <c r="CY8" s="584">
        <f t="shared" ca="1" si="6"/>
        <v>122.09554285714285</v>
      </c>
      <c r="CZ8" s="584">
        <f t="shared" ca="1" si="7"/>
        <v>20.242285714285714</v>
      </c>
      <c r="DA8" s="691">
        <f t="shared" ca="1" si="8"/>
        <v>474.56640000000004</v>
      </c>
      <c r="DB8" s="539"/>
      <c r="DC8" s="569">
        <f t="shared" ca="1" si="9"/>
        <v>0.64319525601234551</v>
      </c>
      <c r="DD8" s="569">
        <f t="shared" ca="1" si="10"/>
        <v>5.6872366618695047E-2</v>
      </c>
      <c r="DE8" s="569">
        <f t="shared" ca="1" si="11"/>
        <v>0.25727810240493815</v>
      </c>
      <c r="DF8" s="569">
        <f t="shared" ca="1" si="12"/>
        <v>4.2654274964021285E-2</v>
      </c>
      <c r="DG8" s="10"/>
      <c r="DH8" s="422"/>
      <c r="DI8" s="422"/>
      <c r="DJ8" s="422"/>
      <c r="DK8" s="422"/>
      <c r="DL8" s="422"/>
      <c r="DM8" s="422"/>
    </row>
    <row r="9" spans="1:117" s="436" customFormat="1" ht="15.75" outlineLevel="1" x14ac:dyDescent="0.25">
      <c r="A9" s="537"/>
      <c r="B9" s="510"/>
      <c r="C9" s="510"/>
      <c r="D9" s="510"/>
      <c r="E9" s="510"/>
      <c r="F9" s="510"/>
      <c r="G9" s="510"/>
      <c r="H9" s="510"/>
      <c r="I9" s="510"/>
      <c r="J9" s="510"/>
      <c r="K9" s="555"/>
      <c r="L9" s="555"/>
      <c r="M9" s="540"/>
      <c r="N9" s="541" t="s">
        <v>118</v>
      </c>
      <c r="O9" s="540">
        <v>2.6783999999999999</v>
      </c>
      <c r="P9" s="558">
        <v>744</v>
      </c>
      <c r="Q9" s="540">
        <v>31</v>
      </c>
      <c r="R9" s="540"/>
      <c r="S9" s="556" t="s">
        <v>603</v>
      </c>
      <c r="T9" s="556"/>
      <c r="U9" s="560">
        <v>0.60399999999999998</v>
      </c>
      <c r="V9" s="556" t="s">
        <v>607</v>
      </c>
      <c r="W9" s="510"/>
      <c r="X9" s="510"/>
      <c r="Y9" s="570"/>
      <c r="Z9" s="570" t="s">
        <v>118</v>
      </c>
      <c r="AA9" s="569">
        <f t="shared" si="13"/>
        <v>0.71742857142857142</v>
      </c>
      <c r="AB9" s="569">
        <f t="shared" si="14"/>
        <v>0.95657142857142852</v>
      </c>
      <c r="AC9" s="569">
        <f t="shared" si="15"/>
        <v>0.28697142857142854</v>
      </c>
      <c r="AD9" s="569">
        <f t="shared" si="16"/>
        <v>0.71742857142857142</v>
      </c>
      <c r="AE9" s="21"/>
      <c r="AF9" s="507" t="s">
        <v>118</v>
      </c>
      <c r="AG9" s="576">
        <f ca="1">Weather!C16</f>
        <v>15.297177419354838</v>
      </c>
      <c r="AH9" s="576">
        <f ca="1">Weather!D16</f>
        <v>3.7435483870967348</v>
      </c>
      <c r="AI9" s="577">
        <f ca="1">Weather!E16</f>
        <v>132.18556810128172</v>
      </c>
      <c r="AJ9" s="577">
        <f ca="1">Weather!F16</f>
        <v>143.75963701775225</v>
      </c>
      <c r="AK9" s="577">
        <f ca="1">Weather!G16</f>
        <v>137.9481545932889</v>
      </c>
      <c r="AL9" s="577">
        <f ca="1">Weather!H16</f>
        <v>102.3897939888049</v>
      </c>
      <c r="AM9" s="577">
        <f ca="1">Weather!I16</f>
        <v>76.560517361493908</v>
      </c>
      <c r="AN9" s="577">
        <f ca="1">Weather!J16</f>
        <v>119.71976383406567</v>
      </c>
      <c r="AO9" s="577">
        <f ca="1">Weather!K16</f>
        <v>158.84422167970163</v>
      </c>
      <c r="AP9" s="577">
        <f ca="1">Weather!L16</f>
        <v>155.60022630245336</v>
      </c>
      <c r="AQ9" s="577">
        <f ca="1">Weather!M16</f>
        <v>248.99462365591398</v>
      </c>
      <c r="AR9" s="583">
        <f ca="1">Weather!N16</f>
        <v>10.70967741935484</v>
      </c>
      <c r="AS9" s="584">
        <f ca="1">Weather!O16</f>
        <v>10.316129032258063</v>
      </c>
      <c r="AT9" s="584">
        <f ca="1">Weather!P16</f>
        <v>10.167741935483871</v>
      </c>
      <c r="AU9" s="584">
        <f ca="1">Weather!Q16</f>
        <v>10.051612903225806</v>
      </c>
      <c r="AV9" s="584">
        <f ca="1">Weather!R16</f>
        <v>9.8935483870967733</v>
      </c>
      <c r="AW9" s="584">
        <f ca="1">Weather!S16</f>
        <v>11.225806451612904</v>
      </c>
      <c r="AX9" s="584">
        <f ca="1">Weather!T16</f>
        <v>13.56774193548387</v>
      </c>
      <c r="AY9" s="584">
        <f ca="1">Weather!U16</f>
        <v>15.474193548387097</v>
      </c>
      <c r="AZ9" s="584">
        <f ca="1">Weather!V16</f>
        <v>17.293548387096774</v>
      </c>
      <c r="BA9" s="584">
        <f ca="1">Weather!W16</f>
        <v>18.696774193548386</v>
      </c>
      <c r="BB9" s="584">
        <f ca="1">Weather!X16</f>
        <v>19.819354838709682</v>
      </c>
      <c r="BC9" s="584">
        <f ca="1">Weather!Y16</f>
        <v>20.580645161290324</v>
      </c>
      <c r="BD9" s="584">
        <f ca="1">Weather!Z16</f>
        <v>21.054838709677416</v>
      </c>
      <c r="BE9" s="584">
        <f ca="1">Weather!AA16</f>
        <v>20.945161290322581</v>
      </c>
      <c r="BF9" s="584">
        <f ca="1">Weather!AB16</f>
        <v>20.574193548387097</v>
      </c>
      <c r="BG9" s="584">
        <f ca="1">Weather!AC16</f>
        <v>19.987096774193549</v>
      </c>
      <c r="BH9" s="584">
        <f ca="1">Weather!AD16</f>
        <v>19.532258064516128</v>
      </c>
      <c r="BI9" s="584">
        <f ca="1">Weather!AE16</f>
        <v>18.096774193548384</v>
      </c>
      <c r="BJ9" s="584">
        <f ca="1">Weather!AF16</f>
        <v>16.0741935483871</v>
      </c>
      <c r="BK9" s="584">
        <f ca="1">Weather!AG16</f>
        <v>14.487096774193549</v>
      </c>
      <c r="BL9" s="584">
        <f ca="1">Weather!AH16</f>
        <v>13.332258064516125</v>
      </c>
      <c r="BM9" s="584">
        <f ca="1">Weather!AI16</f>
        <v>12.454838709677418</v>
      </c>
      <c r="BN9" s="584">
        <f ca="1">Weather!AJ16</f>
        <v>11.761290322580646</v>
      </c>
      <c r="BO9" s="585">
        <f ca="1">Weather!AK16</f>
        <v>11.035483870967742</v>
      </c>
      <c r="BP9" s="589">
        <f ca="1">Weather!AL16</f>
        <v>0</v>
      </c>
      <c r="BQ9" s="589">
        <f ca="1">Weather!AM16</f>
        <v>0</v>
      </c>
      <c r="BR9" s="589">
        <f ca="1">Weather!AN16</f>
        <v>0</v>
      </c>
      <c r="BS9" s="589">
        <f ca="1">Weather!AO16</f>
        <v>0</v>
      </c>
      <c r="BT9" s="589">
        <f ca="1">Weather!AP16</f>
        <v>8.741935483870968</v>
      </c>
      <c r="BU9" s="589">
        <f ca="1">Weather!AQ16</f>
        <v>68.548387096774192</v>
      </c>
      <c r="BV9" s="589">
        <f ca="1">Weather!AR16</f>
        <v>202.2258064516129</v>
      </c>
      <c r="BW9" s="589">
        <f ca="1">Weather!AS16</f>
        <v>355.32258064516128</v>
      </c>
      <c r="BX9" s="589">
        <f ca="1">Weather!AT16</f>
        <v>507.25806451612902</v>
      </c>
      <c r="BY9" s="589">
        <f ca="1">Weather!AU16</f>
        <v>631.90322580645159</v>
      </c>
      <c r="BZ9" s="589">
        <f ca="1">Weather!AV16</f>
        <v>680.74193548387098</v>
      </c>
      <c r="CA9" s="589">
        <f ca="1">Weather!AW16</f>
        <v>710.58064516129036</v>
      </c>
      <c r="CB9" s="589">
        <f ca="1">Weather!AX16</f>
        <v>723.90322580645159</v>
      </c>
      <c r="CC9" s="589">
        <f ca="1">Weather!AY16</f>
        <v>670.80645161290317</v>
      </c>
      <c r="CD9" s="589">
        <f ca="1">Weather!AZ16</f>
        <v>538.29032258064512</v>
      </c>
      <c r="CE9" s="589">
        <f ca="1">Weather!BA16</f>
        <v>418.12903225806451</v>
      </c>
      <c r="CF9" s="589">
        <f ca="1">Weather!BB16</f>
        <v>287.64516129032256</v>
      </c>
      <c r="CG9" s="589">
        <f ca="1">Weather!BC16</f>
        <v>135.7741935483871</v>
      </c>
      <c r="CH9" s="589">
        <f ca="1">Weather!BD16</f>
        <v>35.41935483870968</v>
      </c>
      <c r="CI9" s="589">
        <f ca="1">Weather!BE16</f>
        <v>0.58064516129032262</v>
      </c>
      <c r="CJ9" s="589">
        <f ca="1">Weather!BF16</f>
        <v>0</v>
      </c>
      <c r="CK9" s="589">
        <f ca="1">Weather!BG16</f>
        <v>0</v>
      </c>
      <c r="CL9" s="589">
        <f ca="1">Weather!BH16</f>
        <v>0</v>
      </c>
      <c r="CM9" s="589">
        <f ca="1">Weather!BI16</f>
        <v>0</v>
      </c>
      <c r="CN9" s="510"/>
      <c r="CO9" s="539"/>
      <c r="CP9" s="589"/>
      <c r="CQ9" s="589"/>
      <c r="CR9" s="584">
        <f t="shared" ca="1" si="0"/>
        <v>19.380645161290321</v>
      </c>
      <c r="CS9" s="584">
        <f t="shared" ca="1" si="1"/>
        <v>12.847096774193545</v>
      </c>
      <c r="CT9" s="510"/>
      <c r="CU9" s="584">
        <f t="shared" ca="1" si="2"/>
        <v>581.88172043010741</v>
      </c>
      <c r="CV9" s="584">
        <f t="shared" ca="1" si="3"/>
        <v>49.262365591397845</v>
      </c>
      <c r="CW9" s="584">
        <f t="shared" ca="1" si="4"/>
        <v>417.45857142857136</v>
      </c>
      <c r="CX9" s="584">
        <f t="shared" ca="1" si="5"/>
        <v>47.122971428571425</v>
      </c>
      <c r="CY9" s="584">
        <f t="shared" ca="1" si="6"/>
        <v>166.98342857142853</v>
      </c>
      <c r="CZ9" s="584">
        <f t="shared" ca="1" si="7"/>
        <v>35.342228571428571</v>
      </c>
      <c r="DA9" s="691">
        <f t="shared" ca="1" si="8"/>
        <v>666.90719999999988</v>
      </c>
      <c r="DB9" s="539"/>
      <c r="DC9" s="569">
        <f t="shared" ca="1" si="9"/>
        <v>0.62596201004963126</v>
      </c>
      <c r="DD9" s="569">
        <f t="shared" ca="1" si="10"/>
        <v>7.0658963388866444E-2</v>
      </c>
      <c r="DE9" s="569">
        <f t="shared" ca="1" si="11"/>
        <v>0.25038480401985247</v>
      </c>
      <c r="DF9" s="569">
        <f t="shared" ca="1" si="12"/>
        <v>5.2994222541649837E-2</v>
      </c>
      <c r="DG9" s="10"/>
      <c r="DH9" s="422"/>
      <c r="DI9" s="422"/>
      <c r="DJ9" s="422"/>
      <c r="DK9" s="422"/>
      <c r="DL9" s="422"/>
      <c r="DM9" s="422"/>
    </row>
    <row r="10" spans="1:117" s="436" customFormat="1" ht="15.75" outlineLevel="1" x14ac:dyDescent="0.25">
      <c r="A10" s="537"/>
      <c r="B10" s="510"/>
      <c r="C10" s="507" t="s">
        <v>101</v>
      </c>
      <c r="D10" s="533">
        <f>Inputs!C12</f>
        <v>6.24</v>
      </c>
      <c r="E10" s="510"/>
      <c r="F10" s="510"/>
      <c r="G10" s="510"/>
      <c r="H10" s="510"/>
      <c r="I10" s="510"/>
      <c r="J10" s="510"/>
      <c r="K10" s="555"/>
      <c r="L10" s="555"/>
      <c r="M10" s="540"/>
      <c r="N10" s="541" t="s">
        <v>119</v>
      </c>
      <c r="O10" s="540">
        <v>2.5920000000000001</v>
      </c>
      <c r="P10" s="558">
        <v>720</v>
      </c>
      <c r="Q10" s="540">
        <v>30</v>
      </c>
      <c r="R10" s="540"/>
      <c r="S10" s="556" t="s">
        <v>604</v>
      </c>
      <c r="T10" s="556"/>
      <c r="U10" s="560">
        <v>1.1199999999999999E-3</v>
      </c>
      <c r="V10" s="556" t="s">
        <v>607</v>
      </c>
      <c r="W10" s="510"/>
      <c r="X10" s="510"/>
      <c r="Y10" s="570"/>
      <c r="Z10" s="570" t="s">
        <v>119</v>
      </c>
      <c r="AA10" s="569">
        <f t="shared" si="13"/>
        <v>0.69428571428571428</v>
      </c>
      <c r="AB10" s="569">
        <f t="shared" si="14"/>
        <v>0.92571428571428571</v>
      </c>
      <c r="AC10" s="569">
        <f t="shared" si="15"/>
        <v>0.27771428571428569</v>
      </c>
      <c r="AD10" s="569">
        <f t="shared" si="16"/>
        <v>0.69428571428571428</v>
      </c>
      <c r="AE10" s="21"/>
      <c r="AF10" s="507" t="s">
        <v>119</v>
      </c>
      <c r="AG10" s="576">
        <f ca="1">Weather!C17</f>
        <v>21.110000000000003</v>
      </c>
      <c r="AH10" s="576">
        <f ca="1">Weather!D17</f>
        <v>4.8865277777777356</v>
      </c>
      <c r="AI10" s="577">
        <f ca="1">Weather!E17</f>
        <v>121.07962946299989</v>
      </c>
      <c r="AJ10" s="577">
        <f ca="1">Weather!F17</f>
        <v>143.09683694169615</v>
      </c>
      <c r="AK10" s="577">
        <f ca="1">Weather!G17</f>
        <v>148.08418384265974</v>
      </c>
      <c r="AL10" s="577">
        <f ca="1">Weather!H17</f>
        <v>116.20305894743132</v>
      </c>
      <c r="AM10" s="577">
        <f ca="1">Weather!I17</f>
        <v>87.968371824456128</v>
      </c>
      <c r="AN10" s="577">
        <f ca="1">Weather!J17</f>
        <v>132.16138480608603</v>
      </c>
      <c r="AO10" s="577">
        <f ca="1">Weather!K17</f>
        <v>164.7565994827126</v>
      </c>
      <c r="AP10" s="577">
        <f ca="1">Weather!L17</f>
        <v>150.47548693101834</v>
      </c>
      <c r="AQ10" s="577">
        <f ca="1">Weather!M17</f>
        <v>262.22916666666669</v>
      </c>
      <c r="AR10" s="583">
        <f ca="1">Weather!N17</f>
        <v>17.596666666666668</v>
      </c>
      <c r="AS10" s="584">
        <f ca="1">Weather!O17</f>
        <v>17.25333333333333</v>
      </c>
      <c r="AT10" s="584">
        <f ca="1">Weather!P17</f>
        <v>17.206666666666667</v>
      </c>
      <c r="AU10" s="584">
        <f ca="1">Weather!Q17</f>
        <v>16.863333333333333</v>
      </c>
      <c r="AV10" s="584">
        <f ca="1">Weather!R17</f>
        <v>16.72</v>
      </c>
      <c r="AW10" s="584">
        <f ca="1">Weather!S17</f>
        <v>17.593333333333327</v>
      </c>
      <c r="AX10" s="584">
        <f ca="1">Weather!T17</f>
        <v>19.573333333333327</v>
      </c>
      <c r="AY10" s="584">
        <f ca="1">Weather!U17</f>
        <v>21.283333333333339</v>
      </c>
      <c r="AZ10" s="584">
        <f ca="1">Weather!V17</f>
        <v>22.50333333333333</v>
      </c>
      <c r="BA10" s="584">
        <f ca="1">Weather!W17</f>
        <v>23.589999999999993</v>
      </c>
      <c r="BB10" s="584">
        <f ca="1">Weather!X17</f>
        <v>24.383333333333333</v>
      </c>
      <c r="BC10" s="584">
        <f ca="1">Weather!Y17</f>
        <v>24.829999999999995</v>
      </c>
      <c r="BD10" s="584">
        <f ca="1">Weather!Z17</f>
        <v>25.22666666666667</v>
      </c>
      <c r="BE10" s="584">
        <f ca="1">Weather!AA17</f>
        <v>25.466666666666672</v>
      </c>
      <c r="BF10" s="584">
        <f ca="1">Weather!AB17</f>
        <v>25.39</v>
      </c>
      <c r="BG10" s="584">
        <f ca="1">Weather!AC17</f>
        <v>25.133333333333333</v>
      </c>
      <c r="BH10" s="584">
        <f ca="1">Weather!AD17</f>
        <v>24.756666666666668</v>
      </c>
      <c r="BI10" s="584">
        <f ca="1">Weather!AE17</f>
        <v>23.95666666666666</v>
      </c>
      <c r="BJ10" s="584">
        <f ca="1">Weather!AF17</f>
        <v>22.333333333333329</v>
      </c>
      <c r="BK10" s="584">
        <f ca="1">Weather!AG17</f>
        <v>20.68</v>
      </c>
      <c r="BL10" s="584">
        <f ca="1">Weather!AH17</f>
        <v>19.41</v>
      </c>
      <c r="BM10" s="584">
        <f ca="1">Weather!AI17</f>
        <v>18.790000000000003</v>
      </c>
      <c r="BN10" s="584">
        <f ca="1">Weather!AJ17</f>
        <v>18.133333333333336</v>
      </c>
      <c r="BO10" s="585">
        <f ca="1">Weather!AK17</f>
        <v>17.966666666666661</v>
      </c>
      <c r="BP10" s="589">
        <f ca="1">Weather!AL17</f>
        <v>0</v>
      </c>
      <c r="BQ10" s="589">
        <f ca="1">Weather!AM17</f>
        <v>0</v>
      </c>
      <c r="BR10" s="589">
        <f ca="1">Weather!AN17</f>
        <v>0</v>
      </c>
      <c r="BS10" s="589">
        <f ca="1">Weather!AO17</f>
        <v>0</v>
      </c>
      <c r="BT10" s="589">
        <f ca="1">Weather!AP17</f>
        <v>16.266666666666666</v>
      </c>
      <c r="BU10" s="589">
        <f ca="1">Weather!AQ17</f>
        <v>95.1</v>
      </c>
      <c r="BV10" s="589">
        <f ca="1">Weather!AR17</f>
        <v>232.83333333333334</v>
      </c>
      <c r="BW10" s="589">
        <f ca="1">Weather!AS17</f>
        <v>384.46666666666664</v>
      </c>
      <c r="BX10" s="589">
        <f ca="1">Weather!AT17</f>
        <v>533.20000000000005</v>
      </c>
      <c r="BY10" s="589">
        <f ca="1">Weather!AU17</f>
        <v>625.5</v>
      </c>
      <c r="BZ10" s="589">
        <f ca="1">Weather!AV17</f>
        <v>709.1</v>
      </c>
      <c r="CA10" s="589">
        <f ca="1">Weather!AW17</f>
        <v>702.63333333333333</v>
      </c>
      <c r="CB10" s="589">
        <f ca="1">Weather!AX17</f>
        <v>698.33333333333337</v>
      </c>
      <c r="CC10" s="589">
        <f ca="1">Weather!AY17</f>
        <v>660.9</v>
      </c>
      <c r="CD10" s="589">
        <f ca="1">Weather!AZ17</f>
        <v>586.86666666666667</v>
      </c>
      <c r="CE10" s="589">
        <f ca="1">Weather!BA17</f>
        <v>475.2</v>
      </c>
      <c r="CF10" s="589">
        <f ca="1">Weather!BB17</f>
        <v>319.89999999999998</v>
      </c>
      <c r="CG10" s="589">
        <f ca="1">Weather!BC17</f>
        <v>185.6</v>
      </c>
      <c r="CH10" s="589">
        <f ca="1">Weather!BD17</f>
        <v>61.733333333333334</v>
      </c>
      <c r="CI10" s="589">
        <f ca="1">Weather!BE17</f>
        <v>5.8666666666666663</v>
      </c>
      <c r="CJ10" s="589">
        <f ca="1">Weather!BF17</f>
        <v>0</v>
      </c>
      <c r="CK10" s="589">
        <f ca="1">Weather!BG17</f>
        <v>0</v>
      </c>
      <c r="CL10" s="589">
        <f ca="1">Weather!BH17</f>
        <v>0</v>
      </c>
      <c r="CM10" s="589">
        <f ca="1">Weather!BI17</f>
        <v>0</v>
      </c>
      <c r="CN10" s="510"/>
      <c r="CO10" s="539"/>
      <c r="CP10" s="589"/>
      <c r="CQ10" s="589"/>
      <c r="CR10" s="584">
        <f t="shared" ca="1" si="0"/>
        <v>24.200740740740741</v>
      </c>
      <c r="CS10" s="584">
        <f t="shared" ca="1" si="1"/>
        <v>19.255555555555549</v>
      </c>
      <c r="CT10" s="510"/>
      <c r="CU10" s="584">
        <f t="shared" ca="1" si="2"/>
        <v>597.3555555555555</v>
      </c>
      <c r="CV10" s="584">
        <f t="shared" ca="1" si="3"/>
        <v>61.153333333333329</v>
      </c>
      <c r="CW10" s="584">
        <f t="shared" ca="1" si="4"/>
        <v>414.73542857142854</v>
      </c>
      <c r="CX10" s="584">
        <f t="shared" ca="1" si="5"/>
        <v>56.610514285714281</v>
      </c>
      <c r="CY10" s="584">
        <f t="shared" ca="1" si="6"/>
        <v>165.89417142857141</v>
      </c>
      <c r="CZ10" s="584">
        <f t="shared" ca="1" si="7"/>
        <v>42.457885714285709</v>
      </c>
      <c r="DA10" s="691">
        <f t="shared" ca="1" si="8"/>
        <v>679.69799999999987</v>
      </c>
      <c r="DB10" s="539"/>
      <c r="DC10" s="569">
        <f t="shared" ca="1" si="9"/>
        <v>0.6101760319604127</v>
      </c>
      <c r="DD10" s="569">
        <f t="shared" ca="1" si="10"/>
        <v>8.3287745860241305E-2</v>
      </c>
      <c r="DE10" s="569">
        <f t="shared" ca="1" si="11"/>
        <v>0.24407041278416508</v>
      </c>
      <c r="DF10" s="569">
        <f t="shared" ca="1" si="12"/>
        <v>6.2465809395180975E-2</v>
      </c>
      <c r="DG10" s="10"/>
      <c r="DH10" s="422"/>
      <c r="DI10" s="422"/>
      <c r="DJ10" s="422"/>
      <c r="DK10" s="422"/>
      <c r="DL10" s="422"/>
      <c r="DM10" s="422"/>
    </row>
    <row r="11" spans="1:117" s="436" customFormat="1" ht="15.75" outlineLevel="1" x14ac:dyDescent="0.25">
      <c r="A11" s="537"/>
      <c r="B11" s="510"/>
      <c r="C11" s="507" t="s">
        <v>103</v>
      </c>
      <c r="D11" s="534">
        <f>C2/D10</f>
        <v>1101.1217948717949</v>
      </c>
      <c r="E11" s="510"/>
      <c r="F11" s="510"/>
      <c r="G11" s="510"/>
      <c r="H11" s="510"/>
      <c r="I11" s="510"/>
      <c r="J11" s="510"/>
      <c r="K11" s="555"/>
      <c r="L11" s="555"/>
      <c r="M11" s="540"/>
      <c r="N11" s="541" t="s">
        <v>429</v>
      </c>
      <c r="O11" s="540">
        <v>2.6783999999999999</v>
      </c>
      <c r="P11" s="558">
        <v>744</v>
      </c>
      <c r="Q11" s="540">
        <v>31</v>
      </c>
      <c r="R11" s="540"/>
      <c r="S11" s="556" t="s">
        <v>605</v>
      </c>
      <c r="T11" s="556"/>
      <c r="U11" s="560">
        <v>2.16E-3</v>
      </c>
      <c r="V11" s="556" t="s">
        <v>607</v>
      </c>
      <c r="W11" s="510"/>
      <c r="X11" s="510"/>
      <c r="Y11" s="570"/>
      <c r="Z11" s="570" t="s">
        <v>120</v>
      </c>
      <c r="AA11" s="569">
        <f t="shared" si="13"/>
        <v>0.71742857142857142</v>
      </c>
      <c r="AB11" s="569">
        <f t="shared" si="14"/>
        <v>0.95657142857142852</v>
      </c>
      <c r="AC11" s="569">
        <f t="shared" si="15"/>
        <v>0.28697142857142854</v>
      </c>
      <c r="AD11" s="569">
        <f t="shared" si="16"/>
        <v>0.71742857142857142</v>
      </c>
      <c r="AE11" s="21"/>
      <c r="AF11" s="507" t="s">
        <v>429</v>
      </c>
      <c r="AG11" s="576">
        <f ca="1">Weather!C18</f>
        <v>24.129569892473107</v>
      </c>
      <c r="AH11" s="576">
        <f ca="1">Weather!D18</f>
        <v>4.238575268817157</v>
      </c>
      <c r="AI11" s="577">
        <f ca="1">Weather!E18</f>
        <v>130.12933499076038</v>
      </c>
      <c r="AJ11" s="577">
        <f ca="1">Weather!F18</f>
        <v>142.68021376203919</v>
      </c>
      <c r="AK11" s="577">
        <f ca="1">Weather!G18</f>
        <v>140.71941217247101</v>
      </c>
      <c r="AL11" s="577">
        <f ca="1">Weather!H18</f>
        <v>109.49477577884802</v>
      </c>
      <c r="AM11" s="577">
        <f ca="1">Weather!I18</f>
        <v>85.059574537871271</v>
      </c>
      <c r="AN11" s="577">
        <f ca="1">Weather!J18</f>
        <v>129.52518517439455</v>
      </c>
      <c r="AO11" s="577">
        <f ca="1">Weather!K18</f>
        <v>166.14744325927683</v>
      </c>
      <c r="AP11" s="577">
        <f ca="1">Weather!L18</f>
        <v>158.39565621217523</v>
      </c>
      <c r="AQ11" s="577">
        <f ca="1">Weather!M18</f>
        <v>257.36559139784947</v>
      </c>
      <c r="AR11" s="583">
        <f ca="1">Weather!N18</f>
        <v>20.71290322580645</v>
      </c>
      <c r="AS11" s="584">
        <f ca="1">Weather!O18</f>
        <v>20.341935483870962</v>
      </c>
      <c r="AT11" s="584">
        <f ca="1">Weather!P18</f>
        <v>19.87096774193548</v>
      </c>
      <c r="AU11" s="584">
        <f ca="1">Weather!Q18</f>
        <v>19.732258064516127</v>
      </c>
      <c r="AV11" s="584">
        <f ca="1">Weather!R18</f>
        <v>19.532258064516128</v>
      </c>
      <c r="AW11" s="584">
        <f ca="1">Weather!S18</f>
        <v>20.706451612903233</v>
      </c>
      <c r="AX11" s="584">
        <f ca="1">Weather!T18</f>
        <v>22.400000000000002</v>
      </c>
      <c r="AY11" s="584">
        <f ca="1">Weather!U18</f>
        <v>23.732258064516124</v>
      </c>
      <c r="AZ11" s="584">
        <f ca="1">Weather!V18</f>
        <v>24.961290322580648</v>
      </c>
      <c r="BA11" s="584">
        <f ca="1">Weather!W18</f>
        <v>26.077419354838707</v>
      </c>
      <c r="BB11" s="584">
        <f ca="1">Weather!X18</f>
        <v>27.038709677419345</v>
      </c>
      <c r="BC11" s="584">
        <f ca="1">Weather!Y18</f>
        <v>27.832258064516129</v>
      </c>
      <c r="BD11" s="584">
        <f ca="1">Weather!Z18</f>
        <v>28.441935483870967</v>
      </c>
      <c r="BE11" s="584">
        <f ca="1">Weather!AA18</f>
        <v>28.577419354838703</v>
      </c>
      <c r="BF11" s="584">
        <f ca="1">Weather!AB18</f>
        <v>28.496774193548383</v>
      </c>
      <c r="BG11" s="584">
        <f ca="1">Weather!AC18</f>
        <v>27.98064516129033</v>
      </c>
      <c r="BH11" s="584">
        <f ca="1">Weather!AD18</f>
        <v>27.319354838709689</v>
      </c>
      <c r="BI11" s="584">
        <f ca="1">Weather!AE18</f>
        <v>26.516129032258068</v>
      </c>
      <c r="BJ11" s="584">
        <f ca="1">Weather!AF18</f>
        <v>25.400000000000002</v>
      </c>
      <c r="BK11" s="584">
        <f ca="1">Weather!AG18</f>
        <v>24.048387096774189</v>
      </c>
      <c r="BL11" s="584">
        <f ca="1">Weather!AH18</f>
        <v>23.245161290322581</v>
      </c>
      <c r="BM11" s="584">
        <f ca="1">Weather!AI18</f>
        <v>22.648387096774197</v>
      </c>
      <c r="BN11" s="584">
        <f ca="1">Weather!AJ18</f>
        <v>22.041935483870969</v>
      </c>
      <c r="BO11" s="585">
        <f ca="1">Weather!AK18</f>
        <v>21.454838709677425</v>
      </c>
      <c r="BP11" s="589">
        <f ca="1">Weather!AL18</f>
        <v>0</v>
      </c>
      <c r="BQ11" s="589">
        <f ca="1">Weather!AM18</f>
        <v>0</v>
      </c>
      <c r="BR11" s="589">
        <f ca="1">Weather!AN18</f>
        <v>0</v>
      </c>
      <c r="BS11" s="589">
        <f ca="1">Weather!AO18</f>
        <v>0</v>
      </c>
      <c r="BT11" s="589">
        <f ca="1">Weather!AP18</f>
        <v>8.387096774193548</v>
      </c>
      <c r="BU11" s="589">
        <f ca="1">Weather!AQ18</f>
        <v>67.548387096774192</v>
      </c>
      <c r="BV11" s="589">
        <f ca="1">Weather!AR18</f>
        <v>194.32258064516128</v>
      </c>
      <c r="BW11" s="589">
        <f ca="1">Weather!AS18</f>
        <v>338</v>
      </c>
      <c r="BX11" s="589">
        <f ca="1">Weather!AT18</f>
        <v>477.09677419354841</v>
      </c>
      <c r="BY11" s="589">
        <f ca="1">Weather!AU18</f>
        <v>600.61290322580646</v>
      </c>
      <c r="BZ11" s="589">
        <f ca="1">Weather!AV18</f>
        <v>664.35483870967744</v>
      </c>
      <c r="CA11" s="589">
        <f ca="1">Weather!AW18</f>
        <v>732.29032258064512</v>
      </c>
      <c r="CB11" s="589">
        <f ca="1">Weather!AX18</f>
        <v>761.32258064516134</v>
      </c>
      <c r="CC11" s="589">
        <f ca="1">Weather!AY18</f>
        <v>681.70967741935488</v>
      </c>
      <c r="CD11" s="589">
        <f ca="1">Weather!AZ18</f>
        <v>611.19354838709683</v>
      </c>
      <c r="CE11" s="589">
        <f ca="1">Weather!BA18</f>
        <v>464.16129032258067</v>
      </c>
      <c r="CF11" s="589">
        <f ca="1">Weather!BB18</f>
        <v>333.03225806451616</v>
      </c>
      <c r="CG11" s="589">
        <f ca="1">Weather!BC18</f>
        <v>181.12903225806451</v>
      </c>
      <c r="CH11" s="589">
        <f ca="1">Weather!BD18</f>
        <v>56.806451612903224</v>
      </c>
      <c r="CI11" s="589">
        <f ca="1">Weather!BE18</f>
        <v>4.806451612903226</v>
      </c>
      <c r="CJ11" s="589">
        <f ca="1">Weather!BF18</f>
        <v>0</v>
      </c>
      <c r="CK11" s="589">
        <f ca="1">Weather!BG18</f>
        <v>0</v>
      </c>
      <c r="CL11" s="589">
        <f ca="1">Weather!BH18</f>
        <v>0</v>
      </c>
      <c r="CM11" s="589">
        <f ca="1">Weather!BI18</f>
        <v>0</v>
      </c>
      <c r="CN11" s="510"/>
      <c r="CO11" s="539"/>
      <c r="CP11" s="589"/>
      <c r="CQ11" s="589"/>
      <c r="CR11" s="584">
        <f t="shared" ca="1" si="0"/>
        <v>27.015412186379926</v>
      </c>
      <c r="CS11" s="584">
        <f t="shared" ca="1" si="1"/>
        <v>22.398064516129029</v>
      </c>
      <c r="CT11" s="510"/>
      <c r="CU11" s="584">
        <f t="shared" ca="1" si="2"/>
        <v>592.3046594982078</v>
      </c>
      <c r="CV11" s="584">
        <f t="shared" ca="1" si="3"/>
        <v>56.402150537634398</v>
      </c>
      <c r="CW11" s="584">
        <f t="shared" ca="1" si="4"/>
        <v>424.93628571428565</v>
      </c>
      <c r="CX11" s="584">
        <f t="shared" ca="1" si="5"/>
        <v>53.9526857142857</v>
      </c>
      <c r="CY11" s="584">
        <f t="shared" ca="1" si="6"/>
        <v>169.97451428571424</v>
      </c>
      <c r="CZ11" s="584">
        <f t="shared" ca="1" si="7"/>
        <v>40.46451428571428</v>
      </c>
      <c r="DA11" s="691">
        <f t="shared" ca="1" si="8"/>
        <v>689.32799999999986</v>
      </c>
      <c r="DB11" s="539"/>
      <c r="DC11" s="569">
        <f t="shared" ca="1" si="9"/>
        <v>0.61645005819332122</v>
      </c>
      <c r="DD11" s="569">
        <f t="shared" ca="1" si="10"/>
        <v>7.8268524873914461E-2</v>
      </c>
      <c r="DE11" s="569">
        <f t="shared" ca="1" si="11"/>
        <v>0.24658002327732845</v>
      </c>
      <c r="DF11" s="569">
        <f t="shared" ca="1" si="12"/>
        <v>5.8701393655435856E-2</v>
      </c>
      <c r="DG11" s="10"/>
      <c r="DH11" s="422"/>
      <c r="DI11" s="422"/>
      <c r="DJ11" s="422"/>
      <c r="DK11" s="422"/>
      <c r="DL11" s="422"/>
      <c r="DM11" s="422"/>
    </row>
    <row r="12" spans="1:117" s="436" customFormat="1" ht="15.75" outlineLevel="1" x14ac:dyDescent="0.25">
      <c r="A12" s="537"/>
      <c r="B12" s="510"/>
      <c r="C12" s="510"/>
      <c r="D12" s="510"/>
      <c r="E12" s="510"/>
      <c r="F12" s="510"/>
      <c r="G12" s="510"/>
      <c r="H12" s="510"/>
      <c r="I12" s="510"/>
      <c r="J12" s="510"/>
      <c r="K12" s="555"/>
      <c r="L12" s="555"/>
      <c r="M12" s="540"/>
      <c r="N12" s="541" t="s">
        <v>121</v>
      </c>
      <c r="O12" s="540">
        <v>2.6783999999999999</v>
      </c>
      <c r="P12" s="558">
        <v>744</v>
      </c>
      <c r="Q12" s="540">
        <v>31</v>
      </c>
      <c r="R12" s="540"/>
      <c r="S12" s="556"/>
      <c r="T12" s="556"/>
      <c r="U12" s="556"/>
      <c r="V12" s="556"/>
      <c r="W12" s="510"/>
      <c r="X12" s="510"/>
      <c r="Y12" s="570"/>
      <c r="Z12" s="570" t="s">
        <v>121</v>
      </c>
      <c r="AA12" s="569">
        <f t="shared" si="13"/>
        <v>0.71742857142857142</v>
      </c>
      <c r="AB12" s="569">
        <f t="shared" si="14"/>
        <v>0.95657142857142852</v>
      </c>
      <c r="AC12" s="569">
        <f t="shared" si="15"/>
        <v>0.28697142857142854</v>
      </c>
      <c r="AD12" s="569">
        <f t="shared" si="16"/>
        <v>0.71742857142857142</v>
      </c>
      <c r="AE12" s="21"/>
      <c r="AF12" s="507" t="s">
        <v>121</v>
      </c>
      <c r="AG12" s="576">
        <f ca="1">Weather!C19</f>
        <v>21.780376344086033</v>
      </c>
      <c r="AH12" s="576">
        <f ca="1">Weather!D19</f>
        <v>3.8431451612902845</v>
      </c>
      <c r="AI12" s="577">
        <f ca="1">Weather!E19</f>
        <v>136.09474845523096</v>
      </c>
      <c r="AJ12" s="577">
        <f ca="1">Weather!F19</f>
        <v>138.71027275667734</v>
      </c>
      <c r="AK12" s="577">
        <f ca="1">Weather!G19</f>
        <v>123.74407941468324</v>
      </c>
      <c r="AL12" s="577">
        <f ca="1">Weather!H19</f>
        <v>88.177499147622058</v>
      </c>
      <c r="AM12" s="577">
        <f ca="1">Weather!I19</f>
        <v>66.25632961731128</v>
      </c>
      <c r="AN12" s="577">
        <f ca="1">Weather!J19</f>
        <v>103.44337485131064</v>
      </c>
      <c r="AO12" s="577">
        <f ca="1">Weather!K19</f>
        <v>143.36424809870618</v>
      </c>
      <c r="AP12" s="577">
        <f ca="1">Weather!L19</f>
        <v>150.83226753036124</v>
      </c>
      <c r="AQ12" s="577">
        <f ca="1">Weather!M19</f>
        <v>215.05913978494624</v>
      </c>
      <c r="AR12" s="583">
        <f ca="1">Weather!N19</f>
        <v>18.593548387096778</v>
      </c>
      <c r="AS12" s="584">
        <f ca="1">Weather!O19</f>
        <v>18.319354838709678</v>
      </c>
      <c r="AT12" s="584">
        <f ca="1">Weather!P19</f>
        <v>18.161290322580644</v>
      </c>
      <c r="AU12" s="584">
        <f ca="1">Weather!Q19</f>
        <v>17.670967741935481</v>
      </c>
      <c r="AV12" s="584">
        <f ca="1">Weather!R19</f>
        <v>17.664516129032254</v>
      </c>
      <c r="AW12" s="584">
        <f ca="1">Weather!S19</f>
        <v>18.029032258064511</v>
      </c>
      <c r="AX12" s="584">
        <f ca="1">Weather!T19</f>
        <v>20.087096774193547</v>
      </c>
      <c r="AY12" s="584">
        <f ca="1">Weather!U19</f>
        <v>21.70967741935484</v>
      </c>
      <c r="AZ12" s="584">
        <f ca="1">Weather!V19</f>
        <v>23.258064516129036</v>
      </c>
      <c r="BA12" s="584">
        <f ca="1">Weather!W19</f>
        <v>24.603225806451611</v>
      </c>
      <c r="BB12" s="584">
        <f ca="1">Weather!X19</f>
        <v>25.203225806451609</v>
      </c>
      <c r="BC12" s="584">
        <f ca="1">Weather!Y19</f>
        <v>25.432258064516127</v>
      </c>
      <c r="BD12" s="584">
        <f ca="1">Weather!Z19</f>
        <v>25.900000000000002</v>
      </c>
      <c r="BE12" s="584">
        <f ca="1">Weather!AA19</f>
        <v>25.71935483870968</v>
      </c>
      <c r="BF12" s="584">
        <f ca="1">Weather!AB19</f>
        <v>25.429032258064517</v>
      </c>
      <c r="BG12" s="584">
        <f ca="1">Weather!AC19</f>
        <v>25.174193548387091</v>
      </c>
      <c r="BH12" s="584">
        <f ca="1">Weather!AD19</f>
        <v>24.538709677419355</v>
      </c>
      <c r="BI12" s="584">
        <f ca="1">Weather!AE19</f>
        <v>23.77096774193549</v>
      </c>
      <c r="BJ12" s="584">
        <f ca="1">Weather!AF19</f>
        <v>22.364516129032257</v>
      </c>
      <c r="BK12" s="584">
        <f ca="1">Weather!AG19</f>
        <v>21.464516129032258</v>
      </c>
      <c r="BL12" s="584">
        <f ca="1">Weather!AH19</f>
        <v>20.6</v>
      </c>
      <c r="BM12" s="584">
        <f ca="1">Weather!AI19</f>
        <v>20.2741935483871</v>
      </c>
      <c r="BN12" s="584">
        <f ca="1">Weather!AJ19</f>
        <v>19.580645161290327</v>
      </c>
      <c r="BO12" s="585">
        <f ca="1">Weather!AK19</f>
        <v>19.180645161290322</v>
      </c>
      <c r="BP12" s="589">
        <f ca="1">Weather!AL19</f>
        <v>0</v>
      </c>
      <c r="BQ12" s="589">
        <f ca="1">Weather!AM19</f>
        <v>0</v>
      </c>
      <c r="BR12" s="589">
        <f ca="1">Weather!AN19</f>
        <v>0</v>
      </c>
      <c r="BS12" s="589">
        <f ca="1">Weather!AO19</f>
        <v>0</v>
      </c>
      <c r="BT12" s="589">
        <f ca="1">Weather!AP19</f>
        <v>0.32258064516129031</v>
      </c>
      <c r="BU12" s="589">
        <f ca="1">Weather!AQ19</f>
        <v>31.93548387096774</v>
      </c>
      <c r="BV12" s="589">
        <f ca="1">Weather!AR19</f>
        <v>138.45161290322579</v>
      </c>
      <c r="BW12" s="589">
        <f ca="1">Weather!AS19</f>
        <v>277.80645161290323</v>
      </c>
      <c r="BX12" s="589">
        <f ca="1">Weather!AT19</f>
        <v>413.32258064516128</v>
      </c>
      <c r="BY12" s="589">
        <f ca="1">Weather!AU19</f>
        <v>548.9677419354839</v>
      </c>
      <c r="BZ12" s="589">
        <f ca="1">Weather!AV19</f>
        <v>611.09677419354841</v>
      </c>
      <c r="CA12" s="589">
        <f ca="1">Weather!AW19</f>
        <v>647.61290322580646</v>
      </c>
      <c r="CB12" s="589">
        <f ca="1">Weather!AX19</f>
        <v>624.25806451612902</v>
      </c>
      <c r="CC12" s="589">
        <f ca="1">Weather!AY19</f>
        <v>575.90322580645159</v>
      </c>
      <c r="CD12" s="589">
        <f ca="1">Weather!AZ19</f>
        <v>489.19354838709677</v>
      </c>
      <c r="CE12" s="589">
        <f ca="1">Weather!BA19</f>
        <v>407.70967741935482</v>
      </c>
      <c r="CF12" s="589">
        <f ca="1">Weather!BB19</f>
        <v>253.09677419354838</v>
      </c>
      <c r="CG12" s="589">
        <f ca="1">Weather!BC19</f>
        <v>116.80645161290323</v>
      </c>
      <c r="CH12" s="589">
        <f ca="1">Weather!BD19</f>
        <v>24.774193548387096</v>
      </c>
      <c r="CI12" s="589">
        <f ca="1">Weather!BE19</f>
        <v>0.16129032258064516</v>
      </c>
      <c r="CJ12" s="589">
        <f ca="1">Weather!BF19</f>
        <v>0</v>
      </c>
      <c r="CK12" s="589">
        <f ca="1">Weather!BG19</f>
        <v>0</v>
      </c>
      <c r="CL12" s="589">
        <f ca="1">Weather!BH19</f>
        <v>0</v>
      </c>
      <c r="CM12" s="589">
        <f ca="1">Weather!BI19</f>
        <v>0</v>
      </c>
      <c r="CN12" s="510"/>
      <c r="CO12" s="539"/>
      <c r="CP12" s="589"/>
      <c r="CQ12" s="589"/>
      <c r="CR12" s="584">
        <f t="shared" ca="1" si="0"/>
        <v>24.714336917562722</v>
      </c>
      <c r="CS12" s="584">
        <f t="shared" ca="1" si="1"/>
        <v>20.02</v>
      </c>
      <c r="CT12" s="510"/>
      <c r="CU12" s="584">
        <f t="shared" ca="1" si="2"/>
        <v>510.65232974910396</v>
      </c>
      <c r="CV12" s="584">
        <f t="shared" ca="1" si="3"/>
        <v>37.703225806451606</v>
      </c>
      <c r="CW12" s="584">
        <f t="shared" ca="1" si="4"/>
        <v>366.35657142857144</v>
      </c>
      <c r="CX12" s="584">
        <f t="shared" ca="1" si="5"/>
        <v>36.065828571428561</v>
      </c>
      <c r="CY12" s="584">
        <f t="shared" ca="1" si="6"/>
        <v>146.54262857142857</v>
      </c>
      <c r="CZ12" s="584">
        <f t="shared" ca="1" si="7"/>
        <v>27.049371428571423</v>
      </c>
      <c r="DA12" s="691">
        <f t="shared" ca="1" si="8"/>
        <v>576.01440000000002</v>
      </c>
      <c r="DB12" s="539"/>
      <c r="DC12" s="569">
        <f t="shared" ca="1" si="9"/>
        <v>0.63601981379036954</v>
      </c>
      <c r="DD12" s="569">
        <f t="shared" ca="1" si="10"/>
        <v>6.2612720396275787E-2</v>
      </c>
      <c r="DE12" s="569">
        <f t="shared" ca="1" si="11"/>
        <v>0.25440792551614777</v>
      </c>
      <c r="DF12" s="569">
        <f t="shared" ca="1" si="12"/>
        <v>4.6959540297206843E-2</v>
      </c>
      <c r="DG12" s="10"/>
      <c r="DH12" s="422"/>
      <c r="DI12" s="422"/>
      <c r="DJ12" s="422"/>
      <c r="DK12" s="422"/>
      <c r="DL12" s="422"/>
      <c r="DM12" s="422"/>
    </row>
    <row r="13" spans="1:117" s="19" customFormat="1" ht="15" x14ac:dyDescent="0.25">
      <c r="A13" s="552"/>
      <c r="B13" s="539"/>
      <c r="C13" s="510"/>
      <c r="D13" s="510"/>
      <c r="E13" s="510"/>
      <c r="F13" s="510"/>
      <c r="G13" s="510"/>
      <c r="H13" s="510"/>
      <c r="I13" s="510"/>
      <c r="J13" s="510"/>
      <c r="K13" s="555"/>
      <c r="L13" s="555"/>
      <c r="M13" s="540"/>
      <c r="N13" s="541" t="s">
        <v>122</v>
      </c>
      <c r="O13" s="540">
        <v>2.5920000000000001</v>
      </c>
      <c r="P13" s="558">
        <v>720</v>
      </c>
      <c r="Q13" s="540">
        <v>30</v>
      </c>
      <c r="R13" s="540"/>
      <c r="S13" s="556" t="s">
        <v>612</v>
      </c>
      <c r="T13" s="556"/>
      <c r="U13" s="556"/>
      <c r="V13" s="556"/>
      <c r="W13" s="510"/>
      <c r="X13" s="510"/>
      <c r="Y13" s="570"/>
      <c r="Z13" s="570" t="s">
        <v>122</v>
      </c>
      <c r="AA13" s="569">
        <f t="shared" si="13"/>
        <v>0.69428571428571428</v>
      </c>
      <c r="AB13" s="569">
        <f t="shared" si="14"/>
        <v>0.92571428571428571</v>
      </c>
      <c r="AC13" s="569">
        <f t="shared" si="15"/>
        <v>0.27771428571428569</v>
      </c>
      <c r="AD13" s="569">
        <f t="shared" si="16"/>
        <v>0.69428571428571428</v>
      </c>
      <c r="AE13" s="21"/>
      <c r="AF13" s="507" t="s">
        <v>122</v>
      </c>
      <c r="AG13" s="576">
        <f ca="1">Weather!C20</f>
        <v>18.14208333333336</v>
      </c>
      <c r="AH13" s="576">
        <f ca="1">Weather!D20</f>
        <v>3.4177777777777463</v>
      </c>
      <c r="AI13" s="577">
        <f ca="1">Weather!E20</f>
        <v>153.30539731892682</v>
      </c>
      <c r="AJ13" s="577">
        <f ca="1">Weather!F20</f>
        <v>136.16849701886665</v>
      </c>
      <c r="AK13" s="577">
        <f ca="1">Weather!G20</f>
        <v>103.00970782008858</v>
      </c>
      <c r="AL13" s="577">
        <f ca="1">Weather!H20</f>
        <v>62.643964768690068</v>
      </c>
      <c r="AM13" s="577">
        <f ca="1">Weather!I20</f>
        <v>47.834484667415282</v>
      </c>
      <c r="AN13" s="577">
        <f ca="1">Weather!J20</f>
        <v>72.489352121266677</v>
      </c>
      <c r="AO13" s="577">
        <f ca="1">Weather!K20</f>
        <v>118.89717128960882</v>
      </c>
      <c r="AP13" s="577">
        <f ca="1">Weather!L20</f>
        <v>148.49658404134996</v>
      </c>
      <c r="AQ13" s="577">
        <f ca="1">Weather!M20</f>
        <v>174.69305555555556</v>
      </c>
      <c r="AR13" s="583">
        <f ca="1">Weather!N20</f>
        <v>14.909999999999997</v>
      </c>
      <c r="AS13" s="584">
        <f ca="1">Weather!O20</f>
        <v>14.486666666666666</v>
      </c>
      <c r="AT13" s="584">
        <f ca="1">Weather!P20</f>
        <v>14.140000000000002</v>
      </c>
      <c r="AU13" s="584">
        <f ca="1">Weather!Q20</f>
        <v>13.880000000000003</v>
      </c>
      <c r="AV13" s="584">
        <f ca="1">Weather!R20</f>
        <v>13.71666666666667</v>
      </c>
      <c r="AW13" s="584">
        <f ca="1">Weather!S20</f>
        <v>13.606666666666671</v>
      </c>
      <c r="AX13" s="584">
        <f ca="1">Weather!T20</f>
        <v>15.53666666666666</v>
      </c>
      <c r="AY13" s="584">
        <f ca="1">Weather!U20</f>
        <v>17.649999999999999</v>
      </c>
      <c r="AZ13" s="584">
        <f ca="1">Weather!V20</f>
        <v>19.393333333333334</v>
      </c>
      <c r="BA13" s="584">
        <f ca="1">Weather!W20</f>
        <v>20.459999999999997</v>
      </c>
      <c r="BB13" s="584">
        <f ca="1">Weather!X20</f>
        <v>21.403333333333332</v>
      </c>
      <c r="BC13" s="584">
        <f ca="1">Weather!Y20</f>
        <v>22.243333333333336</v>
      </c>
      <c r="BD13" s="584">
        <f ca="1">Weather!Z20</f>
        <v>22.83666666666667</v>
      </c>
      <c r="BE13" s="584">
        <f ca="1">Weather!AA20</f>
        <v>23.149999999999995</v>
      </c>
      <c r="BF13" s="584">
        <f ca="1">Weather!AB20</f>
        <v>22.886666666666667</v>
      </c>
      <c r="BG13" s="584">
        <f ca="1">Weather!AC20</f>
        <v>22.486666666666668</v>
      </c>
      <c r="BH13" s="584">
        <f ca="1">Weather!AD20</f>
        <v>21.556666666666665</v>
      </c>
      <c r="BI13" s="584">
        <f ca="1">Weather!AE20</f>
        <v>19.959999999999997</v>
      </c>
      <c r="BJ13" s="584">
        <f ca="1">Weather!AF20</f>
        <v>18.600000000000001</v>
      </c>
      <c r="BK13" s="584">
        <f ca="1">Weather!AG20</f>
        <v>17.799999999999997</v>
      </c>
      <c r="BL13" s="584">
        <f ca="1">Weather!AH20</f>
        <v>16.866666666666678</v>
      </c>
      <c r="BM13" s="584">
        <f ca="1">Weather!AI20</f>
        <v>16.496666666666666</v>
      </c>
      <c r="BN13" s="584">
        <f ca="1">Weather!AJ20</f>
        <v>15.876666666666667</v>
      </c>
      <c r="BO13" s="585">
        <f ca="1">Weather!AK20</f>
        <v>15.466666666666665</v>
      </c>
      <c r="BP13" s="589">
        <f ca="1">Weather!AL20</f>
        <v>0</v>
      </c>
      <c r="BQ13" s="589">
        <f ca="1">Weather!AM20</f>
        <v>0</v>
      </c>
      <c r="BR13" s="589">
        <f ca="1">Weather!AN20</f>
        <v>0</v>
      </c>
      <c r="BS13" s="589">
        <f ca="1">Weather!AO20</f>
        <v>0</v>
      </c>
      <c r="BT13" s="589">
        <f ca="1">Weather!AP20</f>
        <v>0</v>
      </c>
      <c r="BU13" s="589">
        <f ca="1">Weather!AQ20</f>
        <v>10.933333333333334</v>
      </c>
      <c r="BV13" s="589">
        <f ca="1">Weather!AR20</f>
        <v>86.63333333333334</v>
      </c>
      <c r="BW13" s="589">
        <f ca="1">Weather!AS20</f>
        <v>219.06666666666666</v>
      </c>
      <c r="BX13" s="589">
        <f ca="1">Weather!AT20</f>
        <v>367.36666666666667</v>
      </c>
      <c r="BY13" s="589">
        <f ca="1">Weather!AU20</f>
        <v>479.53333333333336</v>
      </c>
      <c r="BZ13" s="589">
        <f ca="1">Weather!AV20</f>
        <v>533.83333333333337</v>
      </c>
      <c r="CA13" s="589">
        <f ca="1">Weather!AW20</f>
        <v>555.5333333333333</v>
      </c>
      <c r="CB13" s="589">
        <f ca="1">Weather!AX20</f>
        <v>558.0333333333333</v>
      </c>
      <c r="CC13" s="589">
        <f ca="1">Weather!AY20</f>
        <v>500.5</v>
      </c>
      <c r="CD13" s="589">
        <f ca="1">Weather!AZ20</f>
        <v>398.06666666666666</v>
      </c>
      <c r="CE13" s="589">
        <f ca="1">Weather!BA20</f>
        <v>289.89999999999998</v>
      </c>
      <c r="CF13" s="589">
        <f ca="1">Weather!BB20</f>
        <v>150.1</v>
      </c>
      <c r="CG13" s="589">
        <f ca="1">Weather!BC20</f>
        <v>40.966666666666669</v>
      </c>
      <c r="CH13" s="589">
        <f ca="1">Weather!BD20</f>
        <v>2.1666666666666665</v>
      </c>
      <c r="CI13" s="589">
        <f ca="1">Weather!BE20</f>
        <v>0</v>
      </c>
      <c r="CJ13" s="589">
        <f ca="1">Weather!BF20</f>
        <v>0</v>
      </c>
      <c r="CK13" s="589">
        <f ca="1">Weather!BG20</f>
        <v>0</v>
      </c>
      <c r="CL13" s="589">
        <f ca="1">Weather!BH20</f>
        <v>0</v>
      </c>
      <c r="CM13" s="589">
        <f ca="1">Weather!BI20</f>
        <v>0</v>
      </c>
      <c r="CN13" s="510"/>
      <c r="CO13" s="539"/>
      <c r="CP13" s="589"/>
      <c r="CQ13" s="589"/>
      <c r="CR13" s="584">
        <f t="shared" ca="1" si="0"/>
        <v>21.39</v>
      </c>
      <c r="CS13" s="584">
        <f t="shared" ca="1" si="1"/>
        <v>16.193333333333335</v>
      </c>
      <c r="CT13" s="510"/>
      <c r="CU13" s="584">
        <f t="shared" ca="1" si="2"/>
        <v>433.53703703703707</v>
      </c>
      <c r="CV13" s="584">
        <f t="shared" ca="1" si="3"/>
        <v>19.386666666666667</v>
      </c>
      <c r="CW13" s="584">
        <f t="shared" ca="1" si="4"/>
        <v>300.99857142857144</v>
      </c>
      <c r="CX13" s="584">
        <f t="shared" ca="1" si="5"/>
        <v>17.946514285714287</v>
      </c>
      <c r="CY13" s="584">
        <f t="shared" ca="1" si="6"/>
        <v>120.39942857142857</v>
      </c>
      <c r="CZ13" s="584">
        <f t="shared" ca="1" si="7"/>
        <v>13.459885714285715</v>
      </c>
      <c r="DA13" s="691">
        <f t="shared" ca="1" si="8"/>
        <v>452.80439999999999</v>
      </c>
      <c r="DB13" s="539"/>
      <c r="DC13" s="569">
        <f t="shared" ca="1" si="9"/>
        <v>0.66474303568731097</v>
      </c>
      <c r="DD13" s="569">
        <f t="shared" ca="1" si="10"/>
        <v>3.9634142878722661E-2</v>
      </c>
      <c r="DE13" s="569">
        <f t="shared" ca="1" si="11"/>
        <v>0.26589721427492441</v>
      </c>
      <c r="DF13" s="569">
        <f t="shared" ca="1" si="12"/>
        <v>2.9725607159041996E-2</v>
      </c>
      <c r="DG13" s="10"/>
      <c r="DH13" s="422"/>
      <c r="DI13" s="422"/>
      <c r="DJ13" s="422"/>
      <c r="DK13" s="422"/>
      <c r="DL13" s="422"/>
      <c r="DM13" s="422"/>
    </row>
    <row r="14" spans="1:117" s="21" customFormat="1" ht="15" outlineLevel="1" x14ac:dyDescent="0.25">
      <c r="A14" s="552"/>
      <c r="B14" s="539"/>
      <c r="C14" s="507"/>
      <c r="D14" s="507"/>
      <c r="E14" s="508" t="s">
        <v>992</v>
      </c>
      <c r="F14" s="508" t="s">
        <v>85</v>
      </c>
      <c r="G14" s="510" t="s">
        <v>86</v>
      </c>
      <c r="H14" s="510" t="s">
        <v>87</v>
      </c>
      <c r="I14" s="508" t="s">
        <v>88</v>
      </c>
      <c r="J14" s="510"/>
      <c r="K14" s="555"/>
      <c r="L14" s="555"/>
      <c r="M14" s="540"/>
      <c r="N14" s="541" t="s">
        <v>123</v>
      </c>
      <c r="O14" s="540">
        <v>2.6783999999999999</v>
      </c>
      <c r="P14" s="558">
        <v>744</v>
      </c>
      <c r="Q14" s="540">
        <v>31</v>
      </c>
      <c r="R14" s="540"/>
      <c r="S14" s="556"/>
      <c r="T14" s="556" t="s">
        <v>613</v>
      </c>
      <c r="U14" s="556" t="s">
        <v>615</v>
      </c>
      <c r="V14" s="556"/>
      <c r="W14" s="510"/>
      <c r="X14" s="510"/>
      <c r="Y14" s="570"/>
      <c r="Z14" s="570" t="s">
        <v>123</v>
      </c>
      <c r="AA14" s="569">
        <f t="shared" si="13"/>
        <v>0.71742857142857142</v>
      </c>
      <c r="AB14" s="569">
        <f t="shared" si="14"/>
        <v>0.95657142857142852</v>
      </c>
      <c r="AC14" s="569">
        <f t="shared" si="15"/>
        <v>0.28697142857142854</v>
      </c>
      <c r="AD14" s="569">
        <f t="shared" si="16"/>
        <v>0.71742857142857142</v>
      </c>
      <c r="AF14" s="507" t="s">
        <v>123</v>
      </c>
      <c r="AG14" s="576">
        <f ca="1">Weather!C21</f>
        <v>10.98319892473118</v>
      </c>
      <c r="AH14" s="576">
        <f ca="1">Weather!D21</f>
        <v>4.7861559139784413</v>
      </c>
      <c r="AI14" s="577">
        <f ca="1">Weather!E21</f>
        <v>153.06952836819906</v>
      </c>
      <c r="AJ14" s="577">
        <f ca="1">Weather!F21</f>
        <v>119.84511095413583</v>
      </c>
      <c r="AK14" s="577">
        <f ca="1">Weather!G21</f>
        <v>74.173488038331399</v>
      </c>
      <c r="AL14" s="577">
        <f ca="1">Weather!H21</f>
        <v>39.636588120697965</v>
      </c>
      <c r="AM14" s="577">
        <f ca="1">Weather!I21</f>
        <v>34.551897273205881</v>
      </c>
      <c r="AN14" s="577">
        <f ca="1">Weather!J21</f>
        <v>45.291201195377468</v>
      </c>
      <c r="AO14" s="577">
        <f ca="1">Weather!K21</f>
        <v>87.780854325024478</v>
      </c>
      <c r="AP14" s="577">
        <f ca="1">Weather!L21</f>
        <v>133.40378837763754</v>
      </c>
      <c r="AQ14" s="577">
        <f ca="1">Weather!M21</f>
        <v>122.5497311827957</v>
      </c>
      <c r="AR14" s="583">
        <f ca="1">Weather!N21</f>
        <v>8.4967741935483883</v>
      </c>
      <c r="AS14" s="584">
        <f ca="1">Weather!O21</f>
        <v>8.2290322580645157</v>
      </c>
      <c r="AT14" s="584">
        <f ca="1">Weather!P21</f>
        <v>8.0000000000000018</v>
      </c>
      <c r="AU14" s="584">
        <f ca="1">Weather!Q21</f>
        <v>7.8129032258064495</v>
      </c>
      <c r="AV14" s="584">
        <f ca="1">Weather!R21</f>
        <v>7.7967741935483845</v>
      </c>
      <c r="AW14" s="584">
        <f ca="1">Weather!S21</f>
        <v>7.5451612903225787</v>
      </c>
      <c r="AX14" s="584">
        <f ca="1">Weather!T21</f>
        <v>8.0612903225806445</v>
      </c>
      <c r="AY14" s="584">
        <f ca="1">Weather!U21</f>
        <v>9.8774193548387093</v>
      </c>
      <c r="AZ14" s="584">
        <f ca="1">Weather!V21</f>
        <v>11.754838709677417</v>
      </c>
      <c r="BA14" s="584">
        <f ca="1">Weather!W21</f>
        <v>13.17741935483871</v>
      </c>
      <c r="BB14" s="584">
        <f ca="1">Weather!X21</f>
        <v>14.325806451612904</v>
      </c>
      <c r="BC14" s="584">
        <f ca="1">Weather!Y21</f>
        <v>14.945161290322581</v>
      </c>
      <c r="BD14" s="584">
        <f ca="1">Weather!Z21</f>
        <v>15.248387096774191</v>
      </c>
      <c r="BE14" s="584">
        <f ca="1">Weather!AA21</f>
        <v>15.429032258064515</v>
      </c>
      <c r="BF14" s="584">
        <f ca="1">Weather!AB21</f>
        <v>15.345161290322583</v>
      </c>
      <c r="BG14" s="584">
        <f ca="1">Weather!AC21</f>
        <v>14.638709677419357</v>
      </c>
      <c r="BH14" s="584">
        <f ca="1">Weather!AD21</f>
        <v>13.261290322580646</v>
      </c>
      <c r="BI14" s="584">
        <f ca="1">Weather!AE21</f>
        <v>11.764516129032254</v>
      </c>
      <c r="BJ14" s="584">
        <f ca="1">Weather!AF21</f>
        <v>11.019354838709678</v>
      </c>
      <c r="BK14" s="584">
        <f ca="1">Weather!AG21</f>
        <v>10.429032258064517</v>
      </c>
      <c r="BL14" s="584">
        <f ca="1">Weather!AH21</f>
        <v>9.8419354838709712</v>
      </c>
      <c r="BM14" s="584">
        <f ca="1">Weather!AI21</f>
        <v>9.3387096774193541</v>
      </c>
      <c r="BN14" s="584">
        <f ca="1">Weather!AJ21</f>
        <v>8.741935483870968</v>
      </c>
      <c r="BO14" s="585">
        <f ca="1">Weather!AK21</f>
        <v>8.5161290322580641</v>
      </c>
      <c r="BP14" s="589">
        <f ca="1">Weather!AL21</f>
        <v>0</v>
      </c>
      <c r="BQ14" s="589">
        <f ca="1">Weather!AM21</f>
        <v>0</v>
      </c>
      <c r="BR14" s="589">
        <f ca="1">Weather!AN21</f>
        <v>0</v>
      </c>
      <c r="BS14" s="589">
        <f ca="1">Weather!AO21</f>
        <v>0</v>
      </c>
      <c r="BT14" s="589">
        <f ca="1">Weather!AP21</f>
        <v>0</v>
      </c>
      <c r="BU14" s="589">
        <f ca="1">Weather!AQ21</f>
        <v>0.32258064516129031</v>
      </c>
      <c r="BV14" s="589">
        <f ca="1">Weather!AR21</f>
        <v>33.387096774193552</v>
      </c>
      <c r="BW14" s="589">
        <f ca="1">Weather!AS21</f>
        <v>136.06451612903226</v>
      </c>
      <c r="BX14" s="589">
        <f ca="1">Weather!AT21</f>
        <v>265.03225806451616</v>
      </c>
      <c r="BY14" s="589">
        <f ca="1">Weather!AU21</f>
        <v>374.87096774193549</v>
      </c>
      <c r="BZ14" s="589">
        <f ca="1">Weather!AV21</f>
        <v>424.35483870967744</v>
      </c>
      <c r="CA14" s="589">
        <f ca="1">Weather!AW21</f>
        <v>427.90322580645159</v>
      </c>
      <c r="CB14" s="589">
        <f ca="1">Weather!AX21</f>
        <v>425.51612903225805</v>
      </c>
      <c r="CC14" s="589">
        <f ca="1">Weather!AY21</f>
        <v>378.19354838709677</v>
      </c>
      <c r="CD14" s="589">
        <f ca="1">Weather!AZ21</f>
        <v>265.87096774193549</v>
      </c>
      <c r="CE14" s="589">
        <f ca="1">Weather!BA21</f>
        <v>156.96774193548387</v>
      </c>
      <c r="CF14" s="589">
        <f ca="1">Weather!BB21</f>
        <v>48.967741935483872</v>
      </c>
      <c r="CG14" s="589">
        <f ca="1">Weather!BC21</f>
        <v>3.7419354838709675</v>
      </c>
      <c r="CH14" s="589">
        <f ca="1">Weather!BD21</f>
        <v>0</v>
      </c>
      <c r="CI14" s="589">
        <f ca="1">Weather!BE21</f>
        <v>0</v>
      </c>
      <c r="CJ14" s="589">
        <f ca="1">Weather!BF21</f>
        <v>0</v>
      </c>
      <c r="CK14" s="589">
        <f ca="1">Weather!BG21</f>
        <v>0</v>
      </c>
      <c r="CL14" s="589">
        <f ca="1">Weather!BH21</f>
        <v>0</v>
      </c>
      <c r="CM14" s="589">
        <f ca="1">Weather!BI21</f>
        <v>0</v>
      </c>
      <c r="CN14" s="510"/>
      <c r="CO14" s="539"/>
      <c r="CP14" s="589"/>
      <c r="CQ14" s="589"/>
      <c r="CR14" s="584">
        <f t="shared" ca="1" si="0"/>
        <v>13.86021505376344</v>
      </c>
      <c r="CS14" s="584">
        <f t="shared" ca="1" si="1"/>
        <v>9.2569892473118287</v>
      </c>
      <c r="CT14" s="510"/>
      <c r="CU14" s="584">
        <f t="shared" ca="1" si="2"/>
        <v>317.19713261648747</v>
      </c>
      <c r="CV14" s="584">
        <f t="shared" ca="1" si="3"/>
        <v>5.7612903225806456</v>
      </c>
      <c r="CW14" s="584">
        <f t="shared" ca="1" si="4"/>
        <v>227.56628571428573</v>
      </c>
      <c r="CX14" s="584">
        <f t="shared" ca="1" si="5"/>
        <v>5.5110857142857146</v>
      </c>
      <c r="CY14" s="584">
        <f t="shared" ca="1" si="6"/>
        <v>91.026514285714285</v>
      </c>
      <c r="CZ14" s="584">
        <f t="shared" ca="1" si="7"/>
        <v>4.1333142857142855</v>
      </c>
      <c r="DA14" s="691">
        <f t="shared" ca="1" si="8"/>
        <v>328.23720000000003</v>
      </c>
      <c r="DB14" s="539"/>
      <c r="DC14" s="569">
        <f t="shared" ca="1" si="9"/>
        <v>0.69329827854455772</v>
      </c>
      <c r="DD14" s="569">
        <f t="shared" ca="1" si="10"/>
        <v>1.6789948592925222E-2</v>
      </c>
      <c r="DE14" s="569">
        <f t="shared" ca="1" si="11"/>
        <v>0.27731931141782307</v>
      </c>
      <c r="DF14" s="569">
        <f t="shared" ca="1" si="12"/>
        <v>1.2592461444693915E-2</v>
      </c>
      <c r="DG14" s="10"/>
      <c r="DH14" s="422"/>
      <c r="DI14" s="422"/>
      <c r="DJ14" s="422"/>
      <c r="DK14" s="422"/>
      <c r="DL14" s="422"/>
      <c r="DM14" s="422"/>
    </row>
    <row r="15" spans="1:117" s="21" customFormat="1" ht="15" outlineLevel="1" x14ac:dyDescent="0.25">
      <c r="A15" s="539"/>
      <c r="B15" s="553" t="s">
        <v>90</v>
      </c>
      <c r="C15" s="507" t="s">
        <v>91</v>
      </c>
      <c r="D15" s="508">
        <v>7</v>
      </c>
      <c r="E15" s="508">
        <f>G8</f>
        <v>5</v>
      </c>
      <c r="F15" s="508">
        <f>E15-1</f>
        <v>4</v>
      </c>
      <c r="G15" s="509"/>
      <c r="H15" s="509"/>
      <c r="I15" s="509"/>
      <c r="J15" s="510"/>
      <c r="K15" s="555"/>
      <c r="L15" s="555"/>
      <c r="M15" s="540"/>
      <c r="N15" s="541" t="s">
        <v>124</v>
      </c>
      <c r="O15" s="540">
        <v>2.5920000000000001</v>
      </c>
      <c r="P15" s="558">
        <v>720</v>
      </c>
      <c r="Q15" s="540">
        <v>30</v>
      </c>
      <c r="R15" s="540"/>
      <c r="S15" s="556" t="s">
        <v>603</v>
      </c>
      <c r="T15" s="561">
        <f>0.186/37631*3600</f>
        <v>1.7793840184953894E-2</v>
      </c>
      <c r="U15" s="561">
        <f>1.96/37631*3600</f>
        <v>0.18750498259413781</v>
      </c>
      <c r="V15" s="556" t="s">
        <v>614</v>
      </c>
      <c r="W15" s="510"/>
      <c r="X15" s="510"/>
      <c r="Y15" s="570"/>
      <c r="Z15" s="570" t="s">
        <v>124</v>
      </c>
      <c r="AA15" s="569">
        <f t="shared" si="13"/>
        <v>0.69428571428571428</v>
      </c>
      <c r="AB15" s="569">
        <f t="shared" si="14"/>
        <v>0.92571428571428571</v>
      </c>
      <c r="AC15" s="569">
        <f t="shared" si="15"/>
        <v>0.27771428571428569</v>
      </c>
      <c r="AD15" s="569">
        <f t="shared" si="16"/>
        <v>0.69428571428571428</v>
      </c>
      <c r="AF15" s="507" t="s">
        <v>124</v>
      </c>
      <c r="AG15" s="576">
        <f ca="1">Weather!C22</f>
        <v>4.7393055555555428</v>
      </c>
      <c r="AH15" s="576">
        <f ca="1">Weather!D22</f>
        <v>5.2951388888888431</v>
      </c>
      <c r="AI15" s="577">
        <f ca="1">Weather!E22</f>
        <v>114.90262931883751</v>
      </c>
      <c r="AJ15" s="577">
        <f ca="1">Weather!F22</f>
        <v>84.535549685261216</v>
      </c>
      <c r="AK15" s="577">
        <f ca="1">Weather!G22</f>
        <v>45.251565363389325</v>
      </c>
      <c r="AL15" s="577">
        <f ca="1">Weather!H22</f>
        <v>26.570052097907158</v>
      </c>
      <c r="AM15" s="577">
        <f ca="1">Weather!I22</f>
        <v>25.621213982505459</v>
      </c>
      <c r="AN15" s="577">
        <f ca="1">Weather!J22</f>
        <v>28.737510250308233</v>
      </c>
      <c r="AO15" s="577">
        <f ca="1">Weather!K22</f>
        <v>55.737306857908301</v>
      </c>
      <c r="AP15" s="577">
        <f ca="1">Weather!L22</f>
        <v>97.379959883471344</v>
      </c>
      <c r="AQ15" s="577">
        <f ca="1">Weather!M22</f>
        <v>75.776388888888889</v>
      </c>
      <c r="AR15" s="583">
        <f ca="1">Weather!N22</f>
        <v>3.713333333333332</v>
      </c>
      <c r="AS15" s="584">
        <f ca="1">Weather!O22</f>
        <v>3.4533333333333345</v>
      </c>
      <c r="AT15" s="584">
        <f ca="1">Weather!P22</f>
        <v>3.3566666666666669</v>
      </c>
      <c r="AU15" s="584">
        <f ca="1">Weather!Q22</f>
        <v>3.3566666666666669</v>
      </c>
      <c r="AV15" s="584">
        <f ca="1">Weather!R22</f>
        <v>3.0599999999999983</v>
      </c>
      <c r="AW15" s="584">
        <f ca="1">Weather!S22</f>
        <v>2.8499999999999996</v>
      </c>
      <c r="AX15" s="584">
        <f ca="1">Weather!T22</f>
        <v>2.7533333333333325</v>
      </c>
      <c r="AY15" s="584">
        <f ca="1">Weather!U22</f>
        <v>3.476666666666667</v>
      </c>
      <c r="AZ15" s="584">
        <f ca="1">Weather!V22</f>
        <v>4.3433333333333319</v>
      </c>
      <c r="BA15" s="584">
        <f ca="1">Weather!W22</f>
        <v>5.4866666666666655</v>
      </c>
      <c r="BB15" s="584">
        <f ca="1">Weather!X22</f>
        <v>6.3133333333333308</v>
      </c>
      <c r="BC15" s="584">
        <f ca="1">Weather!Y22</f>
        <v>6.9866666666666655</v>
      </c>
      <c r="BD15" s="584">
        <f ca="1">Weather!Z22</f>
        <v>7.2433333333333341</v>
      </c>
      <c r="BE15" s="584">
        <f ca="1">Weather!AA22</f>
        <v>7.3933333333333335</v>
      </c>
      <c r="BF15" s="584">
        <f ca="1">Weather!AB22</f>
        <v>7.2733333333333317</v>
      </c>
      <c r="BG15" s="584">
        <f ca="1">Weather!AC22</f>
        <v>6.6866666666666665</v>
      </c>
      <c r="BH15" s="584">
        <f ca="1">Weather!AD22</f>
        <v>5.9233333333333329</v>
      </c>
      <c r="BI15" s="584">
        <f ca="1">Weather!AE22</f>
        <v>5.2766666666666655</v>
      </c>
      <c r="BJ15" s="584">
        <f ca="1">Weather!AF22</f>
        <v>4.633333333333332</v>
      </c>
      <c r="BK15" s="584">
        <f ca="1">Weather!AG22</f>
        <v>4.2266666666666648</v>
      </c>
      <c r="BL15" s="584">
        <f ca="1">Weather!AH22</f>
        <v>4.1533333333333324</v>
      </c>
      <c r="BM15" s="584">
        <f ca="1">Weather!AI22</f>
        <v>4.080000000000001</v>
      </c>
      <c r="BN15" s="584">
        <f ca="1">Weather!AJ22</f>
        <v>3.8033333333333323</v>
      </c>
      <c r="BO15" s="585">
        <f ca="1">Weather!AK22</f>
        <v>3.8999999999999968</v>
      </c>
      <c r="BP15" s="589">
        <f ca="1">Weather!AL22</f>
        <v>0</v>
      </c>
      <c r="BQ15" s="589">
        <f ca="1">Weather!AM22</f>
        <v>0</v>
      </c>
      <c r="BR15" s="589">
        <f ca="1">Weather!AN22</f>
        <v>0</v>
      </c>
      <c r="BS15" s="589">
        <f ca="1">Weather!AO22</f>
        <v>0</v>
      </c>
      <c r="BT15" s="589">
        <f ca="1">Weather!AP22</f>
        <v>0</v>
      </c>
      <c r="BU15" s="589">
        <f ca="1">Weather!AQ22</f>
        <v>0</v>
      </c>
      <c r="BV15" s="589">
        <f ca="1">Weather!AR22</f>
        <v>4.7333333333333334</v>
      </c>
      <c r="BW15" s="589">
        <f ca="1">Weather!AS22</f>
        <v>50.866666666666667</v>
      </c>
      <c r="BX15" s="589">
        <f ca="1">Weather!AT22</f>
        <v>146.33333333333334</v>
      </c>
      <c r="BY15" s="589">
        <f ca="1">Weather!AU22</f>
        <v>217.26666666666668</v>
      </c>
      <c r="BZ15" s="589">
        <f ca="1">Weather!AV22</f>
        <v>286.43333333333334</v>
      </c>
      <c r="CA15" s="589">
        <f ca="1">Weather!AW22</f>
        <v>319</v>
      </c>
      <c r="CB15" s="589">
        <f ca="1">Weather!AX22</f>
        <v>301.60000000000002</v>
      </c>
      <c r="CC15" s="589">
        <f ca="1">Weather!AY22</f>
        <v>249.03333333333333</v>
      </c>
      <c r="CD15" s="589">
        <f ca="1">Weather!AZ22</f>
        <v>160.80000000000001</v>
      </c>
      <c r="CE15" s="589">
        <f ca="1">Weather!BA22</f>
        <v>70.099999999999994</v>
      </c>
      <c r="CF15" s="589">
        <f ca="1">Weather!BB22</f>
        <v>12.466666666666667</v>
      </c>
      <c r="CG15" s="589">
        <f ca="1">Weather!BC22</f>
        <v>0</v>
      </c>
      <c r="CH15" s="589">
        <f ca="1">Weather!BD22</f>
        <v>0</v>
      </c>
      <c r="CI15" s="589">
        <f ca="1">Weather!BE22</f>
        <v>0</v>
      </c>
      <c r="CJ15" s="589">
        <f ca="1">Weather!BF22</f>
        <v>0</v>
      </c>
      <c r="CK15" s="589">
        <f ca="1">Weather!BG22</f>
        <v>0</v>
      </c>
      <c r="CL15" s="589">
        <f ca="1">Weather!BH22</f>
        <v>0</v>
      </c>
      <c r="CM15" s="589">
        <f ca="1">Weather!BI22</f>
        <v>0</v>
      </c>
      <c r="CN15" s="510"/>
      <c r="CO15" s="539"/>
      <c r="CP15" s="589"/>
      <c r="CQ15" s="589"/>
      <c r="CR15" s="584">
        <f t="shared" ca="1" si="0"/>
        <v>6.133703703703703</v>
      </c>
      <c r="CS15" s="584">
        <f t="shared" ca="1" si="1"/>
        <v>3.9026666666666663</v>
      </c>
      <c r="CT15" s="510"/>
      <c r="CU15" s="584">
        <f t="shared" ca="1" si="2"/>
        <v>200.15925925925924</v>
      </c>
      <c r="CV15" s="584">
        <f t="shared" ca="1" si="3"/>
        <v>1.1466666666666667</v>
      </c>
      <c r="CW15" s="584">
        <f t="shared" ca="1" si="4"/>
        <v>138.96771428571427</v>
      </c>
      <c r="CX15" s="584">
        <f t="shared" ca="1" si="5"/>
        <v>1.0614857142857144</v>
      </c>
      <c r="CY15" s="584">
        <f t="shared" ca="1" si="6"/>
        <v>55.587085714285706</v>
      </c>
      <c r="CZ15" s="584">
        <f t="shared" ca="1" si="7"/>
        <v>0.79611428571428577</v>
      </c>
      <c r="DA15" s="691">
        <f t="shared" ca="1" si="8"/>
        <v>196.41239999999996</v>
      </c>
      <c r="DB15" s="539"/>
      <c r="DC15" s="569">
        <f t="shared" ca="1" si="9"/>
        <v>0.70753024903577522</v>
      </c>
      <c r="DD15" s="569">
        <f t="shared" ca="1" si="10"/>
        <v>5.4043721999512996E-3</v>
      </c>
      <c r="DE15" s="569">
        <f t="shared" ca="1" si="11"/>
        <v>0.28301209961431006</v>
      </c>
      <c r="DF15" s="569">
        <f t="shared" ca="1" si="12"/>
        <v>4.0532791499634747E-3</v>
      </c>
      <c r="DG15" s="10"/>
      <c r="DH15" s="422"/>
      <c r="DI15" s="422"/>
      <c r="DJ15" s="422"/>
      <c r="DK15" s="422"/>
      <c r="DL15" s="422"/>
      <c r="DM15" s="422"/>
    </row>
    <row r="16" spans="1:117" s="21" customFormat="1" ht="15" outlineLevel="1" x14ac:dyDescent="0.25">
      <c r="A16" s="539"/>
      <c r="B16" s="539"/>
      <c r="C16" s="507" t="s">
        <v>81</v>
      </c>
      <c r="D16" s="508">
        <v>24</v>
      </c>
      <c r="E16" s="508">
        <f>D8</f>
        <v>9</v>
      </c>
      <c r="F16" s="511">
        <f>24-E16</f>
        <v>15</v>
      </c>
      <c r="G16" s="509"/>
      <c r="H16" s="512"/>
      <c r="I16" s="513"/>
      <c r="J16" s="510"/>
      <c r="K16" s="555"/>
      <c r="L16" s="555"/>
      <c r="M16" s="540"/>
      <c r="N16" s="541" t="s">
        <v>125</v>
      </c>
      <c r="O16" s="540">
        <v>2.6783999999999999</v>
      </c>
      <c r="P16" s="558">
        <v>744</v>
      </c>
      <c r="Q16" s="540">
        <v>31</v>
      </c>
      <c r="R16" s="540"/>
      <c r="S16" s="556" t="s">
        <v>604</v>
      </c>
      <c r="T16" s="561">
        <f>0.000262/37631*3600</f>
        <v>2.5064441550849035E-5</v>
      </c>
      <c r="U16" s="561">
        <f>0.00178/37631*3600</f>
        <v>1.7028513725385983E-4</v>
      </c>
      <c r="V16" s="556" t="s">
        <v>614</v>
      </c>
      <c r="W16" s="510"/>
      <c r="X16" s="510"/>
      <c r="Y16" s="570"/>
      <c r="Z16" s="570" t="s">
        <v>125</v>
      </c>
      <c r="AA16" s="569">
        <f t="shared" si="13"/>
        <v>0.71742857142857142</v>
      </c>
      <c r="AB16" s="569">
        <f t="shared" si="14"/>
        <v>0.95657142857142852</v>
      </c>
      <c r="AC16" s="569">
        <f t="shared" si="15"/>
        <v>0.28697142857142854</v>
      </c>
      <c r="AD16" s="569">
        <f t="shared" si="16"/>
        <v>0.71742857142857142</v>
      </c>
      <c r="AF16" s="507" t="s">
        <v>125</v>
      </c>
      <c r="AG16" s="578">
        <f ca="1">Weather!C23</f>
        <v>-3.6770469798657768</v>
      </c>
      <c r="AH16" s="578">
        <f ca="1">Weather!D23</f>
        <v>4.2944966442952515</v>
      </c>
      <c r="AI16" s="579">
        <f ca="1">Weather!E23</f>
        <v>115.85625330629384</v>
      </c>
      <c r="AJ16" s="579">
        <f ca="1">Weather!F23</f>
        <v>82.539742772212463</v>
      </c>
      <c r="AK16" s="579">
        <f ca="1">Weather!G23</f>
        <v>39.070714281201255</v>
      </c>
      <c r="AL16" s="579">
        <f ca="1">Weather!H23</f>
        <v>19.778642936083639</v>
      </c>
      <c r="AM16" s="579">
        <f ca="1">Weather!I23</f>
        <v>19.269732787756375</v>
      </c>
      <c r="AN16" s="579">
        <f ca="1">Weather!J23</f>
        <v>21.362861340039277</v>
      </c>
      <c r="AO16" s="579">
        <f ca="1">Weather!K23</f>
        <v>49.096338170543348</v>
      </c>
      <c r="AP16" s="579">
        <f ca="1">Weather!L23</f>
        <v>95.277254644480081</v>
      </c>
      <c r="AQ16" s="579">
        <f ca="1">Weather!M23</f>
        <v>62.582550335570467</v>
      </c>
      <c r="AR16" s="586">
        <f ca="1">Weather!N23</f>
        <v>-4.8935483870967751</v>
      </c>
      <c r="AS16" s="587">
        <f ca="1">Weather!O23</f>
        <v>-4.7838709677419358</v>
      </c>
      <c r="AT16" s="587">
        <f ca="1">Weather!P23</f>
        <v>-4.9387096774193546</v>
      </c>
      <c r="AU16" s="587">
        <f ca="1">Weather!Q23</f>
        <v>-5.2387096774193553</v>
      </c>
      <c r="AV16" s="587">
        <f ca="1">Weather!R23</f>
        <v>-5.2967741935483863</v>
      </c>
      <c r="AW16" s="587">
        <f ca="1">Weather!S23</f>
        <v>-5.6451612903225818</v>
      </c>
      <c r="AX16" s="587">
        <f ca="1">Weather!T23</f>
        <v>-5.693548387096774</v>
      </c>
      <c r="AY16" s="587">
        <f ca="1">Weather!U23</f>
        <v>-5.3516129032258064</v>
      </c>
      <c r="AZ16" s="587">
        <f ca="1">Weather!V23</f>
        <v>-4.4806451612903224</v>
      </c>
      <c r="BA16" s="587">
        <f ca="1">Weather!W23</f>
        <v>-3.2129032258064516</v>
      </c>
      <c r="BB16" s="587">
        <f ca="1">Weather!X23</f>
        <v>-2.0999999999999996</v>
      </c>
      <c r="BC16" s="587">
        <f ca="1">Weather!Y23</f>
        <v>-1.4935483870967741</v>
      </c>
      <c r="BD16" s="587">
        <f ca="1">Weather!Z23</f>
        <v>-0.91935483870967749</v>
      </c>
      <c r="BE16" s="587">
        <f ca="1">Weather!AA23</f>
        <v>-0.70322580645161259</v>
      </c>
      <c r="BF16" s="587">
        <f ca="1">Weather!AB23</f>
        <v>-0.68387096774193534</v>
      </c>
      <c r="BG16" s="587">
        <f ca="1">Weather!AC23</f>
        <v>-1.4709677419354836</v>
      </c>
      <c r="BH16" s="587">
        <f ca="1">Weather!AD23</f>
        <v>-2.4741935483870963</v>
      </c>
      <c r="BI16" s="587">
        <f ca="1">Weather!AE23</f>
        <v>-3.3129032258064512</v>
      </c>
      <c r="BJ16" s="587">
        <f ca="1">Weather!AF23</f>
        <v>-3.67741935483871</v>
      </c>
      <c r="BK16" s="584">
        <f ca="1">Weather!AG23</f>
        <v>-4.0225806451612902</v>
      </c>
      <c r="BL16" s="587">
        <f ca="1">Weather!AH23</f>
        <v>-4.1548387096774198</v>
      </c>
      <c r="BM16" s="587">
        <f ca="1">Weather!AI23</f>
        <v>-4.3677419354838714</v>
      </c>
      <c r="BN16" s="587">
        <f ca="1">Weather!AJ23</f>
        <v>-4.5483870967741939</v>
      </c>
      <c r="BO16" s="588">
        <f ca="1">Weather!AK23</f>
        <v>-4.75</v>
      </c>
      <c r="BP16" s="589">
        <f ca="1">Weather!AL23</f>
        <v>0</v>
      </c>
      <c r="BQ16" s="589">
        <f ca="1">Weather!AM23</f>
        <v>0</v>
      </c>
      <c r="BR16" s="589">
        <f ca="1">Weather!AN23</f>
        <v>0</v>
      </c>
      <c r="BS16" s="589">
        <f ca="1">Weather!AO23</f>
        <v>0</v>
      </c>
      <c r="BT16" s="589">
        <f ca="1">Weather!AP23</f>
        <v>0</v>
      </c>
      <c r="BU16" s="589">
        <f ca="1">Weather!AQ23</f>
        <v>0</v>
      </c>
      <c r="BV16" s="589">
        <f ca="1">Weather!AR23</f>
        <v>0</v>
      </c>
      <c r="BW16" s="589">
        <f ca="1">Weather!AS23</f>
        <v>22.225806451612904</v>
      </c>
      <c r="BX16" s="589">
        <f ca="1">Weather!AT23</f>
        <v>98.709677419354833</v>
      </c>
      <c r="BY16" s="589">
        <f ca="1">Weather!AU23</f>
        <v>182.58064516129033</v>
      </c>
      <c r="BZ16" s="589">
        <f ca="1">Weather!AV23</f>
        <v>252.12903225806451</v>
      </c>
      <c r="CA16" s="589">
        <f ca="1">Weather!AW23</f>
        <v>262</v>
      </c>
      <c r="CB16" s="589">
        <f ca="1">Weather!AX23</f>
        <v>262.48387096774195</v>
      </c>
      <c r="CC16" s="589">
        <f ca="1">Weather!AY23</f>
        <v>213.29032258064515</v>
      </c>
      <c r="CD16" s="589">
        <f ca="1">Weather!AZ23</f>
        <v>143.87096774193549</v>
      </c>
      <c r="CE16" s="589">
        <f ca="1">Weather!BA23</f>
        <v>59.741935483870968</v>
      </c>
      <c r="CF16" s="589">
        <f ca="1">Weather!BB23</f>
        <v>6.967741935483871</v>
      </c>
      <c r="CG16" s="589">
        <f ca="1">Weather!BC23</f>
        <v>0</v>
      </c>
      <c r="CH16" s="589">
        <f ca="1">Weather!BD23</f>
        <v>0</v>
      </c>
      <c r="CI16" s="589">
        <f ca="1">Weather!BE23</f>
        <v>0</v>
      </c>
      <c r="CJ16" s="589">
        <f ca="1">Weather!BF23</f>
        <v>0</v>
      </c>
      <c r="CK16" s="589">
        <f ca="1">Weather!BG23</f>
        <v>0</v>
      </c>
      <c r="CL16" s="589">
        <f ca="1">Weather!BH23</f>
        <v>0</v>
      </c>
      <c r="CM16" s="589">
        <f ca="1">Weather!BI23</f>
        <v>0</v>
      </c>
      <c r="CN16" s="510"/>
      <c r="CO16" s="539"/>
      <c r="CP16" s="589"/>
      <c r="CQ16" s="589"/>
      <c r="CR16" s="584">
        <f t="shared" ca="1" si="0"/>
        <v>-2.268458781362007</v>
      </c>
      <c r="CS16" s="584">
        <f t="shared" ca="1" si="1"/>
        <v>-4.5198924731182801</v>
      </c>
      <c r="CT16" s="510"/>
      <c r="CU16" s="584">
        <f t="shared" ca="1" si="2"/>
        <v>166.33691756272398</v>
      </c>
      <c r="CV16" s="584">
        <f t="shared" ca="1" si="3"/>
        <v>0.46451612903225808</v>
      </c>
      <c r="CW16" s="584">
        <f t="shared" ca="1" si="4"/>
        <v>119.33485714285712</v>
      </c>
      <c r="CX16" s="584">
        <f t="shared" ca="1" si="5"/>
        <v>0.44434285714285715</v>
      </c>
      <c r="CY16" s="584">
        <f t="shared" ca="1" si="6"/>
        <v>47.733942857142843</v>
      </c>
      <c r="CZ16" s="584">
        <f t="shared" ca="1" si="7"/>
        <v>0.33325714285714286</v>
      </c>
      <c r="DA16" s="691">
        <f t="shared" ca="1" si="8"/>
        <v>167.84639999999996</v>
      </c>
      <c r="DB16" s="539"/>
      <c r="DC16" s="569">
        <f t="shared" ca="1" si="9"/>
        <v>0.71097656633003237</v>
      </c>
      <c r="DD16" s="569">
        <f t="shared" ca="1" si="10"/>
        <v>2.6473183645455444E-3</v>
      </c>
      <c r="DE16" s="569">
        <f t="shared" ca="1" si="11"/>
        <v>0.28439062653201291</v>
      </c>
      <c r="DF16" s="569">
        <f t="shared" ca="1" si="12"/>
        <v>1.9854887734091584E-3</v>
      </c>
      <c r="DG16" s="10"/>
      <c r="DH16" s="422"/>
      <c r="DI16" s="422"/>
      <c r="DJ16" s="422"/>
      <c r="DK16" s="422"/>
      <c r="DL16" s="422"/>
      <c r="DM16" s="422"/>
    </row>
    <row r="17" spans="1:117" s="21" customFormat="1" ht="15" outlineLevel="1" x14ac:dyDescent="0.25">
      <c r="A17" s="510"/>
      <c r="B17" s="552"/>
      <c r="C17" s="507" t="s">
        <v>92</v>
      </c>
      <c r="D17" s="514">
        <f>D16*D15</f>
        <v>168</v>
      </c>
      <c r="E17" s="514">
        <f>E16*E15</f>
        <v>45</v>
      </c>
      <c r="F17" s="511">
        <f>F16*F15</f>
        <v>60</v>
      </c>
      <c r="G17" s="513">
        <f>(7-E15)*E16</f>
        <v>18</v>
      </c>
      <c r="H17" s="513">
        <f>I17-G17</f>
        <v>45</v>
      </c>
      <c r="I17" s="513">
        <f>D17-E17-F17</f>
        <v>63</v>
      </c>
      <c r="J17" s="510"/>
      <c r="K17" s="555"/>
      <c r="L17" s="555"/>
      <c r="M17" s="540"/>
      <c r="N17" s="541" t="s">
        <v>178</v>
      </c>
      <c r="O17" s="540">
        <f>SUM(O5:O16)</f>
        <v>31.535999999999998</v>
      </c>
      <c r="P17" s="541">
        <v>8760</v>
      </c>
      <c r="Q17" s="540">
        <f>SUM(Q5:Q16)</f>
        <v>365</v>
      </c>
      <c r="R17" s="540"/>
      <c r="S17" s="556" t="s">
        <v>605</v>
      </c>
      <c r="T17" s="562">
        <f>0.0195/37631*3600</f>
        <v>1.8654832451967794E-3</v>
      </c>
      <c r="U17" s="562">
        <f>0.0000101/37631*3600</f>
        <v>9.6622465520448575E-7</v>
      </c>
      <c r="V17" s="556" t="s">
        <v>614</v>
      </c>
      <c r="W17" s="510"/>
      <c r="AF17" s="518"/>
      <c r="AG17" s="518"/>
      <c r="AH17" s="510"/>
      <c r="AI17" s="510"/>
      <c r="AJ17" s="510"/>
      <c r="AK17" s="510"/>
      <c r="AL17" s="510"/>
      <c r="AM17" s="510"/>
      <c r="AN17" s="510"/>
      <c r="AO17" s="510"/>
      <c r="AP17" s="510"/>
      <c r="AQ17" s="510"/>
      <c r="AR17" s="539"/>
      <c r="AS17" s="539"/>
      <c r="AT17" s="539"/>
      <c r="AU17" s="539"/>
      <c r="AV17" s="539"/>
      <c r="AW17" s="539"/>
      <c r="AX17" s="539"/>
      <c r="AY17" s="539"/>
      <c r="AZ17" s="539"/>
      <c r="BA17" s="539"/>
      <c r="BB17" s="539"/>
      <c r="BC17" s="567"/>
      <c r="BD17" s="567"/>
      <c r="BE17" s="539"/>
      <c r="BF17" s="539"/>
      <c r="BG17" s="539"/>
      <c r="BH17" s="539"/>
      <c r="BI17" s="539"/>
      <c r="BJ17" s="539"/>
      <c r="BK17" s="539"/>
      <c r="BL17" s="539"/>
      <c r="BM17" s="539"/>
      <c r="BN17" s="539"/>
      <c r="BO17" s="539"/>
      <c r="BQ17" s="436"/>
      <c r="BR17" s="436"/>
      <c r="BS17" s="436"/>
      <c r="BT17" s="436"/>
      <c r="BU17" s="436"/>
      <c r="BV17" s="436"/>
      <c r="BW17" s="436"/>
      <c r="BX17" s="436"/>
      <c r="BY17" s="436"/>
      <c r="BZ17" s="436"/>
      <c r="CA17" s="436"/>
      <c r="CB17" s="436"/>
      <c r="CC17" s="436"/>
      <c r="CD17" s="436"/>
      <c r="CE17" s="436"/>
      <c r="CF17" s="436"/>
      <c r="CG17" s="436"/>
      <c r="CH17" s="436"/>
      <c r="CI17" s="436"/>
      <c r="CJ17" s="436"/>
      <c r="CK17" s="436"/>
      <c r="CL17" s="436"/>
      <c r="CM17" s="436"/>
      <c r="CN17" s="436"/>
      <c r="CO17" s="198"/>
      <c r="CP17" s="498"/>
      <c r="CQ17" s="498"/>
      <c r="CR17" s="200"/>
      <c r="CS17" s="498"/>
      <c r="CT17" s="436"/>
      <c r="CU17" s="201"/>
      <c r="CV17" s="201"/>
      <c r="CW17" s="436"/>
      <c r="CX17" s="436"/>
      <c r="CY17" s="436"/>
      <c r="CZ17" s="436"/>
      <c r="DA17" s="436"/>
      <c r="DH17" s="422"/>
      <c r="DI17" s="422"/>
      <c r="DJ17" s="422"/>
      <c r="DK17" s="422"/>
      <c r="DL17" s="422"/>
      <c r="DM17" s="422"/>
    </row>
    <row r="18" spans="1:117" s="21" customFormat="1" ht="15.75" outlineLevel="1" x14ac:dyDescent="0.25">
      <c r="A18" s="537"/>
      <c r="B18" s="539"/>
      <c r="C18" s="507" t="s">
        <v>94</v>
      </c>
      <c r="D18" s="515"/>
      <c r="E18" s="516">
        <f>E17/D17</f>
        <v>0.26785714285714285</v>
      </c>
      <c r="F18" s="517">
        <f>F17/D17</f>
        <v>0.35714285714285715</v>
      </c>
      <c r="G18" s="517">
        <f>G17/D17</f>
        <v>0.10714285714285714</v>
      </c>
      <c r="H18" s="517">
        <f>H17/D17</f>
        <v>0.26785714285714285</v>
      </c>
      <c r="I18" s="517">
        <f>I17/D17</f>
        <v>0.375</v>
      </c>
      <c r="J18" s="510"/>
      <c r="K18" s="555"/>
      <c r="L18" s="555"/>
      <c r="M18" s="555"/>
      <c r="N18" s="555"/>
      <c r="O18" s="555"/>
      <c r="P18" s="555"/>
      <c r="Q18" s="555"/>
      <c r="R18" s="555"/>
      <c r="S18" s="555"/>
      <c r="T18" s="555"/>
      <c r="U18" s="555"/>
      <c r="V18" s="555"/>
      <c r="W18" s="510"/>
      <c r="AF18" s="11"/>
      <c r="AG18" s="11"/>
      <c r="AH18" s="10"/>
      <c r="AI18" s="10"/>
      <c r="AJ18" s="422"/>
      <c r="AK18" s="422"/>
      <c r="AL18" s="422"/>
      <c r="AM18" s="422"/>
      <c r="AN18" s="422"/>
      <c r="AO18" s="422"/>
      <c r="AP18" s="422"/>
      <c r="AQ18" s="422"/>
      <c r="BO18" s="539" t="s">
        <v>445</v>
      </c>
      <c r="BP18" s="581">
        <f t="shared" ref="BP18:CM18" si="17">1-BP19</f>
        <v>0</v>
      </c>
      <c r="BQ18" s="581">
        <f t="shared" si="17"/>
        <v>0</v>
      </c>
      <c r="BR18" s="581">
        <f t="shared" si="17"/>
        <v>0</v>
      </c>
      <c r="BS18" s="581">
        <f t="shared" si="17"/>
        <v>0</v>
      </c>
      <c r="BT18" s="581">
        <f t="shared" si="17"/>
        <v>0</v>
      </c>
      <c r="BU18" s="581">
        <f t="shared" si="17"/>
        <v>0</v>
      </c>
      <c r="BV18" s="581">
        <f t="shared" si="17"/>
        <v>0</v>
      </c>
      <c r="BW18" s="581">
        <f t="shared" si="17"/>
        <v>1</v>
      </c>
      <c r="BX18" s="581">
        <f t="shared" si="17"/>
        <v>1</v>
      </c>
      <c r="BY18" s="581">
        <f t="shared" si="17"/>
        <v>1</v>
      </c>
      <c r="BZ18" s="581">
        <f t="shared" si="17"/>
        <v>1</v>
      </c>
      <c r="CA18" s="581">
        <f t="shared" si="17"/>
        <v>1</v>
      </c>
      <c r="CB18" s="581">
        <f t="shared" si="17"/>
        <v>1</v>
      </c>
      <c r="CC18" s="581">
        <f t="shared" si="17"/>
        <v>1</v>
      </c>
      <c r="CD18" s="581">
        <f t="shared" si="17"/>
        <v>1</v>
      </c>
      <c r="CE18" s="581">
        <f t="shared" si="17"/>
        <v>1</v>
      </c>
      <c r="CF18" s="581">
        <f t="shared" si="17"/>
        <v>0</v>
      </c>
      <c r="CG18" s="581">
        <f t="shared" si="17"/>
        <v>0</v>
      </c>
      <c r="CH18" s="581">
        <f t="shared" si="17"/>
        <v>0</v>
      </c>
      <c r="CI18" s="581">
        <f t="shared" si="17"/>
        <v>0</v>
      </c>
      <c r="CJ18" s="581">
        <f t="shared" si="17"/>
        <v>0</v>
      </c>
      <c r="CK18" s="581">
        <f t="shared" si="17"/>
        <v>0</v>
      </c>
      <c r="CL18" s="581">
        <f t="shared" si="17"/>
        <v>0</v>
      </c>
      <c r="CM18" s="581">
        <f t="shared" si="17"/>
        <v>0</v>
      </c>
      <c r="CP18" s="422"/>
      <c r="CQ18" s="422"/>
      <c r="CR18" s="422"/>
      <c r="CS18" s="422"/>
      <c r="CT18" s="422"/>
      <c r="CU18" s="422"/>
      <c r="CV18" s="422"/>
      <c r="CW18" s="422"/>
      <c r="CX18" s="422"/>
      <c r="CY18" s="422"/>
      <c r="CZ18" s="422"/>
      <c r="DA18" s="422"/>
      <c r="DB18" s="422"/>
      <c r="DC18" s="422"/>
      <c r="DD18" s="422"/>
      <c r="DE18" s="10"/>
      <c r="DF18" s="10"/>
      <c r="DG18" s="10"/>
      <c r="DH18" s="422"/>
      <c r="DI18" s="422"/>
      <c r="DJ18" s="422"/>
      <c r="DK18" s="422"/>
      <c r="DL18" s="422"/>
      <c r="DM18" s="422"/>
    </row>
    <row r="19" spans="1:117" s="21" customFormat="1" ht="15.75" outlineLevel="1" x14ac:dyDescent="0.25">
      <c r="A19" s="537"/>
      <c r="B19" s="510"/>
      <c r="C19" s="518" t="s">
        <v>95</v>
      </c>
      <c r="D19" s="509"/>
      <c r="E19" s="519">
        <v>1</v>
      </c>
      <c r="F19" s="519">
        <v>0.11111</v>
      </c>
      <c r="G19" s="519">
        <v>0.11111</v>
      </c>
      <c r="H19" s="519">
        <v>0.11111</v>
      </c>
      <c r="I19" s="519">
        <v>0.11111</v>
      </c>
      <c r="J19" s="510"/>
      <c r="K19" s="555"/>
      <c r="L19" s="555"/>
      <c r="M19" s="555"/>
      <c r="N19" s="555"/>
      <c r="O19" s="510"/>
      <c r="P19" s="510"/>
      <c r="Q19" s="510"/>
      <c r="R19" s="510"/>
      <c r="S19" s="510"/>
      <c r="T19" s="510"/>
      <c r="U19" s="510"/>
      <c r="V19" s="508"/>
      <c r="W19" s="510"/>
      <c r="AF19" s="196"/>
      <c r="AG19" s="196"/>
      <c r="AH19" s="196"/>
      <c r="AI19" s="197"/>
      <c r="AJ19" s="422"/>
      <c r="AK19" s="422"/>
      <c r="AL19" s="422"/>
      <c r="AM19" s="422"/>
      <c r="AN19" s="197"/>
      <c r="AO19" s="422"/>
      <c r="AP19" s="197"/>
      <c r="AQ19" s="422"/>
      <c r="BO19" s="539" t="s">
        <v>446</v>
      </c>
      <c r="BP19" s="581">
        <f>IF(AND(((AR4-8)&gt;=0),((AR4-8)&lt;Calcs!$E$16)),0,1)</f>
        <v>1</v>
      </c>
      <c r="BQ19" s="581">
        <f>IF(AND(((AS4-8)&gt;=0),((AS4-8)&lt;Calcs!$E$16)),0,1)</f>
        <v>1</v>
      </c>
      <c r="BR19" s="581">
        <f>IF(AND(((AT4-8)&gt;=0),((AT4-8)&lt;Calcs!$E$16)),0,1)</f>
        <v>1</v>
      </c>
      <c r="BS19" s="581">
        <f>IF(AND(((AU4-8)&gt;=0),((AU4-8)&lt;Calcs!$E$16)),0,1)</f>
        <v>1</v>
      </c>
      <c r="BT19" s="581">
        <f>IF(AND(((AV4-8)&gt;=0),((AV4-8)&lt;Calcs!$E$16)),0,1)</f>
        <v>1</v>
      </c>
      <c r="BU19" s="581">
        <f>IF(AND(((AW4-8)&gt;=0),((AW4-8)&lt;Calcs!$E$16)),0,1)</f>
        <v>1</v>
      </c>
      <c r="BV19" s="581">
        <f>IF(AND(((AX4-8)&gt;=0),((AX4-8)&lt;Calcs!$E$16)),0,1)</f>
        <v>1</v>
      </c>
      <c r="BW19" s="581">
        <f>IF(AND(((AY4-8)&gt;=0),((AY4-8)&lt;Calcs!$E$16)),0,1)</f>
        <v>0</v>
      </c>
      <c r="BX19" s="581">
        <f>IF(AND(((AZ4-8)&gt;=0),((AZ4-8)&lt;Calcs!$E$16)),0,1)</f>
        <v>0</v>
      </c>
      <c r="BY19" s="581">
        <f>IF(AND(((BA4-8)&gt;=0),((BA4-8)&lt;Calcs!$E$16)),0,1)</f>
        <v>0</v>
      </c>
      <c r="BZ19" s="581">
        <f>IF(AND(((BB4-8)&gt;=0),((BB4-8)&lt;Calcs!$E$16)),0,1)</f>
        <v>0</v>
      </c>
      <c r="CA19" s="581">
        <f>IF(AND(((BC4-8)&gt;=0),((BC4-8)&lt;Calcs!$E$16)),0,1)</f>
        <v>0</v>
      </c>
      <c r="CB19" s="581">
        <f>IF(AND(((BD4-8)&gt;=0),((BD4-8)&lt;Calcs!$E$16)),0,1)</f>
        <v>0</v>
      </c>
      <c r="CC19" s="581">
        <f>IF(AND(((BE4-8)&gt;=0),((BE4-8)&lt;Calcs!$E$16)),0,1)</f>
        <v>0</v>
      </c>
      <c r="CD19" s="581">
        <f>IF(AND(((BF4-8)&gt;=0),((BF4-8)&lt;Calcs!$E$16)),0,1)</f>
        <v>0</v>
      </c>
      <c r="CE19" s="581">
        <f>IF(AND(((BG4-8)&gt;=0),((BG4-8)&lt;Calcs!$E$16)),0,1)</f>
        <v>0</v>
      </c>
      <c r="CF19" s="581">
        <f>IF(AND(((BH4-8)&gt;=0),((BH4-8)&lt;Calcs!$E$16)),0,1)</f>
        <v>1</v>
      </c>
      <c r="CG19" s="581">
        <f>IF(AND(((BI4-8)&gt;=0),((BI4-8)&lt;Calcs!$E$16)),0,1)</f>
        <v>1</v>
      </c>
      <c r="CH19" s="581">
        <f>IF(AND(((BJ4-8)&gt;=0),((BJ4-8)&lt;Calcs!$E$16)),0,1)</f>
        <v>1</v>
      </c>
      <c r="CI19" s="581">
        <f>IF(AND(((BK4-8)&gt;=0),((BK4-8)&lt;Calcs!$E$16)),0,1)</f>
        <v>1</v>
      </c>
      <c r="CJ19" s="581">
        <f>IF(AND(((BL4-8)&gt;=0),((BL4-8)&lt;Calcs!$E$16)),0,1)</f>
        <v>1</v>
      </c>
      <c r="CK19" s="581">
        <f>IF(AND(((BM4-8)&gt;=0),((BM4-8)&lt;Calcs!$E$16)),0,1)</f>
        <v>1</v>
      </c>
      <c r="CL19" s="581">
        <f>IF(AND(((BN4-8)&gt;=0),((BN4-8)&lt;Calcs!$E$16)),0,1)</f>
        <v>1</v>
      </c>
      <c r="CM19" s="581">
        <f>IF(AND(((BO4-8)&gt;=0),((BO4-8)&lt;Calcs!$E$16)),0,1)</f>
        <v>1</v>
      </c>
      <c r="CP19" s="422"/>
      <c r="CQ19" s="422"/>
      <c r="CR19" s="422"/>
      <c r="CS19" s="422"/>
      <c r="CT19" s="422"/>
      <c r="CU19" s="422"/>
      <c r="CV19" s="422"/>
      <c r="CW19" s="422"/>
      <c r="CX19" s="422"/>
      <c r="CY19" s="422"/>
      <c r="CZ19" s="422"/>
      <c r="DA19" s="422"/>
      <c r="DB19" s="422"/>
      <c r="DC19" s="422"/>
      <c r="DD19" s="422"/>
      <c r="DE19" s="10"/>
      <c r="DF19" s="10"/>
      <c r="DG19" s="10"/>
      <c r="DH19" s="10"/>
      <c r="DI19" s="10"/>
    </row>
    <row r="20" spans="1:117" s="21" customFormat="1" ht="15.75" outlineLevel="1" x14ac:dyDescent="0.25">
      <c r="A20" s="537"/>
      <c r="B20" s="510"/>
      <c r="C20" s="510"/>
      <c r="D20" s="510"/>
      <c r="E20" s="510"/>
      <c r="F20" s="510"/>
      <c r="G20" s="510"/>
      <c r="H20" s="510"/>
      <c r="I20" s="510"/>
      <c r="J20" s="510"/>
      <c r="K20" s="555"/>
      <c r="L20" s="555"/>
      <c r="M20" s="541" t="s">
        <v>730</v>
      </c>
      <c r="N20" s="563">
        <v>10.763910417</v>
      </c>
      <c r="O20" s="510"/>
      <c r="P20" s="510"/>
      <c r="Q20" s="510"/>
      <c r="R20" s="510"/>
      <c r="S20" s="510"/>
      <c r="T20" s="510"/>
      <c r="U20" s="510"/>
      <c r="V20" s="508"/>
      <c r="W20" s="510"/>
      <c r="AF20" s="196"/>
      <c r="AG20" s="196"/>
      <c r="AH20" s="196"/>
      <c r="AI20" s="196"/>
      <c r="AJ20" s="422"/>
      <c r="AK20" s="422"/>
      <c r="AL20" s="422"/>
      <c r="AM20" s="422"/>
      <c r="AN20" s="197"/>
      <c r="AO20" s="422"/>
      <c r="AP20" s="197"/>
      <c r="AQ20" s="422"/>
      <c r="AR20" s="422"/>
      <c r="AS20" s="498"/>
      <c r="AT20" s="422"/>
      <c r="AU20" s="422"/>
      <c r="AV20" s="422"/>
      <c r="AW20" s="422"/>
      <c r="AX20" s="422"/>
      <c r="AY20" s="422"/>
      <c r="AZ20" s="422"/>
      <c r="BA20" s="422"/>
      <c r="BB20" s="422"/>
      <c r="BC20" s="422"/>
      <c r="BD20" s="422"/>
      <c r="BE20" s="12"/>
      <c r="BF20" s="12"/>
      <c r="BG20" s="422"/>
      <c r="BH20" s="422"/>
      <c r="BI20" s="422"/>
      <c r="BJ20" s="422"/>
      <c r="BK20" s="422"/>
      <c r="BL20" s="422"/>
      <c r="BM20" s="422"/>
      <c r="BN20" s="422"/>
      <c r="BO20" s="422"/>
      <c r="BP20" s="422"/>
      <c r="BQ20" s="422"/>
      <c r="BR20" s="422"/>
      <c r="BS20" s="422"/>
      <c r="BT20" s="422"/>
      <c r="BU20" s="422"/>
      <c r="BV20" s="422"/>
      <c r="BW20" s="422"/>
      <c r="BX20" s="422"/>
      <c r="BY20" s="422"/>
      <c r="BZ20" s="422"/>
      <c r="CA20" s="422"/>
      <c r="CB20" s="422"/>
      <c r="CC20" s="422"/>
      <c r="CD20" s="422"/>
      <c r="CE20" s="422"/>
      <c r="CF20" s="422"/>
      <c r="CG20" s="422"/>
      <c r="CH20" s="422"/>
      <c r="CI20" s="422"/>
      <c r="CJ20" s="422"/>
      <c r="CK20" s="422"/>
      <c r="CL20" s="422"/>
      <c r="CM20" s="422"/>
      <c r="CN20" s="422"/>
      <c r="CO20" s="422"/>
      <c r="CP20" s="422"/>
      <c r="CQ20" s="422"/>
      <c r="CR20" s="422"/>
      <c r="CS20" s="422"/>
      <c r="CT20" s="422"/>
      <c r="CU20" s="422"/>
      <c r="CV20" s="422"/>
      <c r="CW20" s="422"/>
      <c r="CX20" s="422"/>
      <c r="CY20" s="422"/>
      <c r="CZ20" s="422"/>
      <c r="DA20" s="422"/>
      <c r="DB20" s="422"/>
      <c r="DC20" s="422"/>
      <c r="DD20" s="422"/>
      <c r="DE20" s="10"/>
      <c r="DF20" s="10"/>
      <c r="DG20" s="10"/>
      <c r="DH20" s="10"/>
      <c r="DI20" s="10"/>
    </row>
    <row r="21" spans="1:117" s="21" customFormat="1" ht="15.75" outlineLevel="1" x14ac:dyDescent="0.25">
      <c r="A21" s="537"/>
      <c r="B21" s="510"/>
      <c r="C21" s="520" t="s">
        <v>97</v>
      </c>
      <c r="D21" s="521">
        <f>(E17/20)*(10/D10)</f>
        <v>3.6057692307692304</v>
      </c>
      <c r="E21" s="522"/>
      <c r="F21" s="522"/>
      <c r="G21" s="522"/>
      <c r="H21" s="523"/>
      <c r="I21" s="510"/>
      <c r="J21" s="510"/>
      <c r="K21" s="555"/>
      <c r="L21" s="555"/>
      <c r="M21" s="564" t="s">
        <v>430</v>
      </c>
      <c r="N21" s="563">
        <v>293</v>
      </c>
      <c r="O21" s="510"/>
      <c r="P21" s="510"/>
      <c r="Q21" s="510"/>
      <c r="R21" s="510"/>
      <c r="S21" s="510"/>
      <c r="T21" s="510"/>
      <c r="U21" s="510"/>
      <c r="V21" s="508"/>
      <c r="W21" s="510"/>
      <c r="AF21" s="196"/>
      <c r="AG21" s="196"/>
      <c r="AH21" s="196"/>
      <c r="AI21" s="196"/>
      <c r="AJ21" s="197"/>
      <c r="AK21" s="197"/>
      <c r="AL21" s="197"/>
      <c r="AM21" s="196"/>
      <c r="AN21" s="197"/>
      <c r="AO21" s="197"/>
      <c r="AP21" s="197"/>
      <c r="AQ21" s="197"/>
      <c r="AR21" s="197"/>
      <c r="AS21" s="197"/>
      <c r="AT21" s="197"/>
      <c r="AU21" s="197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422"/>
      <c r="BL21" s="422"/>
      <c r="BM21" s="422"/>
      <c r="BN21" s="422"/>
      <c r="BO21" s="422"/>
      <c r="BP21" s="422"/>
      <c r="BQ21" s="422"/>
      <c r="BR21" s="422"/>
      <c r="BS21" s="422"/>
      <c r="BT21" s="422"/>
      <c r="BU21" s="422"/>
      <c r="BV21" s="422"/>
      <c r="BW21" s="422"/>
      <c r="BX21" s="422"/>
      <c r="BY21" s="422"/>
      <c r="BZ21" s="422"/>
      <c r="CA21" s="422"/>
      <c r="CB21" s="422"/>
      <c r="CC21" s="422"/>
      <c r="CD21" s="422"/>
      <c r="CE21" s="422"/>
      <c r="CF21" s="422"/>
      <c r="CG21" s="422"/>
      <c r="CH21" s="422"/>
      <c r="CI21" s="422"/>
      <c r="CJ21" s="422"/>
      <c r="CK21" s="422"/>
      <c r="CL21" s="422"/>
      <c r="CM21" s="422"/>
      <c r="CN21" s="422"/>
      <c r="CO21" s="422"/>
      <c r="CP21" s="422"/>
      <c r="CQ21" s="422"/>
      <c r="CR21" s="422"/>
      <c r="CS21" s="422"/>
      <c r="CT21" s="422"/>
      <c r="CU21" s="422"/>
      <c r="CV21" s="422"/>
      <c r="CW21" s="422"/>
      <c r="CX21" s="422"/>
      <c r="CY21" s="422"/>
      <c r="CZ21" s="422"/>
      <c r="DA21" s="422"/>
      <c r="DB21" s="422"/>
      <c r="DC21" s="422"/>
      <c r="DD21" s="422"/>
      <c r="DE21" s="10"/>
      <c r="DF21" s="10"/>
      <c r="DG21" s="10"/>
      <c r="DH21" s="10"/>
      <c r="DI21" s="10"/>
    </row>
    <row r="22" spans="1:117" s="21" customFormat="1" ht="15.75" outlineLevel="1" x14ac:dyDescent="0.25">
      <c r="A22" s="537"/>
      <c r="B22" s="510"/>
      <c r="C22" s="520" t="s">
        <v>98</v>
      </c>
      <c r="D22" s="524">
        <f>0.08*D21+0.92</f>
        <v>1.2084615384615385</v>
      </c>
      <c r="E22" s="525" t="s">
        <v>99</v>
      </c>
      <c r="F22" s="522"/>
      <c r="G22" s="522"/>
      <c r="H22" s="523"/>
      <c r="I22" s="510"/>
      <c r="J22" s="510"/>
      <c r="K22" s="555"/>
      <c r="L22" s="555"/>
      <c r="M22" s="564" t="s">
        <v>431</v>
      </c>
      <c r="N22" s="563">
        <f>1/0.277</f>
        <v>3.6101083032490973</v>
      </c>
      <c r="O22" s="510"/>
      <c r="P22" s="510"/>
      <c r="Q22" s="510"/>
      <c r="R22" s="510"/>
      <c r="S22" s="510"/>
      <c r="T22" s="510"/>
      <c r="U22" s="510"/>
      <c r="V22" s="508"/>
      <c r="W22" s="510"/>
      <c r="AF22" s="196"/>
      <c r="AG22" s="196"/>
      <c r="AH22" s="196"/>
      <c r="AI22" s="197"/>
      <c r="AJ22" s="197"/>
      <c r="AK22" s="197"/>
      <c r="AL22" s="196"/>
      <c r="AM22" s="197"/>
      <c r="AN22" s="197"/>
      <c r="AO22" s="197"/>
      <c r="AP22" s="197"/>
      <c r="AQ22" s="197"/>
      <c r="AR22" s="197"/>
      <c r="AS22" s="197"/>
      <c r="AT22" s="197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</row>
    <row r="23" spans="1:117" s="21" customFormat="1" ht="15.75" outlineLevel="1" x14ac:dyDescent="0.25">
      <c r="A23" s="537"/>
      <c r="B23" s="510"/>
      <c r="C23" s="518"/>
      <c r="D23" s="518"/>
      <c r="E23" s="510"/>
      <c r="F23" s="510"/>
      <c r="G23" s="510"/>
      <c r="H23" s="510"/>
      <c r="I23" s="510"/>
      <c r="J23" s="510"/>
      <c r="K23" s="555"/>
      <c r="L23" s="555"/>
      <c r="M23" s="507" t="s">
        <v>729</v>
      </c>
      <c r="N23" s="563">
        <v>3.4121416331279999</v>
      </c>
      <c r="O23" s="510"/>
      <c r="P23" s="510"/>
      <c r="Q23" s="510"/>
      <c r="R23" s="510"/>
      <c r="S23" s="510"/>
      <c r="T23" s="510"/>
      <c r="U23" s="510"/>
      <c r="V23" s="508"/>
      <c r="W23" s="510"/>
      <c r="AF23" s="10"/>
      <c r="AG23" s="10"/>
      <c r="AH23" s="196"/>
      <c r="AI23" s="197"/>
      <c r="AJ23" s="197"/>
      <c r="AK23" s="197"/>
      <c r="AL23" s="196"/>
      <c r="AM23" s="197"/>
      <c r="AN23" s="197"/>
      <c r="AO23" s="197"/>
      <c r="AP23" s="197"/>
      <c r="AQ23" s="197"/>
      <c r="AR23" s="197"/>
      <c r="AS23" s="197"/>
      <c r="AT23" s="197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</row>
    <row r="24" spans="1:117" x14ac:dyDescent="0.25">
      <c r="A24" s="539"/>
      <c r="B24" s="539"/>
      <c r="C24" s="507"/>
      <c r="D24" s="507"/>
      <c r="E24" s="539"/>
      <c r="F24" s="539"/>
      <c r="G24" s="539"/>
      <c r="H24" s="539"/>
      <c r="I24" s="539"/>
      <c r="J24" s="539"/>
      <c r="K24" s="539"/>
      <c r="L24" s="539"/>
      <c r="M24" s="507" t="s">
        <v>432</v>
      </c>
      <c r="N24" s="563">
        <v>1.6990000000000001</v>
      </c>
      <c r="O24" s="539"/>
      <c r="P24" s="539"/>
      <c r="Q24" s="539"/>
      <c r="R24" s="539"/>
      <c r="S24" s="539"/>
      <c r="T24" s="539"/>
      <c r="U24" s="539"/>
      <c r="V24" s="539"/>
      <c r="W24" s="539"/>
      <c r="AA24" s="10"/>
      <c r="AB24" s="10"/>
    </row>
    <row r="25" spans="1:117" x14ac:dyDescent="0.25">
      <c r="A25" s="539"/>
      <c r="B25" s="539"/>
      <c r="C25" s="507"/>
      <c r="D25" s="507"/>
      <c r="E25" s="539"/>
      <c r="F25" s="539"/>
      <c r="G25" s="539"/>
      <c r="H25" s="539"/>
      <c r="I25" s="539"/>
      <c r="J25" s="539"/>
      <c r="K25" s="539"/>
      <c r="L25" s="539"/>
      <c r="M25" s="507" t="s">
        <v>433</v>
      </c>
      <c r="N25" s="563">
        <v>4.7100000000000001E-4</v>
      </c>
      <c r="O25" s="539"/>
      <c r="P25" s="539"/>
      <c r="Q25" s="539"/>
      <c r="R25" s="539"/>
      <c r="S25" s="539"/>
      <c r="T25" s="539"/>
      <c r="U25" s="539"/>
      <c r="V25" s="539"/>
      <c r="W25" s="539"/>
      <c r="AA25" s="10"/>
      <c r="AB25" s="10"/>
    </row>
    <row r="26" spans="1:117" x14ac:dyDescent="0.25">
      <c r="A26" s="539"/>
      <c r="B26" s="539"/>
      <c r="C26" s="507"/>
      <c r="D26" s="507"/>
      <c r="E26" s="539"/>
      <c r="F26" s="539"/>
      <c r="G26" s="539"/>
      <c r="H26" s="539"/>
      <c r="I26" s="539"/>
      <c r="J26" s="539"/>
      <c r="K26" s="539"/>
      <c r="L26" s="539"/>
      <c r="M26" s="507" t="s">
        <v>434</v>
      </c>
      <c r="N26" s="563">
        <v>0.47099999999999997</v>
      </c>
      <c r="O26" s="539"/>
      <c r="P26" s="539"/>
      <c r="Q26" s="539"/>
      <c r="R26" s="539"/>
      <c r="S26" s="539"/>
      <c r="T26" s="539"/>
      <c r="U26" s="539"/>
      <c r="V26" s="539"/>
      <c r="W26" s="539"/>
      <c r="AA26" s="10"/>
      <c r="AB26" s="10"/>
    </row>
    <row r="27" spans="1:117" x14ac:dyDescent="0.25">
      <c r="A27" s="539"/>
      <c r="B27" s="539"/>
      <c r="C27" s="507"/>
      <c r="D27" s="507"/>
      <c r="E27" s="539"/>
      <c r="F27" s="539"/>
      <c r="G27" s="539"/>
      <c r="H27" s="539"/>
      <c r="I27" s="539"/>
      <c r="J27" s="539"/>
      <c r="K27" s="539"/>
      <c r="L27" s="539"/>
      <c r="M27" s="507" t="s">
        <v>435</v>
      </c>
      <c r="N27" s="563">
        <v>0.27800000000000002</v>
      </c>
      <c r="O27" s="539"/>
      <c r="P27" s="539"/>
      <c r="Q27" s="539"/>
      <c r="R27" s="539"/>
      <c r="S27" s="539"/>
      <c r="T27" s="539"/>
      <c r="U27" s="539"/>
      <c r="V27" s="539"/>
      <c r="W27" s="539"/>
      <c r="AA27" s="10"/>
      <c r="AB27" s="10"/>
    </row>
    <row r="28" spans="1:117" s="21" customFormat="1" ht="15.75" outlineLevel="1" x14ac:dyDescent="0.25">
      <c r="A28" s="537"/>
      <c r="B28" s="510"/>
      <c r="C28" s="518"/>
      <c r="D28" s="518"/>
      <c r="E28" s="510"/>
      <c r="F28" s="510"/>
      <c r="G28" s="510"/>
      <c r="H28" s="510"/>
      <c r="I28" s="510"/>
      <c r="J28" s="510"/>
      <c r="K28" s="555"/>
      <c r="L28" s="555"/>
      <c r="M28" s="507" t="s">
        <v>436</v>
      </c>
      <c r="N28" s="563">
        <v>3.54</v>
      </c>
      <c r="O28" s="510"/>
      <c r="P28" s="510"/>
      <c r="Q28" s="510"/>
      <c r="R28" s="510"/>
      <c r="S28" s="510"/>
      <c r="T28" s="510"/>
      <c r="U28" s="510"/>
      <c r="V28" s="508"/>
      <c r="W28" s="510"/>
    </row>
    <row r="29" spans="1:117" s="21" customFormat="1" ht="15.75" outlineLevel="1" x14ac:dyDescent="0.25">
      <c r="A29" s="537"/>
      <c r="B29" s="510"/>
      <c r="C29" s="510"/>
      <c r="D29" s="510"/>
      <c r="E29" s="510"/>
      <c r="F29" s="510"/>
      <c r="G29" s="510"/>
      <c r="H29" s="510"/>
      <c r="I29" s="510"/>
      <c r="J29" s="510"/>
      <c r="K29" s="555"/>
      <c r="L29" s="555"/>
      <c r="M29" s="555"/>
      <c r="N29" s="555"/>
      <c r="O29" s="510"/>
      <c r="P29" s="510"/>
      <c r="Q29" s="510"/>
      <c r="R29" s="510"/>
      <c r="S29" s="510"/>
      <c r="T29" s="510"/>
      <c r="U29" s="510"/>
      <c r="V29" s="508"/>
      <c r="W29" s="510"/>
    </row>
    <row r="30" spans="1:117" s="21" customFormat="1" ht="15.75" outlineLevel="1" x14ac:dyDescent="0.25">
      <c r="A30" s="537"/>
      <c r="B30" s="510"/>
      <c r="C30" s="510"/>
      <c r="D30" s="510"/>
      <c r="E30" s="510"/>
      <c r="F30" s="510"/>
      <c r="G30" s="510"/>
      <c r="H30" s="510"/>
      <c r="I30" s="510"/>
      <c r="J30" s="510"/>
      <c r="K30" s="555"/>
      <c r="L30" s="555"/>
      <c r="M30" s="555"/>
      <c r="N30" s="555"/>
      <c r="O30" s="510"/>
      <c r="P30" s="510"/>
      <c r="Q30" s="510"/>
      <c r="R30" s="510"/>
      <c r="S30" s="510"/>
      <c r="T30" s="510"/>
      <c r="U30" s="510"/>
      <c r="V30" s="508"/>
      <c r="W30" s="510"/>
    </row>
    <row r="31" spans="1:117" s="39" customFormat="1" ht="16.5" thickBot="1" x14ac:dyDescent="0.3">
      <c r="A31" s="554"/>
      <c r="B31" s="535"/>
      <c r="C31" s="535"/>
      <c r="D31" s="535"/>
      <c r="E31" s="535"/>
      <c r="F31" s="535"/>
      <c r="G31" s="535"/>
      <c r="H31" s="535"/>
      <c r="I31" s="535"/>
      <c r="J31" s="535"/>
      <c r="K31" s="565"/>
      <c r="L31" s="565"/>
      <c r="M31" s="565"/>
      <c r="N31" s="565"/>
      <c r="O31" s="535"/>
      <c r="P31" s="535"/>
      <c r="Q31" s="535"/>
      <c r="R31" s="535"/>
      <c r="S31" s="535"/>
      <c r="T31" s="535"/>
      <c r="U31" s="535"/>
      <c r="V31" s="566"/>
      <c r="W31" s="535"/>
    </row>
    <row r="32" spans="1:117" s="436" customFormat="1" ht="15.75" x14ac:dyDescent="0.25">
      <c r="A32" s="537" t="s">
        <v>997</v>
      </c>
      <c r="B32" s="510"/>
      <c r="C32" s="510"/>
      <c r="D32" s="510"/>
      <c r="E32" s="510"/>
      <c r="F32" s="510"/>
      <c r="G32" s="538" t="s">
        <v>198</v>
      </c>
      <c r="H32" s="539"/>
      <c r="I32" s="510"/>
      <c r="J32" s="540" t="s">
        <v>327</v>
      </c>
      <c r="K32" s="540"/>
      <c r="L32" s="540"/>
      <c r="M32" s="539"/>
      <c r="N32" s="540" t="s">
        <v>328</v>
      </c>
      <c r="O32" s="540"/>
      <c r="P32" s="540"/>
      <c r="Q32" s="510"/>
      <c r="R32" s="510"/>
      <c r="S32" s="510"/>
      <c r="T32" s="510"/>
      <c r="U32" s="510"/>
      <c r="V32" s="509"/>
      <c r="W32" s="510"/>
    </row>
    <row r="33" spans="1:23" s="436" customFormat="1" ht="15.75" x14ac:dyDescent="0.25">
      <c r="A33" s="537"/>
      <c r="B33" s="510"/>
      <c r="C33" s="541" t="s">
        <v>326</v>
      </c>
      <c r="D33" s="542">
        <f>Inputs!C33</f>
        <v>7.18</v>
      </c>
      <c r="E33" s="543"/>
      <c r="F33" s="510"/>
      <c r="G33" s="539" t="s">
        <v>360</v>
      </c>
      <c r="H33" s="539"/>
      <c r="I33" s="510"/>
      <c r="J33" s="541" t="s">
        <v>330</v>
      </c>
      <c r="K33" s="540" t="s">
        <v>331</v>
      </c>
      <c r="L33" s="540"/>
      <c r="M33" s="539"/>
      <c r="N33" s="541" t="s">
        <v>332</v>
      </c>
      <c r="O33" s="540" t="s">
        <v>333</v>
      </c>
      <c r="P33" s="540"/>
      <c r="Q33" s="510"/>
      <c r="R33" s="510"/>
      <c r="S33" s="510"/>
      <c r="T33" s="510"/>
      <c r="U33" s="510"/>
      <c r="V33" s="509"/>
      <c r="W33" s="510"/>
    </row>
    <row r="34" spans="1:23" s="436" customFormat="1" ht="15.75" x14ac:dyDescent="0.25">
      <c r="A34" s="537"/>
      <c r="B34" s="510"/>
      <c r="C34" s="541" t="s">
        <v>329</v>
      </c>
      <c r="D34" s="540">
        <f>1+5</f>
        <v>6</v>
      </c>
      <c r="E34" s="540"/>
      <c r="F34" s="510"/>
      <c r="G34" s="544" t="s">
        <v>361</v>
      </c>
      <c r="H34" s="545">
        <v>1</v>
      </c>
      <c r="I34" s="510"/>
      <c r="J34" s="541" t="s">
        <v>334</v>
      </c>
      <c r="K34" s="540" t="s">
        <v>335</v>
      </c>
      <c r="L34" s="540"/>
      <c r="M34" s="539"/>
      <c r="N34" s="541" t="s">
        <v>336</v>
      </c>
      <c r="O34" s="540" t="s">
        <v>337</v>
      </c>
      <c r="P34" s="540"/>
      <c r="Q34" s="510"/>
      <c r="R34" s="510"/>
      <c r="S34" s="510"/>
      <c r="T34" s="510"/>
      <c r="U34" s="510"/>
      <c r="V34" s="509"/>
      <c r="W34" s="510"/>
    </row>
    <row r="35" spans="1:23" s="436" customFormat="1" ht="15.75" x14ac:dyDescent="0.25">
      <c r="A35" s="537"/>
      <c r="B35" s="510"/>
      <c r="C35" s="541"/>
      <c r="D35" s="539" t="e">
        <f>Inputs!#REF!</f>
        <v>#REF!</v>
      </c>
      <c r="E35" s="540"/>
      <c r="F35" s="510"/>
      <c r="G35" s="546" t="s">
        <v>362</v>
      </c>
      <c r="H35" s="547">
        <v>0.8</v>
      </c>
      <c r="I35" s="510"/>
      <c r="J35" s="541" t="s">
        <v>339</v>
      </c>
      <c r="K35" s="540" t="s">
        <v>340</v>
      </c>
      <c r="L35" s="540"/>
      <c r="M35" s="539"/>
      <c r="N35" s="541" t="s">
        <v>341</v>
      </c>
      <c r="O35" s="540" t="s">
        <v>342</v>
      </c>
      <c r="P35" s="540"/>
      <c r="Q35" s="510"/>
      <c r="R35" s="510"/>
      <c r="S35" s="510"/>
      <c r="T35" s="510"/>
      <c r="U35" s="510"/>
      <c r="V35" s="509"/>
      <c r="W35" s="510"/>
    </row>
    <row r="36" spans="1:23" s="436" customFormat="1" ht="15.75" x14ac:dyDescent="0.25">
      <c r="A36" s="537"/>
      <c r="B36" s="510"/>
      <c r="C36" s="541" t="s">
        <v>338</v>
      </c>
      <c r="D36" s="540">
        <f>Inputs!C36</f>
        <v>1</v>
      </c>
      <c r="E36" s="543"/>
      <c r="F36" s="510"/>
      <c r="G36" s="539" t="s">
        <v>363</v>
      </c>
      <c r="H36" s="539"/>
      <c r="I36" s="510"/>
      <c r="J36" s="539"/>
      <c r="K36" s="539"/>
      <c r="L36" s="540"/>
      <c r="M36" s="539"/>
      <c r="N36" s="541" t="s">
        <v>343</v>
      </c>
      <c r="O36" s="540" t="s">
        <v>344</v>
      </c>
      <c r="P36" s="540"/>
      <c r="Q36" s="510"/>
      <c r="R36" s="510"/>
      <c r="S36" s="510"/>
      <c r="T36" s="510"/>
      <c r="U36" s="510"/>
      <c r="V36" s="509"/>
      <c r="W36" s="510"/>
    </row>
    <row r="37" spans="1:23" s="436" customFormat="1" ht="15.75" x14ac:dyDescent="0.25">
      <c r="A37" s="537"/>
      <c r="B37" s="510"/>
      <c r="C37" s="541"/>
      <c r="D37" s="539" t="e">
        <f>Inputs!#REF!</f>
        <v>#REF!</v>
      </c>
      <c r="E37" s="540"/>
      <c r="F37" s="510"/>
      <c r="G37" s="544" t="s">
        <v>361</v>
      </c>
      <c r="H37" s="545">
        <v>1</v>
      </c>
      <c r="I37" s="510"/>
      <c r="J37" s="539"/>
      <c r="K37" s="539"/>
      <c r="L37" s="540"/>
      <c r="M37" s="539"/>
      <c r="N37" s="541" t="s">
        <v>346</v>
      </c>
      <c r="O37" s="540" t="s">
        <v>347</v>
      </c>
      <c r="P37" s="540"/>
      <c r="Q37" s="510"/>
      <c r="R37" s="510"/>
      <c r="S37" s="510"/>
      <c r="T37" s="510"/>
      <c r="U37" s="510"/>
      <c r="V37" s="509"/>
      <c r="W37" s="510"/>
    </row>
    <row r="38" spans="1:23" s="436" customFormat="1" ht="15.75" x14ac:dyDescent="0.25">
      <c r="A38" s="537"/>
      <c r="B38" s="510"/>
      <c r="C38" s="541" t="s">
        <v>345</v>
      </c>
      <c r="D38" s="540">
        <f>Inputs!C37</f>
        <v>1</v>
      </c>
      <c r="E38" s="543"/>
      <c r="F38" s="510"/>
      <c r="G38" s="546" t="s">
        <v>364</v>
      </c>
      <c r="H38" s="547">
        <v>0.8</v>
      </c>
      <c r="I38" s="510"/>
      <c r="J38" s="541"/>
      <c r="K38" s="540"/>
      <c r="L38" s="540"/>
      <c r="M38" s="539"/>
      <c r="N38" s="541" t="s">
        <v>348</v>
      </c>
      <c r="O38" s="540" t="s">
        <v>349</v>
      </c>
      <c r="P38" s="540"/>
      <c r="Q38" s="510"/>
      <c r="R38" s="510"/>
      <c r="S38" s="510"/>
      <c r="T38" s="510"/>
      <c r="U38" s="510"/>
      <c r="V38" s="509"/>
      <c r="W38" s="510"/>
    </row>
    <row r="39" spans="1:23" s="436" customFormat="1" ht="15.75" x14ac:dyDescent="0.25">
      <c r="A39" s="537"/>
      <c r="B39" s="510"/>
      <c r="C39" s="541"/>
      <c r="D39" s="539" t="e">
        <f>Inputs!#REF!</f>
        <v>#REF!</v>
      </c>
      <c r="E39" s="540"/>
      <c r="F39" s="510"/>
      <c r="G39" s="539" t="s">
        <v>365</v>
      </c>
      <c r="H39" s="539"/>
      <c r="I39" s="510"/>
      <c r="J39" s="510"/>
      <c r="K39" s="548"/>
      <c r="L39" s="548"/>
      <c r="M39" s="548"/>
      <c r="N39" s="548"/>
      <c r="O39" s="510"/>
      <c r="P39" s="510"/>
      <c r="Q39" s="510"/>
      <c r="R39" s="510"/>
      <c r="S39" s="510"/>
      <c r="T39" s="510"/>
      <c r="U39" s="510"/>
      <c r="V39" s="509"/>
      <c r="W39" s="510"/>
    </row>
    <row r="40" spans="1:23" s="436" customFormat="1" ht="15.75" x14ac:dyDescent="0.25">
      <c r="A40" s="537"/>
      <c r="B40" s="510"/>
      <c r="C40" s="541" t="s">
        <v>350</v>
      </c>
      <c r="D40" s="540">
        <f>Inputs!C38</f>
        <v>1</v>
      </c>
      <c r="E40" s="543"/>
      <c r="F40" s="510"/>
      <c r="G40" s="544" t="s">
        <v>366</v>
      </c>
      <c r="H40" s="545">
        <v>1</v>
      </c>
      <c r="I40" s="510"/>
      <c r="J40" s="510"/>
      <c r="K40" s="548"/>
      <c r="L40" s="548"/>
      <c r="M40" s="548"/>
      <c r="N40" s="548"/>
      <c r="O40" s="510"/>
      <c r="P40" s="510"/>
      <c r="Q40" s="510"/>
      <c r="R40" s="510"/>
      <c r="V40" s="27"/>
    </row>
    <row r="41" spans="1:23" s="436" customFormat="1" ht="15.75" x14ac:dyDescent="0.25">
      <c r="A41" s="537"/>
      <c r="B41" s="510"/>
      <c r="C41" s="541"/>
      <c r="D41" s="540"/>
      <c r="E41" s="540"/>
      <c r="F41" s="510"/>
      <c r="G41" s="546" t="s">
        <v>367</v>
      </c>
      <c r="H41" s="547">
        <v>0.9</v>
      </c>
      <c r="I41" s="510"/>
      <c r="J41" s="510"/>
      <c r="K41" s="548"/>
      <c r="L41" s="548"/>
      <c r="M41" s="548"/>
      <c r="N41" s="548"/>
      <c r="O41" s="510"/>
      <c r="P41" s="510"/>
      <c r="Q41" s="510"/>
      <c r="R41" s="510"/>
      <c r="V41" s="27"/>
    </row>
    <row r="42" spans="1:23" s="436" customFormat="1" ht="15.75" x14ac:dyDescent="0.25">
      <c r="A42" s="537"/>
      <c r="B42" s="510"/>
      <c r="C42" s="541" t="s">
        <v>351</v>
      </c>
      <c r="D42" s="540">
        <f>(MIN(D7,19)-MAX(D6,7))*(G7-G6+1)*50</f>
        <v>2700</v>
      </c>
      <c r="E42" s="543"/>
      <c r="F42" s="510"/>
      <c r="G42" s="510"/>
      <c r="H42" s="510"/>
      <c r="I42" s="510"/>
      <c r="J42" s="510"/>
      <c r="K42" s="548"/>
      <c r="L42" s="548"/>
      <c r="M42" s="548"/>
      <c r="N42" s="548"/>
      <c r="O42" s="510"/>
      <c r="P42" s="510"/>
      <c r="Q42" s="510"/>
      <c r="R42" s="510"/>
      <c r="V42" s="27"/>
    </row>
    <row r="43" spans="1:23" s="436" customFormat="1" ht="15.75" x14ac:dyDescent="0.25">
      <c r="A43" s="537"/>
      <c r="B43" s="510"/>
      <c r="C43" s="541" t="s">
        <v>352</v>
      </c>
      <c r="D43" s="540">
        <f>(MAX(7-D6,0)+MAX(D7-19,0))*(G7-G6+1)*50</f>
        <v>0</v>
      </c>
      <c r="E43" s="543"/>
      <c r="F43" s="510"/>
      <c r="G43" s="510"/>
      <c r="H43" s="510"/>
      <c r="I43" s="510"/>
      <c r="J43" s="510"/>
      <c r="K43" s="548"/>
      <c r="L43" s="548"/>
      <c r="M43" s="548"/>
      <c r="N43" s="548"/>
      <c r="O43" s="510"/>
      <c r="P43" s="510"/>
      <c r="Q43" s="510"/>
      <c r="R43" s="510"/>
      <c r="V43" s="27"/>
    </row>
    <row r="44" spans="1:23" s="436" customFormat="1" ht="15.75" x14ac:dyDescent="0.25">
      <c r="A44" s="537"/>
      <c r="B44" s="510"/>
      <c r="C44" s="510"/>
      <c r="D44" s="510"/>
      <c r="E44" s="510"/>
      <c r="F44" s="510"/>
      <c r="G44" s="510"/>
      <c r="H44" s="510"/>
      <c r="I44" s="510"/>
      <c r="J44" s="510"/>
      <c r="K44" s="548"/>
      <c r="L44" s="548"/>
      <c r="M44" s="548"/>
      <c r="N44" s="548"/>
      <c r="O44" s="510"/>
      <c r="P44" s="510"/>
      <c r="Q44" s="510"/>
      <c r="R44" s="510"/>
      <c r="V44" s="27"/>
    </row>
    <row r="45" spans="1:23" s="436" customFormat="1" ht="15.75" x14ac:dyDescent="0.25">
      <c r="A45" s="537"/>
      <c r="B45" s="510"/>
      <c r="C45" s="510"/>
      <c r="D45" s="510"/>
      <c r="E45" s="510"/>
      <c r="F45" s="510"/>
      <c r="G45" s="510"/>
      <c r="H45" s="510"/>
      <c r="I45" s="510"/>
      <c r="J45" s="510"/>
      <c r="K45" s="548"/>
      <c r="L45" s="548"/>
      <c r="M45" s="548"/>
      <c r="N45" s="548"/>
      <c r="O45" s="510"/>
      <c r="P45" s="510"/>
      <c r="Q45" s="510"/>
      <c r="R45" s="510"/>
      <c r="V45" s="27"/>
    </row>
    <row r="46" spans="1:23" s="436" customFormat="1" ht="15.75" x14ac:dyDescent="0.25">
      <c r="A46" s="537"/>
      <c r="B46" s="510"/>
      <c r="C46" s="540"/>
      <c r="D46" s="539" t="s">
        <v>353</v>
      </c>
      <c r="E46" s="539" t="s">
        <v>354</v>
      </c>
      <c r="F46" s="539" t="s">
        <v>355</v>
      </c>
      <c r="G46" s="539"/>
      <c r="H46" s="539" t="s">
        <v>356</v>
      </c>
      <c r="I46" s="539" t="s">
        <v>357</v>
      </c>
      <c r="J46" s="751" t="s">
        <v>358</v>
      </c>
      <c r="K46" s="548"/>
      <c r="L46" s="555" t="s">
        <v>670</v>
      </c>
      <c r="M46" s="555"/>
      <c r="N46" s="507"/>
      <c r="O46" s="539"/>
      <c r="P46" s="539"/>
      <c r="Q46" s="539"/>
      <c r="R46" s="539"/>
      <c r="V46" s="27"/>
    </row>
    <row r="47" spans="1:23" s="436" customFormat="1" ht="15.75" x14ac:dyDescent="0.25">
      <c r="A47" s="537"/>
      <c r="B47" s="510"/>
      <c r="C47" s="549" t="s">
        <v>359</v>
      </c>
      <c r="D47" s="536">
        <f>C2*D33*D40*(D42*D38*D36+D43*D38)/1000</f>
        <v>133201.20600000001</v>
      </c>
      <c r="E47" s="536">
        <f>D34*C2</f>
        <v>41226</v>
      </c>
      <c r="F47" s="536">
        <f>D47+E47</f>
        <v>174427.20600000001</v>
      </c>
      <c r="G47" s="539"/>
      <c r="H47" s="510"/>
      <c r="I47" s="510"/>
      <c r="J47" s="752"/>
      <c r="K47" s="548"/>
      <c r="L47" s="555"/>
      <c r="M47" s="540"/>
      <c r="N47" s="507"/>
      <c r="O47" s="539"/>
      <c r="P47" s="539" t="s">
        <v>673</v>
      </c>
      <c r="Q47" s="539" t="s">
        <v>674</v>
      </c>
      <c r="R47" s="539"/>
      <c r="V47" s="27"/>
    </row>
    <row r="48" spans="1:23" s="436" customFormat="1" ht="15.75" x14ac:dyDescent="0.25">
      <c r="A48" s="537"/>
      <c r="B48" s="510"/>
      <c r="C48" s="518" t="s">
        <v>114</v>
      </c>
      <c r="D48" s="536">
        <f t="shared" ref="D48:E59" si="18">D$47*$P5/$P$17</f>
        <v>11312.979139726027</v>
      </c>
      <c r="E48" s="536">
        <f t="shared" si="18"/>
        <v>3501.3863013698628</v>
      </c>
      <c r="F48" s="536">
        <f t="shared" ref="F48:F59" si="19">D48+E48</f>
        <v>14814.36544109589</v>
      </c>
      <c r="G48" s="539"/>
      <c r="H48" s="536">
        <f t="shared" ref="H48:H59" si="20">D48*$N$22</f>
        <v>40841.079926808758</v>
      </c>
      <c r="I48" s="536">
        <f t="shared" ref="I48:I59" si="21">E48*$N$22</f>
        <v>12640.383759457987</v>
      </c>
      <c r="J48" s="750">
        <f t="shared" ref="J48:J59" si="22">H48+I48</f>
        <v>53481.463686266747</v>
      </c>
      <c r="K48" s="548"/>
      <c r="L48" s="555"/>
      <c r="M48" s="539" t="s">
        <v>671</v>
      </c>
      <c r="N48" s="558">
        <f>Inputs!C35</f>
        <v>1131</v>
      </c>
      <c r="O48" s="518" t="s">
        <v>114</v>
      </c>
      <c r="P48" s="536">
        <f t="shared" ref="P48:P59" si="23">P5*$N$49</f>
        <v>341</v>
      </c>
      <c r="Q48" s="590">
        <f t="shared" ref="Q48:Q59" si="24">$N$48/1000*P48/$C$2</f>
        <v>5.6130257604424388E-2</v>
      </c>
      <c r="R48" s="539"/>
      <c r="V48" s="27"/>
    </row>
    <row r="49" spans="1:29" s="436" customFormat="1" ht="15.75" x14ac:dyDescent="0.25">
      <c r="A49" s="537"/>
      <c r="B49" s="510"/>
      <c r="C49" s="518" t="s">
        <v>115</v>
      </c>
      <c r="D49" s="536">
        <f t="shared" si="18"/>
        <v>10218.174706849317</v>
      </c>
      <c r="E49" s="536">
        <f t="shared" si="18"/>
        <v>3162.5424657534245</v>
      </c>
      <c r="F49" s="536">
        <f t="shared" si="19"/>
        <v>13380.717172602741</v>
      </c>
      <c r="G49" s="539"/>
      <c r="H49" s="536">
        <f t="shared" si="20"/>
        <v>36888.717353246626</v>
      </c>
      <c r="I49" s="536">
        <f t="shared" si="21"/>
        <v>11417.120814994312</v>
      </c>
      <c r="J49" s="750">
        <f t="shared" si="22"/>
        <v>48305.838168240938</v>
      </c>
      <c r="K49" s="548"/>
      <c r="L49" s="555"/>
      <c r="M49" s="539" t="s">
        <v>672</v>
      </c>
      <c r="N49" s="545">
        <f>(24-(19-7+1))/24</f>
        <v>0.45833333333333331</v>
      </c>
      <c r="O49" s="518" t="s">
        <v>115</v>
      </c>
      <c r="P49" s="536">
        <f t="shared" si="23"/>
        <v>308</v>
      </c>
      <c r="Q49" s="590">
        <f t="shared" si="24"/>
        <v>5.0698297191092999E-2</v>
      </c>
      <c r="R49" s="539"/>
      <c r="V49" s="27"/>
    </row>
    <row r="50" spans="1:29" s="436" customFormat="1" ht="15.75" x14ac:dyDescent="0.25">
      <c r="A50" s="537"/>
      <c r="B50" s="510"/>
      <c r="C50" s="518" t="s">
        <v>116</v>
      </c>
      <c r="D50" s="536">
        <f t="shared" si="18"/>
        <v>11312.979139726027</v>
      </c>
      <c r="E50" s="536">
        <f t="shared" si="18"/>
        <v>3501.3863013698628</v>
      </c>
      <c r="F50" s="536">
        <f t="shared" si="19"/>
        <v>14814.36544109589</v>
      </c>
      <c r="G50" s="539"/>
      <c r="H50" s="536">
        <f t="shared" si="20"/>
        <v>40841.079926808758</v>
      </c>
      <c r="I50" s="536">
        <f t="shared" si="21"/>
        <v>12640.383759457987</v>
      </c>
      <c r="J50" s="750">
        <f t="shared" si="22"/>
        <v>53481.463686266747</v>
      </c>
      <c r="K50" s="548"/>
      <c r="L50" s="555"/>
      <c r="M50" s="539"/>
      <c r="N50" s="539"/>
      <c r="O50" s="518" t="s">
        <v>116</v>
      </c>
      <c r="P50" s="536">
        <f t="shared" si="23"/>
        <v>341</v>
      </c>
      <c r="Q50" s="590">
        <f t="shared" si="24"/>
        <v>5.6130257604424388E-2</v>
      </c>
      <c r="R50" s="539"/>
      <c r="V50" s="27"/>
    </row>
    <row r="51" spans="1:29" s="436" customFormat="1" ht="15.75" x14ac:dyDescent="0.25">
      <c r="A51" s="537"/>
      <c r="B51" s="510"/>
      <c r="C51" s="518" t="s">
        <v>117</v>
      </c>
      <c r="D51" s="536">
        <f t="shared" si="18"/>
        <v>10948.044328767124</v>
      </c>
      <c r="E51" s="536">
        <f t="shared" si="18"/>
        <v>3388.4383561643835</v>
      </c>
      <c r="F51" s="536">
        <f t="shared" si="19"/>
        <v>14336.482684931507</v>
      </c>
      <c r="G51" s="539"/>
      <c r="H51" s="536">
        <f t="shared" si="20"/>
        <v>39523.625735621383</v>
      </c>
      <c r="I51" s="536">
        <f t="shared" si="21"/>
        <v>12232.629444636763</v>
      </c>
      <c r="J51" s="750">
        <f t="shared" si="22"/>
        <v>51756.255180258144</v>
      </c>
      <c r="K51" s="548"/>
      <c r="L51" s="555"/>
      <c r="M51" s="539"/>
      <c r="N51" s="539"/>
      <c r="O51" s="518" t="s">
        <v>117</v>
      </c>
      <c r="P51" s="536">
        <f t="shared" si="23"/>
        <v>330</v>
      </c>
      <c r="Q51" s="590">
        <f t="shared" si="24"/>
        <v>5.431960413331393E-2</v>
      </c>
      <c r="R51" s="539"/>
      <c r="V51" s="27"/>
    </row>
    <row r="52" spans="1:29" s="436" customFormat="1" ht="15.75" x14ac:dyDescent="0.25">
      <c r="A52" s="537"/>
      <c r="B52" s="510"/>
      <c r="C52" s="518" t="s">
        <v>118</v>
      </c>
      <c r="D52" s="536">
        <f t="shared" si="18"/>
        <v>11312.979139726027</v>
      </c>
      <c r="E52" s="536">
        <f t="shared" si="18"/>
        <v>3501.3863013698628</v>
      </c>
      <c r="F52" s="536">
        <f t="shared" si="19"/>
        <v>14814.36544109589</v>
      </c>
      <c r="G52" s="539"/>
      <c r="H52" s="536">
        <f t="shared" si="20"/>
        <v>40841.079926808758</v>
      </c>
      <c r="I52" s="536">
        <f t="shared" si="21"/>
        <v>12640.383759457987</v>
      </c>
      <c r="J52" s="750">
        <f t="shared" si="22"/>
        <v>53481.463686266747</v>
      </c>
      <c r="K52" s="548"/>
      <c r="L52" s="555"/>
      <c r="M52" s="539"/>
      <c r="N52" s="539"/>
      <c r="O52" s="518" t="s">
        <v>118</v>
      </c>
      <c r="P52" s="536">
        <f t="shared" si="23"/>
        <v>341</v>
      </c>
      <c r="Q52" s="590">
        <f t="shared" si="24"/>
        <v>5.6130257604424388E-2</v>
      </c>
      <c r="R52" s="539"/>
      <c r="V52" s="27"/>
    </row>
    <row r="53" spans="1:29" s="436" customFormat="1" ht="15.75" x14ac:dyDescent="0.25">
      <c r="A53" s="537"/>
      <c r="B53" s="510"/>
      <c r="C53" s="518" t="s">
        <v>119</v>
      </c>
      <c r="D53" s="536">
        <f t="shared" si="18"/>
        <v>10948.044328767124</v>
      </c>
      <c r="E53" s="536">
        <f t="shared" si="18"/>
        <v>3388.4383561643835</v>
      </c>
      <c r="F53" s="536">
        <f t="shared" si="19"/>
        <v>14336.482684931507</v>
      </c>
      <c r="G53" s="539"/>
      <c r="H53" s="536">
        <f t="shared" si="20"/>
        <v>39523.625735621383</v>
      </c>
      <c r="I53" s="536">
        <f t="shared" si="21"/>
        <v>12232.629444636763</v>
      </c>
      <c r="J53" s="750">
        <f t="shared" si="22"/>
        <v>51756.255180258144</v>
      </c>
      <c r="K53" s="548"/>
      <c r="L53" s="555"/>
      <c r="M53" s="539"/>
      <c r="N53" s="539"/>
      <c r="O53" s="518" t="s">
        <v>119</v>
      </c>
      <c r="P53" s="536">
        <f t="shared" si="23"/>
        <v>330</v>
      </c>
      <c r="Q53" s="590">
        <f t="shared" si="24"/>
        <v>5.431960413331393E-2</v>
      </c>
      <c r="R53" s="539"/>
      <c r="V53" s="27"/>
    </row>
    <row r="54" spans="1:29" s="436" customFormat="1" ht="15.75" x14ac:dyDescent="0.25">
      <c r="A54" s="537"/>
      <c r="B54" s="510"/>
      <c r="C54" s="518" t="s">
        <v>120</v>
      </c>
      <c r="D54" s="536">
        <f t="shared" si="18"/>
        <v>11312.979139726027</v>
      </c>
      <c r="E54" s="536">
        <f t="shared" si="18"/>
        <v>3501.3863013698628</v>
      </c>
      <c r="F54" s="536">
        <f t="shared" si="19"/>
        <v>14814.36544109589</v>
      </c>
      <c r="G54" s="539"/>
      <c r="H54" s="536">
        <f t="shared" si="20"/>
        <v>40841.079926808758</v>
      </c>
      <c r="I54" s="536">
        <f t="shared" si="21"/>
        <v>12640.383759457987</v>
      </c>
      <c r="J54" s="750">
        <f t="shared" si="22"/>
        <v>53481.463686266747</v>
      </c>
      <c r="K54" s="548"/>
      <c r="L54" s="555"/>
      <c r="M54" s="539"/>
      <c r="N54" s="539"/>
      <c r="O54" s="518" t="s">
        <v>120</v>
      </c>
      <c r="P54" s="536">
        <f t="shared" si="23"/>
        <v>341</v>
      </c>
      <c r="Q54" s="590">
        <f t="shared" si="24"/>
        <v>5.6130257604424388E-2</v>
      </c>
      <c r="R54" s="539"/>
      <c r="V54" s="27"/>
    </row>
    <row r="55" spans="1:29" s="436" customFormat="1" ht="15.75" x14ac:dyDescent="0.25">
      <c r="A55" s="537"/>
      <c r="B55" s="510"/>
      <c r="C55" s="518" t="s">
        <v>121</v>
      </c>
      <c r="D55" s="536">
        <f t="shared" si="18"/>
        <v>11312.979139726027</v>
      </c>
      <c r="E55" s="536">
        <f t="shared" si="18"/>
        <v>3501.3863013698628</v>
      </c>
      <c r="F55" s="536">
        <f t="shared" si="19"/>
        <v>14814.36544109589</v>
      </c>
      <c r="G55" s="539"/>
      <c r="H55" s="536">
        <f t="shared" si="20"/>
        <v>40841.079926808758</v>
      </c>
      <c r="I55" s="536">
        <f t="shared" si="21"/>
        <v>12640.383759457987</v>
      </c>
      <c r="J55" s="750">
        <f t="shared" si="22"/>
        <v>53481.463686266747</v>
      </c>
      <c r="K55" s="548"/>
      <c r="L55" s="555"/>
      <c r="M55" s="539"/>
      <c r="N55" s="539"/>
      <c r="O55" s="518" t="s">
        <v>121</v>
      </c>
      <c r="P55" s="536">
        <f t="shared" si="23"/>
        <v>341</v>
      </c>
      <c r="Q55" s="590">
        <f t="shared" si="24"/>
        <v>5.6130257604424388E-2</v>
      </c>
      <c r="R55" s="539"/>
      <c r="V55" s="27"/>
    </row>
    <row r="56" spans="1:29" s="436" customFormat="1" ht="15.75" x14ac:dyDescent="0.25">
      <c r="A56" s="537"/>
      <c r="B56" s="510"/>
      <c r="C56" s="518" t="s">
        <v>122</v>
      </c>
      <c r="D56" s="536">
        <f t="shared" si="18"/>
        <v>10948.044328767124</v>
      </c>
      <c r="E56" s="536">
        <f t="shared" si="18"/>
        <v>3388.4383561643835</v>
      </c>
      <c r="F56" s="536">
        <f t="shared" si="19"/>
        <v>14336.482684931507</v>
      </c>
      <c r="G56" s="539"/>
      <c r="H56" s="536">
        <f t="shared" si="20"/>
        <v>39523.625735621383</v>
      </c>
      <c r="I56" s="536">
        <f t="shared" si="21"/>
        <v>12232.629444636763</v>
      </c>
      <c r="J56" s="750">
        <f t="shared" si="22"/>
        <v>51756.255180258144</v>
      </c>
      <c r="K56" s="548"/>
      <c r="L56" s="555"/>
      <c r="M56" s="539"/>
      <c r="N56" s="539"/>
      <c r="O56" s="518" t="s">
        <v>122</v>
      </c>
      <c r="P56" s="536">
        <f t="shared" si="23"/>
        <v>330</v>
      </c>
      <c r="Q56" s="590">
        <f t="shared" si="24"/>
        <v>5.431960413331393E-2</v>
      </c>
      <c r="R56" s="539"/>
      <c r="V56" s="27"/>
    </row>
    <row r="57" spans="1:29" s="436" customFormat="1" ht="15.75" x14ac:dyDescent="0.25">
      <c r="A57" s="537"/>
      <c r="B57" s="510"/>
      <c r="C57" s="518" t="s">
        <v>123</v>
      </c>
      <c r="D57" s="536">
        <f t="shared" si="18"/>
        <v>11312.979139726027</v>
      </c>
      <c r="E57" s="536">
        <f t="shared" si="18"/>
        <v>3501.3863013698628</v>
      </c>
      <c r="F57" s="536">
        <f t="shared" si="19"/>
        <v>14814.36544109589</v>
      </c>
      <c r="G57" s="539"/>
      <c r="H57" s="536">
        <f t="shared" si="20"/>
        <v>40841.079926808758</v>
      </c>
      <c r="I57" s="536">
        <f t="shared" si="21"/>
        <v>12640.383759457987</v>
      </c>
      <c r="J57" s="750">
        <f t="shared" si="22"/>
        <v>53481.463686266747</v>
      </c>
      <c r="K57" s="548"/>
      <c r="L57" s="555"/>
      <c r="M57" s="539"/>
      <c r="N57" s="539"/>
      <c r="O57" s="518" t="s">
        <v>123</v>
      </c>
      <c r="P57" s="536">
        <f t="shared" si="23"/>
        <v>341</v>
      </c>
      <c r="Q57" s="590">
        <f t="shared" si="24"/>
        <v>5.6130257604424388E-2</v>
      </c>
      <c r="R57" s="539"/>
      <c r="V57" s="27"/>
    </row>
    <row r="58" spans="1:29" s="436" customFormat="1" ht="15.75" x14ac:dyDescent="0.25">
      <c r="A58" s="537"/>
      <c r="B58" s="510"/>
      <c r="C58" s="518" t="s">
        <v>124</v>
      </c>
      <c r="D58" s="536">
        <f t="shared" si="18"/>
        <v>10948.044328767124</v>
      </c>
      <c r="E58" s="536">
        <f t="shared" si="18"/>
        <v>3388.4383561643835</v>
      </c>
      <c r="F58" s="536">
        <f t="shared" si="19"/>
        <v>14336.482684931507</v>
      </c>
      <c r="G58" s="539"/>
      <c r="H58" s="536">
        <f t="shared" si="20"/>
        <v>39523.625735621383</v>
      </c>
      <c r="I58" s="536">
        <f t="shared" si="21"/>
        <v>12232.629444636763</v>
      </c>
      <c r="J58" s="750">
        <f t="shared" si="22"/>
        <v>51756.255180258144</v>
      </c>
      <c r="K58" s="548"/>
      <c r="L58" s="555"/>
      <c r="M58" s="539"/>
      <c r="N58" s="539"/>
      <c r="O58" s="518" t="s">
        <v>124</v>
      </c>
      <c r="P58" s="536">
        <f t="shared" si="23"/>
        <v>330</v>
      </c>
      <c r="Q58" s="590">
        <f t="shared" si="24"/>
        <v>5.431960413331393E-2</v>
      </c>
      <c r="R58" s="539"/>
      <c r="V58" s="27"/>
    </row>
    <row r="59" spans="1:29" s="436" customFormat="1" ht="15.75" x14ac:dyDescent="0.25">
      <c r="A59" s="537"/>
      <c r="B59" s="510"/>
      <c r="C59" s="518" t="s">
        <v>125</v>
      </c>
      <c r="D59" s="536">
        <f t="shared" si="18"/>
        <v>11312.979139726027</v>
      </c>
      <c r="E59" s="536">
        <f t="shared" si="18"/>
        <v>3501.3863013698628</v>
      </c>
      <c r="F59" s="536">
        <f t="shared" si="19"/>
        <v>14814.36544109589</v>
      </c>
      <c r="G59" s="539"/>
      <c r="H59" s="536">
        <f t="shared" si="20"/>
        <v>40841.079926808758</v>
      </c>
      <c r="I59" s="536">
        <f t="shared" si="21"/>
        <v>12640.383759457987</v>
      </c>
      <c r="J59" s="750">
        <f t="shared" si="22"/>
        <v>53481.463686266747</v>
      </c>
      <c r="K59" s="548"/>
      <c r="L59" s="555"/>
      <c r="M59" s="539"/>
      <c r="N59" s="539"/>
      <c r="O59" s="518" t="s">
        <v>125</v>
      </c>
      <c r="P59" s="536">
        <f t="shared" si="23"/>
        <v>341</v>
      </c>
      <c r="Q59" s="590">
        <f t="shared" si="24"/>
        <v>5.6130257604424388E-2</v>
      </c>
      <c r="R59" s="539"/>
      <c r="V59" s="27"/>
    </row>
    <row r="60" spans="1:29" s="436" customFormat="1" ht="15.75" x14ac:dyDescent="0.25">
      <c r="A60" s="537"/>
      <c r="B60" s="510"/>
      <c r="C60" s="510"/>
      <c r="D60" s="510"/>
      <c r="E60" s="510"/>
      <c r="F60" s="510"/>
      <c r="G60" s="510"/>
      <c r="H60" s="536"/>
      <c r="I60" s="536"/>
      <c r="J60" s="536"/>
      <c r="K60" s="548"/>
      <c r="L60" s="555"/>
      <c r="M60" s="555"/>
      <c r="N60" s="507"/>
      <c r="O60" s="549" t="s">
        <v>178</v>
      </c>
      <c r="P60" s="536">
        <f>SUM(P48:P59)</f>
        <v>4015</v>
      </c>
      <c r="Q60" s="590">
        <f>SUM(Q48:Q59)</f>
        <v>0.66088851695531936</v>
      </c>
      <c r="R60" s="539"/>
      <c r="V60" s="27"/>
    </row>
    <row r="61" spans="1:29" s="39" customFormat="1" ht="16.5" thickBot="1" x14ac:dyDescent="0.3">
      <c r="A61" s="554"/>
      <c r="B61" s="535"/>
      <c r="C61" s="535"/>
      <c r="D61" s="535"/>
      <c r="E61" s="535"/>
      <c r="F61" s="535"/>
      <c r="G61" s="535"/>
      <c r="H61" s="535"/>
      <c r="I61" s="535"/>
      <c r="J61" s="535"/>
      <c r="K61" s="565"/>
      <c r="L61" s="565"/>
      <c r="M61" s="565"/>
      <c r="N61" s="565"/>
      <c r="O61" s="535"/>
      <c r="P61" s="535"/>
      <c r="Q61" s="535"/>
      <c r="R61" s="535"/>
      <c r="V61" s="591"/>
    </row>
    <row r="62" spans="1:29" x14ac:dyDescent="0.25">
      <c r="A62" s="61" t="s">
        <v>175</v>
      </c>
      <c r="D62" s="10"/>
      <c r="M62" s="16"/>
      <c r="N62" s="16"/>
      <c r="O62" s="16"/>
      <c r="P62" s="16"/>
      <c r="Q62" s="16"/>
      <c r="R62" s="16"/>
      <c r="S62" s="16"/>
      <c r="T62" s="16"/>
      <c r="U62" s="16"/>
      <c r="AC62" s="16"/>
    </row>
    <row r="63" spans="1:29" outlineLevel="1" x14ac:dyDescent="0.25">
      <c r="A63" s="61"/>
      <c r="C63" s="507"/>
      <c r="D63" s="539"/>
      <c r="E63" s="539"/>
      <c r="F63" s="539"/>
      <c r="G63" s="539"/>
      <c r="H63" s="539"/>
      <c r="I63" s="539"/>
      <c r="J63" s="539"/>
      <c r="K63" s="539"/>
      <c r="L63" s="539"/>
      <c r="M63" s="539"/>
      <c r="N63" s="16"/>
      <c r="O63" s="16"/>
      <c r="P63" s="16"/>
      <c r="Q63" s="16"/>
      <c r="R63" s="16"/>
      <c r="S63" s="16"/>
      <c r="T63" s="16"/>
      <c r="U63" s="16"/>
      <c r="AC63" s="16"/>
    </row>
    <row r="64" spans="1:29" outlineLevel="1" x14ac:dyDescent="0.25">
      <c r="A64" s="61"/>
      <c r="C64" s="507"/>
      <c r="D64" s="539"/>
      <c r="E64" s="539"/>
      <c r="F64" s="539"/>
      <c r="G64" s="539"/>
      <c r="H64" s="539"/>
      <c r="I64" s="539"/>
      <c r="J64" s="539"/>
      <c r="K64" s="539"/>
      <c r="L64" s="539"/>
      <c r="M64" s="539"/>
      <c r="N64" s="16"/>
      <c r="O64" s="16"/>
      <c r="P64" s="16"/>
      <c r="Q64" s="16"/>
      <c r="R64" s="16"/>
      <c r="S64" s="16"/>
      <c r="T64" s="16"/>
      <c r="U64" s="16"/>
      <c r="AC64" s="16"/>
    </row>
    <row r="65" spans="1:27" outlineLevel="1" x14ac:dyDescent="0.25">
      <c r="B65" s="62" t="s">
        <v>175</v>
      </c>
      <c r="C65" s="592"/>
      <c r="D65" s="552"/>
      <c r="E65" s="552"/>
      <c r="F65" s="592"/>
      <c r="G65" s="552"/>
      <c r="H65" s="552"/>
      <c r="I65" s="539"/>
      <c r="J65" s="539"/>
      <c r="K65" s="539"/>
      <c r="L65" s="539"/>
      <c r="M65" s="539"/>
      <c r="S65" s="16"/>
      <c r="T65" s="16"/>
      <c r="U65" s="16"/>
      <c r="V65" s="16"/>
      <c r="W65" s="16"/>
      <c r="X65" s="64"/>
      <c r="Y65" s="16"/>
      <c r="Z65" s="64"/>
      <c r="AA65" s="65"/>
    </row>
    <row r="66" spans="1:27" outlineLevel="1" x14ac:dyDescent="0.25">
      <c r="A66" s="62"/>
      <c r="B66" s="66"/>
      <c r="C66" s="593" t="s">
        <v>176</v>
      </c>
      <c r="D66" s="511" t="s">
        <v>8</v>
      </c>
      <c r="E66" s="513" t="s">
        <v>10</v>
      </c>
      <c r="F66" s="511" t="s">
        <v>12</v>
      </c>
      <c r="G66" s="511" t="s">
        <v>14</v>
      </c>
      <c r="H66" s="508" t="s">
        <v>15</v>
      </c>
      <c r="I66" s="508" t="s">
        <v>17</v>
      </c>
      <c r="J66" s="508" t="s">
        <v>19</v>
      </c>
      <c r="K66" s="511" t="s">
        <v>7</v>
      </c>
      <c r="L66" s="508" t="s">
        <v>177</v>
      </c>
      <c r="N66" s="422"/>
      <c r="S66" s="16"/>
      <c r="T66" s="16"/>
      <c r="U66" s="16"/>
      <c r="V66" s="16"/>
      <c r="W66" s="16"/>
      <c r="X66" s="64"/>
      <c r="Y66" s="16"/>
      <c r="Z66" s="64"/>
      <c r="AA66" s="65"/>
    </row>
    <row r="67" spans="1:27" outlineLevel="1" x14ac:dyDescent="0.25">
      <c r="A67" s="62"/>
      <c r="B67" s="66"/>
      <c r="C67" s="594" t="s">
        <v>179</v>
      </c>
      <c r="D67" s="558">
        <f>Inputs!C78</f>
        <v>603.20000000000005</v>
      </c>
      <c r="E67" s="558">
        <f>Inputs!D78</f>
        <v>0</v>
      </c>
      <c r="F67" s="558">
        <f>Inputs!E78</f>
        <v>213.2</v>
      </c>
      <c r="G67" s="558">
        <f>Inputs!F78</f>
        <v>0</v>
      </c>
      <c r="H67" s="558">
        <f>Inputs!G78</f>
        <v>603.20000000000005</v>
      </c>
      <c r="I67" s="558">
        <f>Inputs!H78</f>
        <v>0</v>
      </c>
      <c r="J67" s="558">
        <f>Inputs!I78</f>
        <v>213.2</v>
      </c>
      <c r="K67" s="558">
        <f>Inputs!J78</f>
        <v>0</v>
      </c>
      <c r="L67" s="558">
        <f>Inputs!K78</f>
        <v>6871</v>
      </c>
      <c r="M67" s="342">
        <f>SUM(D67:L67)</f>
        <v>8503.7999999999993</v>
      </c>
      <c r="N67" s="422"/>
      <c r="S67" s="16"/>
      <c r="T67" s="16"/>
      <c r="U67" s="16"/>
      <c r="V67" s="16"/>
      <c r="W67" s="16"/>
      <c r="X67" s="64"/>
      <c r="Y67" s="16"/>
      <c r="Z67" s="64"/>
      <c r="AA67" s="65"/>
    </row>
    <row r="68" spans="1:27" outlineLevel="1" x14ac:dyDescent="0.25">
      <c r="A68" s="62"/>
      <c r="B68" s="66"/>
      <c r="C68" s="594" t="s">
        <v>180</v>
      </c>
      <c r="D68" s="558">
        <f>Inputs!C83</f>
        <v>324.8</v>
      </c>
      <c r="E68" s="558">
        <f>Inputs!D83</f>
        <v>0</v>
      </c>
      <c r="F68" s="558">
        <f>Inputs!E83</f>
        <v>114.8</v>
      </c>
      <c r="G68" s="558">
        <f>Inputs!F83</f>
        <v>0</v>
      </c>
      <c r="H68" s="558">
        <f>Inputs!G83</f>
        <v>324.8</v>
      </c>
      <c r="I68" s="558">
        <f>Inputs!H83</f>
        <v>0</v>
      </c>
      <c r="J68" s="558">
        <f>Inputs!I83</f>
        <v>115</v>
      </c>
      <c r="K68" s="558">
        <f>Inputs!J83</f>
        <v>0</v>
      </c>
      <c r="L68" s="558">
        <f>Inputs!K83</f>
        <v>0</v>
      </c>
      <c r="N68" s="422"/>
      <c r="S68" s="16"/>
      <c r="T68" s="16"/>
      <c r="U68" s="16"/>
      <c r="V68" s="16"/>
      <c r="W68" s="16"/>
      <c r="X68" s="64"/>
      <c r="Y68" s="16"/>
      <c r="Z68" s="64"/>
      <c r="AA68" s="65"/>
    </row>
    <row r="69" spans="1:27" outlineLevel="1" x14ac:dyDescent="0.25">
      <c r="A69" s="62"/>
      <c r="B69" s="66"/>
      <c r="C69" s="594" t="s">
        <v>181</v>
      </c>
      <c r="D69" s="558"/>
      <c r="E69" s="558"/>
      <c r="F69" s="558"/>
      <c r="G69" s="558"/>
      <c r="H69" s="558"/>
      <c r="I69" s="558"/>
      <c r="J69" s="558"/>
      <c r="K69" s="558"/>
      <c r="L69" s="558"/>
      <c r="N69" s="422"/>
      <c r="R69" s="16"/>
      <c r="S69" s="16"/>
      <c r="T69" s="16"/>
      <c r="U69" s="16"/>
      <c r="V69" s="16"/>
      <c r="W69" s="16"/>
      <c r="X69" s="64"/>
      <c r="Y69" s="16"/>
      <c r="Z69" s="64"/>
      <c r="AA69" s="65"/>
    </row>
    <row r="70" spans="1:27" outlineLevel="1" x14ac:dyDescent="0.25">
      <c r="A70" s="62"/>
      <c r="B70" s="66"/>
      <c r="C70" s="594"/>
      <c r="D70" s="595"/>
      <c r="E70" s="595"/>
      <c r="F70" s="595"/>
      <c r="G70" s="595"/>
      <c r="H70" s="595"/>
      <c r="I70" s="595"/>
      <c r="J70" s="595"/>
      <c r="K70" s="595"/>
      <c r="L70" s="595"/>
      <c r="N70" s="422"/>
      <c r="R70" s="16"/>
      <c r="S70" s="16"/>
      <c r="T70" s="16"/>
      <c r="U70" s="16"/>
      <c r="V70" s="16"/>
      <c r="W70" s="16"/>
      <c r="X70" s="64"/>
      <c r="Y70" s="16"/>
      <c r="Z70" s="64"/>
      <c r="AA70" s="65"/>
    </row>
    <row r="71" spans="1:27" outlineLevel="1" x14ac:dyDescent="0.25">
      <c r="A71" s="62"/>
      <c r="B71" s="66"/>
      <c r="C71" s="593"/>
      <c r="D71" s="540"/>
      <c r="E71" s="593"/>
      <c r="F71" s="540"/>
      <c r="G71" s="540"/>
      <c r="H71" s="539"/>
      <c r="I71" s="539"/>
      <c r="J71" s="539"/>
      <c r="K71" s="540"/>
      <c r="L71" s="539"/>
      <c r="N71" s="422"/>
      <c r="R71" s="16"/>
      <c r="S71" s="16"/>
      <c r="T71" s="16"/>
      <c r="U71" s="16"/>
      <c r="V71" s="16"/>
      <c r="W71" s="16"/>
      <c r="X71" s="64"/>
      <c r="Y71" s="16"/>
      <c r="Z71" s="64"/>
      <c r="AA71" s="65"/>
    </row>
    <row r="72" spans="1:27" outlineLevel="1" x14ac:dyDescent="0.25">
      <c r="B72" s="66"/>
      <c r="C72" s="596" t="s">
        <v>182</v>
      </c>
      <c r="D72" s="511" t="s">
        <v>8</v>
      </c>
      <c r="E72" s="513" t="s">
        <v>10</v>
      </c>
      <c r="F72" s="511" t="s">
        <v>12</v>
      </c>
      <c r="G72" s="511" t="s">
        <v>14</v>
      </c>
      <c r="H72" s="508" t="s">
        <v>15</v>
      </c>
      <c r="I72" s="508" t="s">
        <v>17</v>
      </c>
      <c r="J72" s="508" t="s">
        <v>19</v>
      </c>
      <c r="K72" s="511" t="s">
        <v>7</v>
      </c>
      <c r="L72" s="508" t="s">
        <v>183</v>
      </c>
      <c r="N72" s="422"/>
      <c r="R72" s="16"/>
      <c r="S72" s="16"/>
      <c r="T72" s="16"/>
      <c r="U72" s="16"/>
      <c r="V72" s="16"/>
      <c r="W72" s="16"/>
      <c r="X72" s="64"/>
      <c r="Y72" s="16"/>
      <c r="Z72" s="64"/>
      <c r="AA72" s="65"/>
    </row>
    <row r="73" spans="1:27" outlineLevel="1" x14ac:dyDescent="0.25">
      <c r="C73" s="594" t="s">
        <v>184</v>
      </c>
      <c r="D73" s="539">
        <f>Inputs!C79</f>
        <v>0.36299999999999999</v>
      </c>
      <c r="E73" s="539">
        <f>Inputs!D79</f>
        <v>0.36299999999999999</v>
      </c>
      <c r="F73" s="539">
        <f>Inputs!E79</f>
        <v>0.36299999999999999</v>
      </c>
      <c r="G73" s="539">
        <f>Inputs!F79</f>
        <v>0.36299999999999999</v>
      </c>
      <c r="H73" s="539">
        <f>Inputs!G79</f>
        <v>0.36299999999999999</v>
      </c>
      <c r="I73" s="539">
        <f>Inputs!H79</f>
        <v>0.36299999999999999</v>
      </c>
      <c r="J73" s="539">
        <f>Inputs!I79</f>
        <v>0.36299999999999999</v>
      </c>
      <c r="K73" s="570">
        <f>Inputs!J79</f>
        <v>0.36299999999999999</v>
      </c>
      <c r="L73" s="539">
        <f>Inputs!K79</f>
        <v>0.27</v>
      </c>
      <c r="N73" s="422"/>
      <c r="R73" s="16"/>
      <c r="S73" s="16"/>
      <c r="T73" s="16"/>
      <c r="U73" s="16"/>
      <c r="V73" s="16"/>
      <c r="W73" s="16"/>
      <c r="X73" s="64"/>
      <c r="Y73" s="16"/>
      <c r="Z73" s="64"/>
      <c r="AA73" s="65"/>
    </row>
    <row r="74" spans="1:27" outlineLevel="1" x14ac:dyDescent="0.25">
      <c r="C74" s="594" t="s">
        <v>180</v>
      </c>
      <c r="D74" s="597">
        <f>Inputs!C84</f>
        <v>2.653</v>
      </c>
      <c r="E74" s="597">
        <f>Inputs!D84</f>
        <v>2.653</v>
      </c>
      <c r="F74" s="597">
        <f>Inputs!E84</f>
        <v>2.653</v>
      </c>
      <c r="G74" s="597">
        <f>Inputs!F84</f>
        <v>2.653</v>
      </c>
      <c r="H74" s="597">
        <f>Inputs!G84</f>
        <v>2.653</v>
      </c>
      <c r="I74" s="539">
        <f>Inputs!H84</f>
        <v>2.653</v>
      </c>
      <c r="J74" s="597">
        <f>Inputs!I84</f>
        <v>2.653</v>
      </c>
      <c r="K74" s="597">
        <f>Inputs!J84</f>
        <v>2.653</v>
      </c>
      <c r="L74" s="597">
        <f>Inputs!K84</f>
        <v>0</v>
      </c>
      <c r="N74" s="422"/>
      <c r="R74" s="16"/>
      <c r="S74" s="16"/>
      <c r="T74" s="16"/>
      <c r="U74" s="16"/>
      <c r="V74" s="16"/>
      <c r="W74" s="16"/>
      <c r="X74" s="64"/>
      <c r="Y74" s="16"/>
      <c r="Z74" s="64"/>
      <c r="AA74" s="65"/>
    </row>
    <row r="75" spans="1:27" outlineLevel="1" x14ac:dyDescent="0.25">
      <c r="C75" s="594" t="s">
        <v>181</v>
      </c>
      <c r="D75" s="598"/>
      <c r="E75" s="598"/>
      <c r="F75" s="598"/>
      <c r="G75" s="598"/>
      <c r="H75" s="598"/>
      <c r="I75" s="598"/>
      <c r="J75" s="598"/>
      <c r="K75" s="598"/>
      <c r="L75" s="598"/>
      <c r="N75" s="422"/>
      <c r="R75" s="16"/>
      <c r="S75" s="16"/>
      <c r="T75" s="16"/>
      <c r="U75" s="16"/>
      <c r="V75" s="16"/>
      <c r="W75" s="16"/>
      <c r="X75" s="64"/>
      <c r="Y75" s="16"/>
      <c r="Z75" s="64"/>
      <c r="AA75" s="65"/>
    </row>
    <row r="76" spans="1:27" outlineLevel="1" x14ac:dyDescent="0.25">
      <c r="C76" s="507"/>
      <c r="D76" s="540"/>
      <c r="E76" s="593"/>
      <c r="F76" s="540"/>
      <c r="G76" s="540"/>
      <c r="H76" s="539"/>
      <c r="I76" s="539"/>
      <c r="J76" s="539"/>
      <c r="K76" s="540"/>
      <c r="L76" s="539"/>
      <c r="N76" s="422"/>
      <c r="R76" s="16"/>
      <c r="S76" s="16"/>
      <c r="T76" s="16"/>
      <c r="U76" s="16"/>
      <c r="V76" s="16"/>
      <c r="W76" s="16"/>
      <c r="X76" s="64"/>
      <c r="Y76" s="16"/>
      <c r="Z76" s="64"/>
      <c r="AA76" s="65"/>
    </row>
    <row r="77" spans="1:27" outlineLevel="1" x14ac:dyDescent="0.25">
      <c r="C77" s="596" t="s">
        <v>185</v>
      </c>
      <c r="D77" s="511" t="s">
        <v>8</v>
      </c>
      <c r="E77" s="513" t="s">
        <v>10</v>
      </c>
      <c r="F77" s="511" t="s">
        <v>12</v>
      </c>
      <c r="G77" s="511" t="s">
        <v>14</v>
      </c>
      <c r="H77" s="508" t="s">
        <v>15</v>
      </c>
      <c r="I77" s="508" t="s">
        <v>17</v>
      </c>
      <c r="J77" s="508" t="s">
        <v>19</v>
      </c>
      <c r="K77" s="511" t="s">
        <v>7</v>
      </c>
      <c r="L77" s="508" t="s">
        <v>183</v>
      </c>
      <c r="N77" s="422"/>
      <c r="R77" s="16"/>
      <c r="S77" s="16"/>
      <c r="T77" s="16"/>
      <c r="U77" s="16"/>
      <c r="V77" s="16"/>
      <c r="W77" s="16"/>
      <c r="X77" s="64"/>
      <c r="Y77" s="16"/>
      <c r="Z77" s="64"/>
      <c r="AA77" s="65"/>
    </row>
    <row r="78" spans="1:27" outlineLevel="1" x14ac:dyDescent="0.25">
      <c r="A78" s="62"/>
      <c r="B78" s="66"/>
      <c r="C78" s="594" t="s">
        <v>186</v>
      </c>
      <c r="D78" s="599">
        <f t="shared" ref="D78:L78" si="25">D67*D73</f>
        <v>218.9616</v>
      </c>
      <c r="E78" s="599">
        <f t="shared" si="25"/>
        <v>0</v>
      </c>
      <c r="F78" s="599">
        <f t="shared" si="25"/>
        <v>77.391599999999997</v>
      </c>
      <c r="G78" s="599">
        <f t="shared" si="25"/>
        <v>0</v>
      </c>
      <c r="H78" s="599">
        <f t="shared" si="25"/>
        <v>218.9616</v>
      </c>
      <c r="I78" s="599">
        <f t="shared" si="25"/>
        <v>0</v>
      </c>
      <c r="J78" s="599">
        <f t="shared" si="25"/>
        <v>77.391599999999997</v>
      </c>
      <c r="K78" s="599">
        <f t="shared" si="25"/>
        <v>0</v>
      </c>
      <c r="L78" s="599">
        <f t="shared" si="25"/>
        <v>1855.17</v>
      </c>
      <c r="N78" s="422"/>
      <c r="R78" s="16"/>
      <c r="S78" s="16"/>
      <c r="T78" s="16"/>
      <c r="U78" s="16"/>
      <c r="V78" s="16"/>
      <c r="W78" s="16"/>
      <c r="X78" s="64"/>
      <c r="Y78" s="16"/>
      <c r="Z78" s="64"/>
      <c r="AA78" s="65"/>
    </row>
    <row r="79" spans="1:27" outlineLevel="1" x14ac:dyDescent="0.25">
      <c r="A79" s="62"/>
      <c r="B79" s="66"/>
      <c r="C79" s="600" t="s">
        <v>187</v>
      </c>
      <c r="D79" s="599">
        <f t="shared" ref="D79:L79" si="26">D68*D74</f>
        <v>861.69440000000009</v>
      </c>
      <c r="E79" s="599">
        <f t="shared" si="26"/>
        <v>0</v>
      </c>
      <c r="F79" s="599">
        <f t="shared" si="26"/>
        <v>304.56439999999998</v>
      </c>
      <c r="G79" s="599">
        <f t="shared" si="26"/>
        <v>0</v>
      </c>
      <c r="H79" s="599">
        <f t="shared" si="26"/>
        <v>861.69440000000009</v>
      </c>
      <c r="I79" s="599">
        <f t="shared" si="26"/>
        <v>0</v>
      </c>
      <c r="J79" s="599">
        <f t="shared" si="26"/>
        <v>305.09500000000003</v>
      </c>
      <c r="K79" s="599">
        <f t="shared" si="26"/>
        <v>0</v>
      </c>
      <c r="L79" s="599">
        <f t="shared" si="26"/>
        <v>0</v>
      </c>
      <c r="N79" s="422"/>
      <c r="R79" s="16"/>
      <c r="S79" s="16"/>
      <c r="T79" s="16"/>
      <c r="U79" s="16"/>
      <c r="V79" s="16"/>
      <c r="W79" s="16"/>
      <c r="X79" s="64"/>
      <c r="Y79" s="16"/>
      <c r="Z79" s="64"/>
      <c r="AA79" s="65"/>
    </row>
    <row r="80" spans="1:27" outlineLevel="1" x14ac:dyDescent="0.25">
      <c r="A80" s="62"/>
      <c r="B80" s="66"/>
      <c r="C80" s="600" t="s">
        <v>188</v>
      </c>
      <c r="D80" s="599"/>
      <c r="E80" s="599"/>
      <c r="F80" s="599"/>
      <c r="G80" s="599"/>
      <c r="H80" s="599"/>
      <c r="I80" s="599"/>
      <c r="J80" s="599"/>
      <c r="K80" s="599"/>
      <c r="L80" s="599"/>
      <c r="N80" s="422"/>
      <c r="R80" s="16"/>
      <c r="S80" s="16"/>
      <c r="T80" s="16"/>
      <c r="U80" s="16"/>
      <c r="V80" s="16"/>
      <c r="W80" s="16"/>
      <c r="X80" s="64"/>
      <c r="Y80" s="16"/>
      <c r="Z80" s="64"/>
      <c r="AA80" s="65"/>
    </row>
    <row r="81" spans="1:28" outlineLevel="1" x14ac:dyDescent="0.25">
      <c r="A81" s="62"/>
      <c r="B81" s="66"/>
      <c r="C81" s="507" t="s">
        <v>189</v>
      </c>
      <c r="D81" s="595">
        <f t="shared" ref="D81:L81" si="27">SUM(D78:D80)</f>
        <v>1080.6560000000002</v>
      </c>
      <c r="E81" s="595">
        <f t="shared" si="27"/>
        <v>0</v>
      </c>
      <c r="F81" s="595">
        <f t="shared" si="27"/>
        <v>381.95599999999996</v>
      </c>
      <c r="G81" s="595">
        <f t="shared" si="27"/>
        <v>0</v>
      </c>
      <c r="H81" s="595">
        <f t="shared" si="27"/>
        <v>1080.6560000000002</v>
      </c>
      <c r="I81" s="595">
        <f t="shared" si="27"/>
        <v>0</v>
      </c>
      <c r="J81" s="595">
        <f t="shared" si="27"/>
        <v>382.48660000000001</v>
      </c>
      <c r="K81" s="595">
        <f t="shared" si="27"/>
        <v>0</v>
      </c>
      <c r="L81" s="595">
        <f t="shared" si="27"/>
        <v>1855.17</v>
      </c>
      <c r="N81" s="422"/>
      <c r="R81" s="16"/>
      <c r="S81" s="16"/>
      <c r="T81" s="16"/>
      <c r="U81" s="16"/>
      <c r="V81" s="16"/>
      <c r="W81" s="16"/>
      <c r="X81" s="64"/>
      <c r="Y81" s="16"/>
      <c r="Z81" s="64"/>
      <c r="AA81" s="65"/>
    </row>
    <row r="82" spans="1:28" s="16" customFormat="1" outlineLevel="1" x14ac:dyDescent="0.25">
      <c r="A82" s="62"/>
      <c r="B82" s="18"/>
      <c r="C82" s="507"/>
      <c r="D82" s="595"/>
      <c r="E82" s="595"/>
      <c r="F82" s="595"/>
      <c r="G82" s="595"/>
      <c r="H82" s="595"/>
      <c r="I82" s="595"/>
      <c r="J82" s="595"/>
      <c r="K82" s="595"/>
      <c r="L82" s="595"/>
      <c r="N82" s="422"/>
      <c r="X82" s="64"/>
      <c r="Z82" s="64"/>
      <c r="AA82" s="65"/>
      <c r="AB82" s="65"/>
    </row>
    <row r="83" spans="1:28" outlineLevel="1" x14ac:dyDescent="0.25">
      <c r="B83" s="66"/>
      <c r="C83" s="593" t="s">
        <v>3</v>
      </c>
      <c r="D83" s="511" t="s">
        <v>8</v>
      </c>
      <c r="E83" s="513" t="s">
        <v>10</v>
      </c>
      <c r="F83" s="511" t="s">
        <v>12</v>
      </c>
      <c r="G83" s="511" t="s">
        <v>14</v>
      </c>
      <c r="H83" s="508" t="s">
        <v>15</v>
      </c>
      <c r="I83" s="508" t="s">
        <v>17</v>
      </c>
      <c r="J83" s="508" t="s">
        <v>19</v>
      </c>
      <c r="K83" s="511" t="s">
        <v>7</v>
      </c>
      <c r="L83" s="508" t="s">
        <v>183</v>
      </c>
      <c r="N83" s="422"/>
      <c r="R83" s="16"/>
      <c r="S83" s="16"/>
      <c r="T83" s="16"/>
      <c r="U83" s="16"/>
      <c r="V83" s="16"/>
      <c r="W83" s="16"/>
      <c r="X83" s="64"/>
      <c r="Y83" s="16"/>
      <c r="Z83" s="64"/>
      <c r="AA83" s="65"/>
    </row>
    <row r="84" spans="1:28" outlineLevel="1" x14ac:dyDescent="0.25">
      <c r="B84" s="66"/>
      <c r="C84" s="593" t="s">
        <v>841</v>
      </c>
      <c r="D84" s="511"/>
      <c r="E84" s="513"/>
      <c r="F84" s="511"/>
      <c r="G84" s="511"/>
      <c r="H84" s="508"/>
      <c r="I84" s="508"/>
      <c r="J84" s="508"/>
      <c r="K84" s="511"/>
      <c r="L84" s="508"/>
      <c r="N84" s="422"/>
      <c r="R84" s="16"/>
      <c r="S84" s="16"/>
      <c r="T84" s="16"/>
      <c r="U84" s="16"/>
      <c r="V84" s="16"/>
      <c r="W84" s="16"/>
      <c r="X84" s="64"/>
      <c r="Y84" s="16"/>
      <c r="Z84" s="64"/>
      <c r="AA84" s="65"/>
    </row>
    <row r="85" spans="1:28" outlineLevel="1" x14ac:dyDescent="0.25">
      <c r="B85" s="66"/>
      <c r="C85" s="601" t="s">
        <v>190</v>
      </c>
      <c r="D85" s="598">
        <f>Inputs!C85</f>
        <v>0.42599999999999999</v>
      </c>
      <c r="E85" s="602">
        <f>Inputs!D85</f>
        <v>0.42599999999999999</v>
      </c>
      <c r="F85" s="598">
        <f>Inputs!E85</f>
        <v>0.42599999999999999</v>
      </c>
      <c r="G85" s="598">
        <f>Inputs!F85</f>
        <v>0.42599999999999999</v>
      </c>
      <c r="H85" s="597">
        <f>Inputs!G85</f>
        <v>0.42599999999999999</v>
      </c>
      <c r="I85" s="597">
        <f>Inputs!H85</f>
        <v>0.42599999999999999</v>
      </c>
      <c r="J85" s="597">
        <f>Inputs!I85</f>
        <v>0.42599999999999999</v>
      </c>
      <c r="K85" s="598">
        <f>Inputs!J85</f>
        <v>0.42599999999999999</v>
      </c>
      <c r="L85" s="597">
        <f>Inputs!K85</f>
        <v>0</v>
      </c>
      <c r="N85" s="422"/>
      <c r="R85" s="16"/>
      <c r="S85" s="16"/>
      <c r="T85" s="16"/>
      <c r="U85" s="16"/>
      <c r="V85" s="16"/>
      <c r="W85" s="16"/>
      <c r="X85" s="64"/>
      <c r="Y85" s="16"/>
      <c r="Z85" s="64"/>
      <c r="AA85" s="65"/>
    </row>
    <row r="86" spans="1:28" outlineLevel="1" x14ac:dyDescent="0.25">
      <c r="B86" s="66"/>
      <c r="C86" s="601" t="s">
        <v>2</v>
      </c>
      <c r="D86" s="598"/>
      <c r="E86" s="598"/>
      <c r="F86" s="598"/>
      <c r="G86" s="598"/>
      <c r="H86" s="598"/>
      <c r="I86" s="598"/>
      <c r="J86" s="598"/>
      <c r="K86" s="598"/>
      <c r="L86" s="598"/>
      <c r="R86" s="16"/>
      <c r="S86" s="16"/>
      <c r="T86" s="16"/>
      <c r="U86" s="16"/>
      <c r="V86" s="16"/>
      <c r="W86" s="16"/>
      <c r="X86" s="64"/>
      <c r="Y86" s="16"/>
      <c r="Z86" s="64"/>
      <c r="AA86" s="65"/>
    </row>
    <row r="87" spans="1:28" outlineLevel="1" x14ac:dyDescent="0.25">
      <c r="B87" s="66"/>
      <c r="C87" s="593"/>
      <c r="D87" s="540"/>
      <c r="E87" s="593"/>
      <c r="F87" s="540"/>
      <c r="G87" s="540"/>
      <c r="H87" s="539"/>
      <c r="I87" s="539"/>
      <c r="J87" s="539"/>
      <c r="K87" s="540"/>
      <c r="L87" s="539"/>
      <c r="R87" s="16"/>
      <c r="S87" s="16"/>
      <c r="T87" s="16"/>
      <c r="U87" s="16"/>
      <c r="V87" s="16"/>
      <c r="W87" s="16"/>
      <c r="X87" s="64"/>
      <c r="Y87" s="16"/>
      <c r="Z87" s="64"/>
      <c r="AA87" s="65"/>
    </row>
    <row r="88" spans="1:28" s="14" customFormat="1" outlineLevel="1" x14ac:dyDescent="0.25">
      <c r="C88" s="518"/>
      <c r="D88" s="552"/>
      <c r="E88" s="552"/>
      <c r="F88" s="552"/>
      <c r="G88" s="552"/>
      <c r="H88" s="603"/>
      <c r="I88" s="552"/>
      <c r="J88" s="552"/>
      <c r="K88" s="552"/>
      <c r="L88" s="552"/>
      <c r="Q88" s="17"/>
      <c r="R88" s="17"/>
      <c r="S88" s="17"/>
      <c r="T88" s="17"/>
      <c r="U88" s="17"/>
      <c r="V88" s="72"/>
      <c r="W88" s="17"/>
      <c r="X88" s="17"/>
      <c r="AA88" s="73"/>
      <c r="AB88" s="73"/>
    </row>
    <row r="89" spans="1:28" s="14" customFormat="1" outlineLevel="1" x14ac:dyDescent="0.25">
      <c r="C89" s="594" t="s">
        <v>191</v>
      </c>
      <c r="D89" s="601">
        <f>Inputs!C86</f>
        <v>1</v>
      </c>
      <c r="E89" s="601">
        <f>Inputs!D86</f>
        <v>1</v>
      </c>
      <c r="F89" s="601">
        <f>Inputs!E86</f>
        <v>1</v>
      </c>
      <c r="G89" s="601">
        <f>Inputs!F86</f>
        <v>1</v>
      </c>
      <c r="H89" s="601">
        <f>Inputs!G86</f>
        <v>1</v>
      </c>
      <c r="I89" s="601">
        <f>Inputs!H86</f>
        <v>1</v>
      </c>
      <c r="J89" s="601">
        <f>Inputs!I86</f>
        <v>1</v>
      </c>
      <c r="K89" s="601">
        <f>Inputs!J86</f>
        <v>1</v>
      </c>
      <c r="L89" s="601">
        <f>Inputs!K86</f>
        <v>1</v>
      </c>
      <c r="N89" s="74"/>
      <c r="T89" s="17"/>
      <c r="AA89" s="73"/>
      <c r="AB89" s="73"/>
    </row>
    <row r="90" spans="1:28" s="14" customFormat="1" outlineLevel="1" x14ac:dyDescent="0.25">
      <c r="C90" s="594" t="s">
        <v>192</v>
      </c>
      <c r="D90" s="604">
        <v>1</v>
      </c>
      <c r="E90" s="604">
        <v>1</v>
      </c>
      <c r="F90" s="604">
        <v>1</v>
      </c>
      <c r="G90" s="604">
        <v>1</v>
      </c>
      <c r="H90" s="604">
        <v>1</v>
      </c>
      <c r="I90" s="604">
        <v>1</v>
      </c>
      <c r="J90" s="604">
        <v>1</v>
      </c>
      <c r="K90" s="604">
        <v>1</v>
      </c>
      <c r="L90" s="604">
        <v>1</v>
      </c>
      <c r="N90" s="74"/>
      <c r="T90" s="17"/>
      <c r="AA90" s="73"/>
      <c r="AB90" s="73"/>
    </row>
    <row r="91" spans="1:28" s="14" customFormat="1" outlineLevel="1" x14ac:dyDescent="0.25">
      <c r="C91" s="594" t="s">
        <v>193</v>
      </c>
      <c r="D91" s="601"/>
      <c r="E91" s="601"/>
      <c r="F91" s="601"/>
      <c r="G91" s="601"/>
      <c r="H91" s="601"/>
      <c r="I91" s="601"/>
      <c r="J91" s="601"/>
      <c r="K91" s="601"/>
      <c r="L91" s="601"/>
      <c r="N91" s="74"/>
      <c r="T91" s="17"/>
      <c r="AA91" s="73"/>
      <c r="AB91" s="73"/>
    </row>
    <row r="92" spans="1:28" s="14" customFormat="1" outlineLevel="1" x14ac:dyDescent="0.25">
      <c r="C92" s="594" t="s">
        <v>192</v>
      </c>
      <c r="D92" s="604">
        <v>1</v>
      </c>
      <c r="E92" s="604">
        <v>1</v>
      </c>
      <c r="F92" s="604">
        <v>1</v>
      </c>
      <c r="G92" s="604">
        <v>1</v>
      </c>
      <c r="H92" s="604">
        <v>1</v>
      </c>
      <c r="I92" s="604">
        <v>1</v>
      </c>
      <c r="J92" s="604">
        <v>1</v>
      </c>
      <c r="K92" s="604">
        <v>1</v>
      </c>
      <c r="L92" s="604">
        <v>1</v>
      </c>
      <c r="N92" s="74"/>
      <c r="T92" s="17"/>
      <c r="AA92" s="73"/>
      <c r="AB92" s="73"/>
    </row>
    <row r="93" spans="1:28" s="75" customFormat="1" outlineLevel="1" x14ac:dyDescent="0.25">
      <c r="C93" s="605"/>
      <c r="D93" s="606">
        <f>Inputs!$C$87</f>
        <v>1</v>
      </c>
      <c r="E93" s="606">
        <f>Inputs!$D$87</f>
        <v>1</v>
      </c>
      <c r="F93" s="606">
        <f>Inputs!$E$87</f>
        <v>1</v>
      </c>
      <c r="G93" s="606">
        <f>Inputs!$F$87</f>
        <v>1</v>
      </c>
      <c r="H93" s="606">
        <f>Inputs!$G$87</f>
        <v>1</v>
      </c>
      <c r="I93" s="606">
        <f>Inputs!$H$87</f>
        <v>1</v>
      </c>
      <c r="J93" s="606">
        <f>Inputs!$I$87</f>
        <v>1</v>
      </c>
      <c r="K93" s="606">
        <f>Inputs!$J$87</f>
        <v>1</v>
      </c>
      <c r="L93" s="606">
        <f>Inputs!$K$87</f>
        <v>1</v>
      </c>
      <c r="N93" s="76"/>
      <c r="T93" s="77"/>
      <c r="AA93" s="78"/>
      <c r="AB93" s="78"/>
    </row>
    <row r="94" spans="1:28" s="14" customFormat="1" ht="15" outlineLevel="1" x14ac:dyDescent="0.25">
      <c r="B94" s="10"/>
      <c r="C94" s="607" t="s">
        <v>194</v>
      </c>
      <c r="D94" s="606">
        <f>Inputs!$C$87</f>
        <v>1</v>
      </c>
      <c r="E94" s="606">
        <f>Inputs!$D$87</f>
        <v>1</v>
      </c>
      <c r="F94" s="606">
        <f>Inputs!$E$87</f>
        <v>1</v>
      </c>
      <c r="G94" s="606">
        <f>Inputs!$F$87</f>
        <v>1</v>
      </c>
      <c r="H94" s="606">
        <f>Inputs!$G$87</f>
        <v>1</v>
      </c>
      <c r="I94" s="606">
        <f>Inputs!$I$87</f>
        <v>1</v>
      </c>
      <c r="J94" s="606">
        <f>Inputs!$J$87</f>
        <v>1</v>
      </c>
      <c r="K94" s="606">
        <f>Inputs!$J$87</f>
        <v>1</v>
      </c>
      <c r="L94" s="606">
        <f>Inputs!$J$87</f>
        <v>1</v>
      </c>
      <c r="N94" s="66"/>
      <c r="AA94" s="73"/>
      <c r="AB94" s="73"/>
    </row>
    <row r="95" spans="1:28" s="14" customFormat="1" outlineLevel="1" x14ac:dyDescent="0.25">
      <c r="B95" s="10"/>
      <c r="C95" s="594" t="s">
        <v>195</v>
      </c>
      <c r="D95" s="604">
        <v>1</v>
      </c>
      <c r="E95" s="604">
        <v>1</v>
      </c>
      <c r="F95" s="604">
        <v>1</v>
      </c>
      <c r="G95" s="604">
        <v>1</v>
      </c>
      <c r="H95" s="604">
        <v>1</v>
      </c>
      <c r="I95" s="604">
        <v>1</v>
      </c>
      <c r="J95" s="604">
        <v>1</v>
      </c>
      <c r="K95" s="604">
        <v>1</v>
      </c>
      <c r="L95" s="604">
        <v>1</v>
      </c>
      <c r="N95" s="18"/>
      <c r="O95" s="18"/>
      <c r="P95" s="17"/>
      <c r="AA95" s="73"/>
      <c r="AB95" s="73"/>
    </row>
    <row r="96" spans="1:28" s="77" customFormat="1" outlineLevel="1" x14ac:dyDescent="0.25">
      <c r="B96" s="79"/>
      <c r="C96" s="605"/>
      <c r="D96" s="606"/>
      <c r="E96" s="606"/>
      <c r="F96" s="606"/>
      <c r="G96" s="606"/>
      <c r="H96" s="606"/>
      <c r="I96" s="606"/>
      <c r="J96" s="606"/>
      <c r="K96" s="606"/>
      <c r="L96" s="606"/>
      <c r="N96" s="79"/>
      <c r="O96" s="79"/>
      <c r="AA96" s="80"/>
      <c r="AB96" s="80"/>
    </row>
    <row r="97" spans="1:29" s="14" customFormat="1" ht="15" outlineLevel="1" x14ac:dyDescent="0.25">
      <c r="B97" s="66"/>
      <c r="C97" s="607" t="s">
        <v>196</v>
      </c>
      <c r="D97" s="601"/>
      <c r="E97" s="601"/>
      <c r="F97" s="601"/>
      <c r="G97" s="601"/>
      <c r="H97" s="601"/>
      <c r="I97" s="601"/>
      <c r="J97" s="601"/>
      <c r="K97" s="601"/>
      <c r="L97" s="601"/>
      <c r="N97" s="68"/>
      <c r="O97" s="18"/>
      <c r="P97" s="17"/>
      <c r="AA97" s="73"/>
      <c r="AB97" s="73"/>
    </row>
    <row r="98" spans="1:29" s="14" customFormat="1" ht="15" outlineLevel="1" x14ac:dyDescent="0.25">
      <c r="B98" s="66"/>
      <c r="C98" s="607" t="s">
        <v>197</v>
      </c>
      <c r="D98" s="604">
        <v>1</v>
      </c>
      <c r="E98" s="604">
        <v>1</v>
      </c>
      <c r="F98" s="604">
        <v>1</v>
      </c>
      <c r="G98" s="604">
        <v>1</v>
      </c>
      <c r="H98" s="604">
        <v>1</v>
      </c>
      <c r="I98" s="604">
        <v>1</v>
      </c>
      <c r="J98" s="604">
        <v>1</v>
      </c>
      <c r="K98" s="604">
        <v>1</v>
      </c>
      <c r="L98" s="604">
        <v>1</v>
      </c>
      <c r="N98" s="68"/>
      <c r="O98" s="18"/>
      <c r="P98" s="17"/>
      <c r="AA98" s="73"/>
      <c r="AB98" s="73"/>
    </row>
    <row r="99" spans="1:29" s="17" customFormat="1" outlineLevel="1" x14ac:dyDescent="0.25">
      <c r="B99" s="18"/>
      <c r="C99" s="540"/>
      <c r="D99" s="540"/>
      <c r="E99" s="540"/>
      <c r="F99" s="540"/>
      <c r="G99" s="540"/>
      <c r="H99" s="540"/>
      <c r="I99" s="540"/>
      <c r="J99" s="540"/>
      <c r="K99" s="540"/>
      <c r="L99" s="540"/>
      <c r="N99" s="68"/>
      <c r="O99" s="18"/>
      <c r="AA99" s="81"/>
      <c r="AB99" s="81"/>
    </row>
    <row r="100" spans="1:29" s="14" customFormat="1" outlineLevel="1" x14ac:dyDescent="0.25">
      <c r="B100" s="66"/>
      <c r="C100" s="601" t="s">
        <v>716</v>
      </c>
      <c r="D100" s="608">
        <f>Inputs!C81</f>
        <v>0.9</v>
      </c>
      <c r="E100" s="608">
        <f>Inputs!D81</f>
        <v>0.9</v>
      </c>
      <c r="F100" s="608">
        <f>Inputs!E81</f>
        <v>0.9</v>
      </c>
      <c r="G100" s="608">
        <f>Inputs!F81</f>
        <v>0.9</v>
      </c>
      <c r="H100" s="608">
        <f>Inputs!G81</f>
        <v>0.9</v>
      </c>
      <c r="I100" s="608">
        <f>Inputs!H81</f>
        <v>0.9</v>
      </c>
      <c r="J100" s="608">
        <f>Inputs!I81</f>
        <v>0.9</v>
      </c>
      <c r="K100" s="608">
        <f>Inputs!J81</f>
        <v>0.9</v>
      </c>
      <c r="L100" s="608">
        <f>Inputs!K81</f>
        <v>0.9</v>
      </c>
      <c r="N100" s="68"/>
      <c r="O100" s="18"/>
      <c r="P100" s="17"/>
      <c r="AA100" s="73"/>
      <c r="AB100" s="73"/>
    </row>
    <row r="101" spans="1:29" s="17" customFormat="1" outlineLevel="1" x14ac:dyDescent="0.25">
      <c r="B101" s="66"/>
      <c r="C101" s="601" t="s">
        <v>717</v>
      </c>
      <c r="D101" s="608">
        <v>0.84</v>
      </c>
      <c r="E101" s="608">
        <v>0.84</v>
      </c>
      <c r="F101" s="608">
        <v>0.84</v>
      </c>
      <c r="G101" s="608">
        <v>0.84</v>
      </c>
      <c r="H101" s="608">
        <v>0.84</v>
      </c>
      <c r="I101" s="608">
        <v>0.84</v>
      </c>
      <c r="J101" s="608">
        <v>0.84</v>
      </c>
      <c r="K101" s="608">
        <v>0.84</v>
      </c>
      <c r="L101" s="608">
        <v>0.84</v>
      </c>
      <c r="N101" s="68"/>
      <c r="O101" s="18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73"/>
      <c r="AB101" s="73"/>
    </row>
    <row r="102" spans="1:29" s="17" customFormat="1" outlineLevel="1" x14ac:dyDescent="0.25">
      <c r="A102" s="14"/>
      <c r="B102" s="66"/>
      <c r="C102" s="601" t="s">
        <v>718</v>
      </c>
      <c r="D102" s="608">
        <v>0.84</v>
      </c>
      <c r="E102" s="608">
        <v>0.84</v>
      </c>
      <c r="F102" s="608">
        <v>0.84</v>
      </c>
      <c r="G102" s="608">
        <v>0.84</v>
      </c>
      <c r="H102" s="608">
        <v>0.84</v>
      </c>
      <c r="I102" s="608">
        <v>0.84</v>
      </c>
      <c r="J102" s="608">
        <v>0.84</v>
      </c>
      <c r="K102" s="608">
        <v>0.84</v>
      </c>
      <c r="L102" s="608">
        <v>0.84</v>
      </c>
      <c r="N102" s="68"/>
      <c r="O102" s="18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73"/>
      <c r="AB102" s="73"/>
      <c r="AC102" s="14"/>
    </row>
    <row r="103" spans="1:29" s="14" customFormat="1" outlineLevel="1" x14ac:dyDescent="0.25">
      <c r="C103" s="552"/>
      <c r="D103" s="552"/>
      <c r="E103" s="552"/>
      <c r="F103" s="552"/>
      <c r="G103" s="552"/>
      <c r="H103" s="552"/>
      <c r="I103" s="552"/>
      <c r="J103" s="552"/>
      <c r="K103" s="552"/>
      <c r="L103" s="552"/>
      <c r="M103" s="609"/>
      <c r="N103" s="83"/>
      <c r="O103" s="17"/>
      <c r="AA103" s="73"/>
      <c r="AB103" s="73"/>
    </row>
    <row r="104" spans="1:29" s="14" customFormat="1" outlineLevel="1" x14ac:dyDescent="0.25">
      <c r="C104" s="552"/>
      <c r="D104" s="552"/>
      <c r="E104" s="603"/>
      <c r="F104" s="552"/>
      <c r="G104" s="552"/>
      <c r="H104" s="552"/>
      <c r="I104" s="552"/>
      <c r="J104" s="552"/>
      <c r="K104" s="552"/>
      <c r="L104" s="552"/>
      <c r="M104" s="552"/>
      <c r="Q104" s="17"/>
      <c r="R104" s="17"/>
      <c r="S104" s="17"/>
      <c r="T104" s="17"/>
      <c r="U104" s="64"/>
      <c r="V104" s="17"/>
      <c r="W104" s="64"/>
      <c r="X104" s="17"/>
      <c r="AA104" s="73"/>
      <c r="AB104" s="73"/>
    </row>
    <row r="105" spans="1:29" s="14" customFormat="1" outlineLevel="1" x14ac:dyDescent="0.25">
      <c r="C105" s="552"/>
      <c r="D105" s="552"/>
      <c r="E105" s="603"/>
      <c r="F105" s="538" t="s">
        <v>198</v>
      </c>
      <c r="G105" s="540"/>
      <c r="H105" s="536"/>
      <c r="I105" s="552"/>
      <c r="J105" s="552"/>
      <c r="K105" s="552"/>
      <c r="L105" s="552"/>
      <c r="M105" s="552"/>
      <c r="Q105" s="17"/>
      <c r="R105" s="17"/>
      <c r="S105" s="17"/>
      <c r="T105" s="17"/>
      <c r="U105" s="17"/>
      <c r="V105" s="72"/>
      <c r="W105" s="17"/>
      <c r="X105" s="17"/>
      <c r="AA105" s="73"/>
      <c r="AB105" s="73"/>
    </row>
    <row r="106" spans="1:29" s="14" customFormat="1" outlineLevel="1" x14ac:dyDescent="0.25">
      <c r="C106" s="552"/>
      <c r="D106" s="552"/>
      <c r="E106" s="552"/>
      <c r="F106" s="540" t="s">
        <v>200</v>
      </c>
      <c r="G106" s="540"/>
      <c r="H106" s="540"/>
      <c r="I106" s="552"/>
      <c r="J106" s="552"/>
      <c r="K106" s="552"/>
      <c r="L106" s="552"/>
      <c r="M106" s="552"/>
      <c r="Q106" s="17"/>
      <c r="R106" s="17"/>
      <c r="S106" s="17"/>
      <c r="T106" s="17"/>
      <c r="U106" s="17"/>
      <c r="V106" s="72"/>
      <c r="W106" s="17"/>
      <c r="X106" s="17"/>
      <c r="AA106" s="73"/>
      <c r="AB106" s="73"/>
    </row>
    <row r="107" spans="1:29" s="14" customFormat="1" outlineLevel="1" x14ac:dyDescent="0.25">
      <c r="C107" s="552"/>
      <c r="D107" s="552"/>
      <c r="E107" s="552"/>
      <c r="F107" s="540" t="s">
        <v>203</v>
      </c>
      <c r="G107" s="540"/>
      <c r="H107" s="536"/>
      <c r="I107" s="552"/>
      <c r="J107" s="552"/>
      <c r="K107" s="552"/>
      <c r="L107" s="552"/>
      <c r="M107" s="552"/>
      <c r="Q107" s="17"/>
      <c r="R107" s="17"/>
      <c r="S107" s="17"/>
      <c r="T107" s="17"/>
      <c r="U107" s="17"/>
      <c r="V107" s="72"/>
      <c r="W107" s="17"/>
      <c r="X107" s="17"/>
      <c r="AA107" s="73"/>
      <c r="AB107" s="73"/>
    </row>
    <row r="108" spans="1:29" s="14" customFormat="1" outlineLevel="1" x14ac:dyDescent="0.25">
      <c r="C108" s="507"/>
      <c r="D108" s="610"/>
      <c r="E108" s="552"/>
      <c r="F108" s="611" t="s">
        <v>207</v>
      </c>
      <c r="G108" s="612" t="s">
        <v>208</v>
      </c>
      <c r="H108" s="613"/>
      <c r="I108" s="552"/>
      <c r="J108" s="552"/>
      <c r="K108" s="552"/>
      <c r="L108" s="552"/>
      <c r="M108" s="552"/>
      <c r="Q108" s="17"/>
      <c r="R108" s="17"/>
      <c r="S108" s="17"/>
      <c r="T108" s="17"/>
      <c r="U108" s="17"/>
      <c r="V108" s="72"/>
      <c r="W108" s="17"/>
      <c r="X108" s="17"/>
      <c r="AA108" s="73"/>
      <c r="AB108" s="73"/>
    </row>
    <row r="109" spans="1:29" s="14" customFormat="1" outlineLevel="1" x14ac:dyDescent="0.25">
      <c r="C109" s="614" t="s">
        <v>201</v>
      </c>
      <c r="D109" s="541" t="s">
        <v>849</v>
      </c>
      <c r="E109" s="552"/>
      <c r="F109" s="615" t="s">
        <v>211</v>
      </c>
      <c r="G109" s="616">
        <v>0.5</v>
      </c>
      <c r="H109" s="617"/>
      <c r="I109" s="552"/>
      <c r="J109" s="552"/>
      <c r="K109" s="552"/>
      <c r="L109" s="552"/>
      <c r="M109" s="552"/>
      <c r="Q109" s="17"/>
      <c r="R109" s="17"/>
      <c r="S109" s="17"/>
      <c r="T109" s="17"/>
      <c r="U109" s="17"/>
      <c r="V109" s="72"/>
      <c r="W109" s="17"/>
      <c r="X109" s="17"/>
      <c r="AA109" s="73"/>
      <c r="AB109" s="73"/>
    </row>
    <row r="110" spans="1:29" s="14" customFormat="1" outlineLevel="1" x14ac:dyDescent="0.25">
      <c r="C110" s="618" t="s">
        <v>204</v>
      </c>
      <c r="D110" s="619">
        <f>SUM(D81:L81)</f>
        <v>4780.9246000000003</v>
      </c>
      <c r="E110" s="552"/>
      <c r="F110" s="615" t="s">
        <v>213</v>
      </c>
      <c r="G110" s="616">
        <v>0.35</v>
      </c>
      <c r="H110" s="617"/>
      <c r="I110" s="552"/>
      <c r="J110" s="552"/>
      <c r="K110" s="552"/>
      <c r="L110" s="552"/>
      <c r="M110" s="552"/>
      <c r="Q110" s="17"/>
      <c r="R110" s="17"/>
      <c r="S110" s="17"/>
      <c r="T110" s="17"/>
      <c r="U110" s="17"/>
      <c r="V110" s="72"/>
      <c r="W110" s="17"/>
      <c r="X110" s="17"/>
      <c r="AA110" s="73"/>
      <c r="AB110" s="73"/>
    </row>
    <row r="111" spans="1:29" s="14" customFormat="1" outlineLevel="1" x14ac:dyDescent="0.25">
      <c r="C111" s="507"/>
      <c r="D111" s="610"/>
      <c r="E111" s="552"/>
      <c r="F111" s="620" t="s">
        <v>215</v>
      </c>
      <c r="G111" s="621">
        <v>1</v>
      </c>
      <c r="H111" s="622"/>
      <c r="I111" s="552"/>
      <c r="J111" s="552"/>
      <c r="K111" s="552"/>
      <c r="L111" s="552"/>
      <c r="M111" s="552"/>
      <c r="Q111" s="17"/>
      <c r="R111" s="17"/>
      <c r="S111" s="17"/>
      <c r="T111" s="17"/>
      <c r="U111" s="17"/>
      <c r="V111" s="72"/>
      <c r="W111" s="17"/>
      <c r="X111" s="17"/>
      <c r="AA111" s="73"/>
      <c r="AB111" s="73"/>
    </row>
    <row r="112" spans="1:29" s="14" customFormat="1" outlineLevel="1" x14ac:dyDescent="0.25">
      <c r="C112" s="507"/>
      <c r="D112" s="623"/>
      <c r="E112" s="552"/>
      <c r="F112" s="552"/>
      <c r="G112" s="552"/>
      <c r="H112" s="552"/>
      <c r="I112" s="552"/>
      <c r="J112" s="552"/>
      <c r="K112" s="552"/>
      <c r="L112" s="552"/>
      <c r="M112" s="552"/>
      <c r="Q112" s="17"/>
      <c r="R112" s="17"/>
      <c r="S112" s="17"/>
      <c r="T112" s="17"/>
      <c r="U112" s="17"/>
      <c r="V112" s="72"/>
      <c r="W112" s="17"/>
      <c r="X112" s="17"/>
      <c r="AA112" s="73"/>
      <c r="AB112" s="73"/>
    </row>
    <row r="113" spans="1:37" s="14" customFormat="1" outlineLevel="1" x14ac:dyDescent="0.25">
      <c r="C113" s="507"/>
      <c r="D113" s="610"/>
      <c r="E113" s="552"/>
      <c r="F113" s="552"/>
      <c r="G113" s="552"/>
      <c r="H113" s="552"/>
      <c r="I113" s="603"/>
      <c r="J113" s="552"/>
      <c r="K113" s="552"/>
      <c r="L113" s="552"/>
      <c r="M113" s="552"/>
      <c r="Q113" s="17"/>
      <c r="R113" s="17"/>
      <c r="S113" s="17"/>
      <c r="T113" s="17"/>
      <c r="U113" s="17"/>
      <c r="V113" s="72"/>
      <c r="W113" s="17"/>
      <c r="X113" s="17"/>
      <c r="AA113" s="73"/>
      <c r="AB113" s="73"/>
    </row>
    <row r="114" spans="1:37" s="87" customFormat="1" ht="13.5" thickBot="1" x14ac:dyDescent="0.3">
      <c r="C114" s="624"/>
      <c r="D114" s="625"/>
      <c r="E114" s="626"/>
      <c r="F114" s="627"/>
      <c r="G114" s="627"/>
      <c r="H114" s="627"/>
      <c r="I114" s="626"/>
      <c r="J114" s="625"/>
      <c r="K114" s="625"/>
      <c r="L114" s="625"/>
      <c r="M114" s="625"/>
      <c r="AA114" s="88"/>
      <c r="AB114" s="88"/>
    </row>
    <row r="115" spans="1:37" s="436" customFormat="1" x14ac:dyDescent="0.2">
      <c r="C115" s="510"/>
      <c r="D115" s="628" t="s">
        <v>8</v>
      </c>
      <c r="E115" s="628" t="s">
        <v>10</v>
      </c>
      <c r="F115" s="628" t="s">
        <v>12</v>
      </c>
      <c r="G115" s="628" t="s">
        <v>14</v>
      </c>
      <c r="H115" s="628" t="s">
        <v>15</v>
      </c>
      <c r="I115" s="628" t="s">
        <v>17</v>
      </c>
      <c r="J115" s="628" t="s">
        <v>19</v>
      </c>
      <c r="K115" s="628" t="s">
        <v>7</v>
      </c>
      <c r="L115" s="628" t="s">
        <v>523</v>
      </c>
      <c r="M115" s="629"/>
      <c r="N115" s="510"/>
      <c r="O115" s="645"/>
      <c r="P115" s="645"/>
      <c r="Q115" s="645"/>
      <c r="R115" s="645"/>
      <c r="S115" s="645"/>
      <c r="T115" s="645"/>
      <c r="U115" s="645"/>
      <c r="V115" s="646"/>
      <c r="W115" s="645"/>
      <c r="X115" s="645"/>
      <c r="Y115" s="645"/>
      <c r="Z115" s="645"/>
      <c r="AA115" s="510"/>
      <c r="AB115" s="510"/>
      <c r="AC115" s="510"/>
      <c r="AD115" s="510"/>
      <c r="AE115" s="510"/>
      <c r="AF115" s="510"/>
      <c r="AG115" s="510"/>
      <c r="AH115" s="510"/>
      <c r="AI115" s="510"/>
      <c r="AJ115" s="510"/>
      <c r="AK115" s="510"/>
    </row>
    <row r="116" spans="1:37" x14ac:dyDescent="0.2">
      <c r="A116" s="213"/>
      <c r="B116" s="213"/>
      <c r="C116" s="630" t="s">
        <v>531</v>
      </c>
      <c r="D116" s="631">
        <f>Calcs!D68</f>
        <v>324.8</v>
      </c>
      <c r="E116" s="631">
        <f>Calcs!E68</f>
        <v>0</v>
      </c>
      <c r="F116" s="631">
        <f>Calcs!F68</f>
        <v>114.8</v>
      </c>
      <c r="G116" s="631">
        <f>Calcs!G68</f>
        <v>0</v>
      </c>
      <c r="H116" s="631">
        <f>Calcs!H68</f>
        <v>324.8</v>
      </c>
      <c r="I116" s="631">
        <f>Calcs!I68</f>
        <v>0</v>
      </c>
      <c r="J116" s="631">
        <f>Calcs!J68</f>
        <v>115</v>
      </c>
      <c r="K116" s="631">
        <f>Calcs!K68</f>
        <v>0</v>
      </c>
      <c r="L116" s="631">
        <f>Calcs!L68</f>
        <v>0</v>
      </c>
      <c r="M116" s="632"/>
      <c r="N116" s="539"/>
      <c r="O116" s="647" t="s">
        <v>532</v>
      </c>
      <c r="P116" s="648">
        <f>Calcs!K69</f>
        <v>0</v>
      </c>
      <c r="Q116" s="648">
        <f>Calcs!D69</f>
        <v>0</v>
      </c>
      <c r="R116" s="648">
        <f>Calcs!E69</f>
        <v>0</v>
      </c>
      <c r="S116" s="648">
        <f>Calcs!F69</f>
        <v>0</v>
      </c>
      <c r="T116" s="648">
        <f>Calcs!G69</f>
        <v>0</v>
      </c>
      <c r="U116" s="648">
        <f>Calcs!H69</f>
        <v>0</v>
      </c>
      <c r="V116" s="648">
        <f>Calcs!I69</f>
        <v>0</v>
      </c>
      <c r="W116" s="648">
        <f>Calcs!J69</f>
        <v>0</v>
      </c>
      <c r="X116" s="648">
        <f>Calcs!L69</f>
        <v>0</v>
      </c>
      <c r="Y116" s="649">
        <f>SUM(P116:X116)</f>
        <v>0</v>
      </c>
      <c r="Z116" s="650"/>
      <c r="AA116" s="641" t="s">
        <v>179</v>
      </c>
      <c r="AB116" s="631">
        <f>Calcs!D67</f>
        <v>603.20000000000005</v>
      </c>
      <c r="AC116" s="631">
        <f>Calcs!E67</f>
        <v>0</v>
      </c>
      <c r="AD116" s="631">
        <f>Calcs!F67</f>
        <v>213.2</v>
      </c>
      <c r="AE116" s="631">
        <f>Calcs!G67</f>
        <v>0</v>
      </c>
      <c r="AF116" s="631">
        <f>Calcs!H67</f>
        <v>603.20000000000005</v>
      </c>
      <c r="AG116" s="631">
        <f>Calcs!I67</f>
        <v>0</v>
      </c>
      <c r="AH116" s="631">
        <f>Calcs!J67</f>
        <v>213.2</v>
      </c>
      <c r="AI116" s="631">
        <f>Calcs!K67</f>
        <v>0</v>
      </c>
      <c r="AJ116" s="631">
        <f>Calcs!L67</f>
        <v>6871</v>
      </c>
      <c r="AK116" s="632"/>
    </row>
    <row r="117" spans="1:37" x14ac:dyDescent="0.2">
      <c r="A117" s="213"/>
      <c r="B117" s="213"/>
      <c r="C117" s="633" t="s">
        <v>182</v>
      </c>
      <c r="D117" s="634">
        <f>Calcs!D74</f>
        <v>2.653</v>
      </c>
      <c r="E117" s="634">
        <f>Calcs!E74</f>
        <v>2.653</v>
      </c>
      <c r="F117" s="634">
        <f>Calcs!F74</f>
        <v>2.653</v>
      </c>
      <c r="G117" s="634">
        <f>Calcs!G74</f>
        <v>2.653</v>
      </c>
      <c r="H117" s="634">
        <f>Calcs!H74</f>
        <v>2.653</v>
      </c>
      <c r="I117" s="634">
        <f>Calcs!I74</f>
        <v>2.653</v>
      </c>
      <c r="J117" s="634">
        <f>Calcs!J74</f>
        <v>2.653</v>
      </c>
      <c r="K117" s="634">
        <f>Calcs!K74</f>
        <v>2.653</v>
      </c>
      <c r="L117" s="634">
        <f>Calcs!L74</f>
        <v>0</v>
      </c>
      <c r="M117" s="629"/>
      <c r="N117" s="539"/>
      <c r="O117" s="651" t="s">
        <v>182</v>
      </c>
      <c r="P117" s="652">
        <f>Calcs!K75</f>
        <v>0</v>
      </c>
      <c r="Q117" s="652">
        <f>Calcs!D75</f>
        <v>0</v>
      </c>
      <c r="R117" s="652">
        <f>Calcs!E75</f>
        <v>0</v>
      </c>
      <c r="S117" s="652">
        <f>Calcs!F75</f>
        <v>0</v>
      </c>
      <c r="T117" s="652">
        <f>Calcs!G75</f>
        <v>0</v>
      </c>
      <c r="U117" s="652">
        <f>Calcs!H75</f>
        <v>0</v>
      </c>
      <c r="V117" s="652">
        <f>Calcs!I75</f>
        <v>0</v>
      </c>
      <c r="W117" s="652">
        <f>Calcs!J75</f>
        <v>0</v>
      </c>
      <c r="X117" s="652">
        <f>Calcs!L75</f>
        <v>0</v>
      </c>
      <c r="Y117" s="653"/>
      <c r="Z117" s="653"/>
      <c r="AA117" s="629" t="s">
        <v>182</v>
      </c>
      <c r="AB117" s="664">
        <f>Calcs!D73</f>
        <v>0.36299999999999999</v>
      </c>
      <c r="AC117" s="664">
        <f>Calcs!E73</f>
        <v>0.36299999999999999</v>
      </c>
      <c r="AD117" s="664">
        <f>Calcs!F73</f>
        <v>0.36299999999999999</v>
      </c>
      <c r="AE117" s="664">
        <f>Calcs!G73</f>
        <v>0.36299999999999999</v>
      </c>
      <c r="AF117" s="664">
        <f>Calcs!H73</f>
        <v>0.36299999999999999</v>
      </c>
      <c r="AG117" s="664">
        <f>Calcs!I73</f>
        <v>0.36299999999999999</v>
      </c>
      <c r="AH117" s="664">
        <f>Calcs!J73</f>
        <v>0.36299999999999999</v>
      </c>
      <c r="AI117" s="664">
        <f>Calcs!K73</f>
        <v>0.36299999999999999</v>
      </c>
      <c r="AJ117" s="664">
        <f>Calcs!L73</f>
        <v>0.27</v>
      </c>
      <c r="AK117" s="629"/>
    </row>
    <row r="118" spans="1:37" x14ac:dyDescent="0.2">
      <c r="A118" s="213"/>
      <c r="B118" s="213"/>
      <c r="C118" s="635" t="s">
        <v>533</v>
      </c>
      <c r="D118" s="629">
        <f>Calcs!D$89</f>
        <v>1</v>
      </c>
      <c r="E118" s="629">
        <f>Calcs!E$89</f>
        <v>1</v>
      </c>
      <c r="F118" s="629">
        <f>Calcs!F$89</f>
        <v>1</v>
      </c>
      <c r="G118" s="629">
        <f>Calcs!G$89</f>
        <v>1</v>
      </c>
      <c r="H118" s="629">
        <f>Calcs!H$89</f>
        <v>1</v>
      </c>
      <c r="I118" s="629">
        <f>Calcs!I$89</f>
        <v>1</v>
      </c>
      <c r="J118" s="629">
        <f>Calcs!J$89</f>
        <v>1</v>
      </c>
      <c r="K118" s="629">
        <f>Calcs!K$89</f>
        <v>1</v>
      </c>
      <c r="L118" s="629">
        <f>Calcs!L$89</f>
        <v>1</v>
      </c>
      <c r="M118" s="629"/>
      <c r="N118" s="539"/>
      <c r="O118" s="654" t="s">
        <v>533</v>
      </c>
      <c r="P118" s="653">
        <f>Calcs!K91</f>
        <v>0</v>
      </c>
      <c r="Q118" s="653">
        <f>Calcs!D91</f>
        <v>0</v>
      </c>
      <c r="R118" s="653">
        <f>Calcs!E91</f>
        <v>0</v>
      </c>
      <c r="S118" s="653">
        <f>Calcs!F91</f>
        <v>0</v>
      </c>
      <c r="T118" s="653">
        <f>Calcs!G91</f>
        <v>0</v>
      </c>
      <c r="U118" s="653">
        <f>Calcs!H91</f>
        <v>0</v>
      </c>
      <c r="V118" s="653">
        <f>Calcs!I91</f>
        <v>0</v>
      </c>
      <c r="W118" s="653">
        <f>Calcs!J91</f>
        <v>0</v>
      </c>
      <c r="X118" s="653">
        <f>Calcs!L91</f>
        <v>0</v>
      </c>
      <c r="Y118" s="653"/>
      <c r="Z118" s="653"/>
      <c r="AA118" s="665"/>
      <c r="AB118" s="629"/>
      <c r="AC118" s="629"/>
      <c r="AD118" s="629"/>
      <c r="AE118" s="629"/>
      <c r="AF118" s="629"/>
      <c r="AG118" s="629"/>
      <c r="AH118" s="629"/>
      <c r="AI118" s="629"/>
      <c r="AJ118" s="629"/>
      <c r="AK118" s="629"/>
    </row>
    <row r="119" spans="1:37" x14ac:dyDescent="0.2">
      <c r="A119" s="213"/>
      <c r="B119" s="213"/>
      <c r="C119" s="635" t="s">
        <v>534</v>
      </c>
      <c r="D119" s="636">
        <f>Calcs!D90</f>
        <v>1</v>
      </c>
      <c r="E119" s="636">
        <f>Calcs!E90</f>
        <v>1</v>
      </c>
      <c r="F119" s="636">
        <f>Calcs!F90</f>
        <v>1</v>
      </c>
      <c r="G119" s="636">
        <f>Calcs!G90</f>
        <v>1</v>
      </c>
      <c r="H119" s="636">
        <f>Calcs!H90</f>
        <v>1</v>
      </c>
      <c r="I119" s="636">
        <f>Calcs!I90</f>
        <v>1</v>
      </c>
      <c r="J119" s="636">
        <f>Calcs!J90</f>
        <v>1</v>
      </c>
      <c r="K119" s="636">
        <f>Calcs!K90</f>
        <v>1</v>
      </c>
      <c r="L119" s="636">
        <f>Calcs!L90</f>
        <v>1</v>
      </c>
      <c r="M119" s="629"/>
      <c r="N119" s="539"/>
      <c r="O119" s="654" t="s">
        <v>534</v>
      </c>
      <c r="P119" s="655">
        <f>Calcs!K92</f>
        <v>1</v>
      </c>
      <c r="Q119" s="655">
        <f>Calcs!D92</f>
        <v>1</v>
      </c>
      <c r="R119" s="655">
        <f>Calcs!E92</f>
        <v>1</v>
      </c>
      <c r="S119" s="655">
        <f>Calcs!F92</f>
        <v>1</v>
      </c>
      <c r="T119" s="655">
        <f>Calcs!G92</f>
        <v>1</v>
      </c>
      <c r="U119" s="655">
        <f>Calcs!H92</f>
        <v>1</v>
      </c>
      <c r="V119" s="655">
        <f>Calcs!I92</f>
        <v>1</v>
      </c>
      <c r="W119" s="655">
        <f>Calcs!J92</f>
        <v>1</v>
      </c>
      <c r="X119" s="655">
        <f>Calcs!L92</f>
        <v>1</v>
      </c>
      <c r="Y119" s="653"/>
      <c r="Z119" s="653"/>
      <c r="AA119" s="665"/>
      <c r="AB119" s="629"/>
      <c r="AC119" s="629"/>
      <c r="AD119" s="629"/>
      <c r="AE119" s="629"/>
      <c r="AF119" s="629"/>
      <c r="AG119" s="629"/>
      <c r="AH119" s="629"/>
      <c r="AI119" s="629"/>
      <c r="AJ119" s="629"/>
      <c r="AK119" s="629"/>
    </row>
    <row r="120" spans="1:37" x14ac:dyDescent="0.2">
      <c r="A120" s="213"/>
      <c r="B120" s="213"/>
      <c r="C120" s="637" t="s">
        <v>535</v>
      </c>
      <c r="D120" s="629">
        <f>Calcs!D94</f>
        <v>1</v>
      </c>
      <c r="E120" s="629">
        <f>Calcs!E94</f>
        <v>1</v>
      </c>
      <c r="F120" s="629">
        <f>Calcs!F94</f>
        <v>1</v>
      </c>
      <c r="G120" s="629">
        <f>Calcs!G94</f>
        <v>1</v>
      </c>
      <c r="H120" s="629">
        <f>Calcs!H94</f>
        <v>1</v>
      </c>
      <c r="I120" s="629">
        <f>Calcs!I94</f>
        <v>1</v>
      </c>
      <c r="J120" s="629">
        <f>Calcs!J94</f>
        <v>1</v>
      </c>
      <c r="K120" s="629">
        <f>Calcs!K94</f>
        <v>1</v>
      </c>
      <c r="L120" s="629">
        <f>Calcs!L94</f>
        <v>1</v>
      </c>
      <c r="M120" s="629"/>
      <c r="N120" s="539"/>
      <c r="O120" s="656" t="s">
        <v>535</v>
      </c>
      <c r="P120" s="653">
        <f>Calcs!K97</f>
        <v>0</v>
      </c>
      <c r="Q120" s="653">
        <f>Calcs!D97</f>
        <v>0</v>
      </c>
      <c r="R120" s="653">
        <f>Calcs!E97</f>
        <v>0</v>
      </c>
      <c r="S120" s="653">
        <f>Calcs!F97</f>
        <v>0</v>
      </c>
      <c r="T120" s="653">
        <f>Calcs!G97</f>
        <v>0</v>
      </c>
      <c r="U120" s="653">
        <f>Calcs!H97</f>
        <v>0</v>
      </c>
      <c r="V120" s="653">
        <f>Calcs!I97</f>
        <v>0</v>
      </c>
      <c r="W120" s="653">
        <f>Calcs!J97</f>
        <v>0</v>
      </c>
      <c r="X120" s="653">
        <f>Calcs!L97</f>
        <v>0</v>
      </c>
      <c r="Y120" s="653"/>
      <c r="Z120" s="653"/>
      <c r="AA120" s="629"/>
      <c r="AB120" s="629"/>
      <c r="AC120" s="629"/>
      <c r="AD120" s="629"/>
      <c r="AE120" s="629"/>
      <c r="AF120" s="629"/>
      <c r="AG120" s="629"/>
      <c r="AH120" s="629"/>
      <c r="AI120" s="629"/>
      <c r="AJ120" s="629"/>
      <c r="AK120" s="629"/>
    </row>
    <row r="121" spans="1:37" x14ac:dyDescent="0.2">
      <c r="A121" s="213"/>
      <c r="B121" s="213"/>
      <c r="C121" s="637" t="s">
        <v>536</v>
      </c>
      <c r="D121" s="636">
        <f>Calcs!D95</f>
        <v>1</v>
      </c>
      <c r="E121" s="636">
        <f>Calcs!E95</f>
        <v>1</v>
      </c>
      <c r="F121" s="636">
        <f>Calcs!F95</f>
        <v>1</v>
      </c>
      <c r="G121" s="636">
        <f>Calcs!G95</f>
        <v>1</v>
      </c>
      <c r="H121" s="636">
        <f>Calcs!H95</f>
        <v>1</v>
      </c>
      <c r="I121" s="636">
        <f>Calcs!I95</f>
        <v>1</v>
      </c>
      <c r="J121" s="636">
        <f>Calcs!J95</f>
        <v>1</v>
      </c>
      <c r="K121" s="636">
        <f>Calcs!K95</f>
        <v>1</v>
      </c>
      <c r="L121" s="636">
        <f>Calcs!L95</f>
        <v>1</v>
      </c>
      <c r="M121" s="629"/>
      <c r="N121" s="539"/>
      <c r="O121" s="656" t="s">
        <v>536</v>
      </c>
      <c r="P121" s="655">
        <f>Calcs!K98</f>
        <v>1</v>
      </c>
      <c r="Q121" s="655">
        <f>Calcs!D98</f>
        <v>1</v>
      </c>
      <c r="R121" s="655">
        <f>Calcs!E98</f>
        <v>1</v>
      </c>
      <c r="S121" s="655">
        <f>Calcs!F98</f>
        <v>1</v>
      </c>
      <c r="T121" s="655">
        <f>Calcs!G98</f>
        <v>1</v>
      </c>
      <c r="U121" s="655">
        <f>Calcs!H98</f>
        <v>1</v>
      </c>
      <c r="V121" s="655">
        <f>Calcs!I98</f>
        <v>1</v>
      </c>
      <c r="W121" s="655">
        <f>Calcs!J98</f>
        <v>1</v>
      </c>
      <c r="X121" s="655">
        <f>Calcs!L98</f>
        <v>1</v>
      </c>
      <c r="Y121" s="653"/>
      <c r="Z121" s="653"/>
      <c r="AA121" s="629"/>
      <c r="AB121" s="629"/>
      <c r="AC121" s="629"/>
      <c r="AD121" s="629"/>
      <c r="AE121" s="629"/>
      <c r="AF121" s="629"/>
      <c r="AG121" s="629"/>
      <c r="AH121" s="629"/>
      <c r="AI121" s="629"/>
      <c r="AJ121" s="629"/>
      <c r="AK121" s="629"/>
    </row>
    <row r="122" spans="1:37" x14ac:dyDescent="0.2">
      <c r="A122" s="213"/>
      <c r="B122" s="213"/>
      <c r="C122" s="633" t="s">
        <v>537</v>
      </c>
      <c r="D122" s="638">
        <v>0.5</v>
      </c>
      <c r="E122" s="638">
        <v>0.5</v>
      </c>
      <c r="F122" s="638">
        <v>0.5</v>
      </c>
      <c r="G122" s="638">
        <v>0.5</v>
      </c>
      <c r="H122" s="638">
        <v>0.5</v>
      </c>
      <c r="I122" s="638">
        <v>0.5</v>
      </c>
      <c r="J122" s="638">
        <v>0.5</v>
      </c>
      <c r="K122" s="638">
        <v>0.5</v>
      </c>
      <c r="L122" s="638">
        <v>1</v>
      </c>
      <c r="M122" s="629"/>
      <c r="N122" s="539"/>
      <c r="O122" s="651" t="s">
        <v>537</v>
      </c>
      <c r="P122" s="657">
        <v>0.5</v>
      </c>
      <c r="Q122" s="657">
        <v>0.5</v>
      </c>
      <c r="R122" s="657">
        <v>0.5</v>
      </c>
      <c r="S122" s="657">
        <v>0.5</v>
      </c>
      <c r="T122" s="657">
        <v>0.5</v>
      </c>
      <c r="U122" s="657">
        <v>0.5</v>
      </c>
      <c r="V122" s="657">
        <v>0.5</v>
      </c>
      <c r="W122" s="657">
        <v>0.5</v>
      </c>
      <c r="X122" s="653">
        <v>1</v>
      </c>
      <c r="Y122" s="653"/>
      <c r="Z122" s="653"/>
      <c r="AA122" s="629" t="s">
        <v>538</v>
      </c>
      <c r="AB122" s="638">
        <v>0.5</v>
      </c>
      <c r="AC122" s="638">
        <v>0.5</v>
      </c>
      <c r="AD122" s="638">
        <v>0.5</v>
      </c>
      <c r="AE122" s="638">
        <v>0.5</v>
      </c>
      <c r="AF122" s="638">
        <v>0.5</v>
      </c>
      <c r="AG122" s="638">
        <v>0.5</v>
      </c>
      <c r="AH122" s="638">
        <v>0.5</v>
      </c>
      <c r="AI122" s="638">
        <v>0.5</v>
      </c>
      <c r="AJ122" s="629">
        <v>1</v>
      </c>
      <c r="AK122" s="641"/>
    </row>
    <row r="123" spans="1:37" x14ac:dyDescent="0.2">
      <c r="A123" s="213"/>
      <c r="B123" s="213"/>
      <c r="C123" s="633" t="s">
        <v>539</v>
      </c>
      <c r="D123" s="639">
        <f>Calcs!$K$101</f>
        <v>0.84</v>
      </c>
      <c r="E123" s="639">
        <f>Calcs!$K$101</f>
        <v>0.84</v>
      </c>
      <c r="F123" s="639">
        <f>Calcs!$K$101</f>
        <v>0.84</v>
      </c>
      <c r="G123" s="639">
        <f>Calcs!$K$101</f>
        <v>0.84</v>
      </c>
      <c r="H123" s="639">
        <f>Calcs!$K$101</f>
        <v>0.84</v>
      </c>
      <c r="I123" s="639">
        <f>Calcs!$K$101</f>
        <v>0.84</v>
      </c>
      <c r="J123" s="639">
        <f>Calcs!$K$101</f>
        <v>0.84</v>
      </c>
      <c r="K123" s="639">
        <f>Calcs!$K$101</f>
        <v>0.84</v>
      </c>
      <c r="L123" s="639">
        <f>Calcs!$K$101</f>
        <v>0.84</v>
      </c>
      <c r="M123" s="629"/>
      <c r="N123" s="539"/>
      <c r="O123" s="651" t="s">
        <v>539</v>
      </c>
      <c r="P123" s="658">
        <f>Calcs!$K$102</f>
        <v>0.84</v>
      </c>
      <c r="Q123" s="658">
        <f>Calcs!$K$102</f>
        <v>0.84</v>
      </c>
      <c r="R123" s="658">
        <f>Calcs!$K$102</f>
        <v>0.84</v>
      </c>
      <c r="S123" s="658">
        <f>Calcs!$K$102</f>
        <v>0.84</v>
      </c>
      <c r="T123" s="658">
        <f>Calcs!$K$102</f>
        <v>0.84</v>
      </c>
      <c r="U123" s="658">
        <f>Calcs!$K$102</f>
        <v>0.84</v>
      </c>
      <c r="V123" s="658">
        <f>Calcs!$K$102</f>
        <v>0.84</v>
      </c>
      <c r="W123" s="658">
        <f>Calcs!$K$102</f>
        <v>0.84</v>
      </c>
      <c r="X123" s="658">
        <f>Calcs!$K$102</f>
        <v>0.84</v>
      </c>
      <c r="Y123" s="653"/>
      <c r="Z123" s="653"/>
      <c r="AA123" s="629" t="s">
        <v>539</v>
      </c>
      <c r="AB123" s="639">
        <f>Calcs!D100</f>
        <v>0.9</v>
      </c>
      <c r="AC123" s="639">
        <f>Calcs!E100</f>
        <v>0.9</v>
      </c>
      <c r="AD123" s="639">
        <f>Calcs!F100</f>
        <v>0.9</v>
      </c>
      <c r="AE123" s="639">
        <f>Calcs!G100</f>
        <v>0.9</v>
      </c>
      <c r="AF123" s="639">
        <f>Calcs!H100</f>
        <v>0.9</v>
      </c>
      <c r="AG123" s="639">
        <f>Calcs!I100</f>
        <v>0.9</v>
      </c>
      <c r="AH123" s="639">
        <f>Calcs!J100</f>
        <v>0.9</v>
      </c>
      <c r="AI123" s="639">
        <f>Calcs!K100</f>
        <v>0.9</v>
      </c>
      <c r="AJ123" s="639">
        <f>Calcs!L100</f>
        <v>0.9</v>
      </c>
      <c r="AK123" s="629"/>
    </row>
    <row r="124" spans="1:37" x14ac:dyDescent="0.2">
      <c r="A124" s="213"/>
      <c r="B124" s="213"/>
      <c r="C124" s="633" t="s">
        <v>540</v>
      </c>
      <c r="D124" s="638">
        <f t="shared" ref="D124:L124" si="28">5*D123</f>
        <v>4.2</v>
      </c>
      <c r="E124" s="638">
        <f t="shared" si="28"/>
        <v>4.2</v>
      </c>
      <c r="F124" s="638">
        <f t="shared" si="28"/>
        <v>4.2</v>
      </c>
      <c r="G124" s="638">
        <f t="shared" si="28"/>
        <v>4.2</v>
      </c>
      <c r="H124" s="638">
        <f t="shared" si="28"/>
        <v>4.2</v>
      </c>
      <c r="I124" s="638">
        <f t="shared" si="28"/>
        <v>4.2</v>
      </c>
      <c r="J124" s="638">
        <f t="shared" si="28"/>
        <v>4.2</v>
      </c>
      <c r="K124" s="638">
        <f t="shared" si="28"/>
        <v>4.2</v>
      </c>
      <c r="L124" s="638">
        <f t="shared" si="28"/>
        <v>4.2</v>
      </c>
      <c r="M124" s="629"/>
      <c r="N124" s="539"/>
      <c r="O124" s="651" t="s">
        <v>540</v>
      </c>
      <c r="P124" s="657">
        <f t="shared" ref="P124:X124" si="29">5*P123</f>
        <v>4.2</v>
      </c>
      <c r="Q124" s="657">
        <f t="shared" si="29"/>
        <v>4.2</v>
      </c>
      <c r="R124" s="657">
        <f>5*R123</f>
        <v>4.2</v>
      </c>
      <c r="S124" s="657">
        <f t="shared" si="29"/>
        <v>4.2</v>
      </c>
      <c r="T124" s="657">
        <f t="shared" si="29"/>
        <v>4.2</v>
      </c>
      <c r="U124" s="657">
        <f t="shared" si="29"/>
        <v>4.2</v>
      </c>
      <c r="V124" s="657">
        <f t="shared" si="29"/>
        <v>4.2</v>
      </c>
      <c r="W124" s="657">
        <f t="shared" si="29"/>
        <v>4.2</v>
      </c>
      <c r="X124" s="657">
        <f t="shared" si="29"/>
        <v>4.2</v>
      </c>
      <c r="Y124" s="653"/>
      <c r="Z124" s="653"/>
      <c r="AA124" s="629" t="s">
        <v>541</v>
      </c>
      <c r="AB124" s="638">
        <f t="shared" ref="AB124:AJ124" si="30">5*AB123</f>
        <v>4.5</v>
      </c>
      <c r="AC124" s="638">
        <f t="shared" si="30"/>
        <v>4.5</v>
      </c>
      <c r="AD124" s="638">
        <f t="shared" si="30"/>
        <v>4.5</v>
      </c>
      <c r="AE124" s="638">
        <f t="shared" si="30"/>
        <v>4.5</v>
      </c>
      <c r="AF124" s="638">
        <f t="shared" si="30"/>
        <v>4.5</v>
      </c>
      <c r="AG124" s="638">
        <f t="shared" si="30"/>
        <v>4.5</v>
      </c>
      <c r="AH124" s="638">
        <f t="shared" si="30"/>
        <v>4.5</v>
      </c>
      <c r="AI124" s="638">
        <f t="shared" si="30"/>
        <v>4.5</v>
      </c>
      <c r="AJ124" s="638">
        <f t="shared" si="30"/>
        <v>4.5</v>
      </c>
      <c r="AK124" s="641"/>
    </row>
    <row r="125" spans="1:37" ht="14.25" x14ac:dyDescent="0.25">
      <c r="A125" s="213"/>
      <c r="B125" s="213"/>
      <c r="C125" s="630" t="s">
        <v>542</v>
      </c>
      <c r="D125" s="640">
        <f>Calcs!$K$101</f>
        <v>0.84</v>
      </c>
      <c r="E125" s="640">
        <f>Calcs!$K$101</f>
        <v>0.84</v>
      </c>
      <c r="F125" s="640">
        <f>Calcs!$K$101</f>
        <v>0.84</v>
      </c>
      <c r="G125" s="640">
        <f>Calcs!$K$101</f>
        <v>0.84</v>
      </c>
      <c r="H125" s="640">
        <f>Calcs!$K$101</f>
        <v>0.84</v>
      </c>
      <c r="I125" s="640">
        <f>Calcs!$K$101</f>
        <v>0.84</v>
      </c>
      <c r="J125" s="640">
        <f>Calcs!$K$101</f>
        <v>0.84</v>
      </c>
      <c r="K125" s="640">
        <f>Calcs!$K$101</f>
        <v>0.84</v>
      </c>
      <c r="L125" s="640">
        <f>Calcs!$K$101</f>
        <v>0.84</v>
      </c>
      <c r="M125" s="641" t="s">
        <v>543</v>
      </c>
      <c r="N125" s="539"/>
      <c r="O125" s="647" t="s">
        <v>542</v>
      </c>
      <c r="P125" s="657">
        <f>Calcs!$K$102</f>
        <v>0.84</v>
      </c>
      <c r="Q125" s="657">
        <f>Calcs!$K$102</f>
        <v>0.84</v>
      </c>
      <c r="R125" s="657">
        <f>Calcs!$K$102</f>
        <v>0.84</v>
      </c>
      <c r="S125" s="657">
        <f>Calcs!$K$102</f>
        <v>0.84</v>
      </c>
      <c r="T125" s="657">
        <f>Calcs!$K$102</f>
        <v>0.84</v>
      </c>
      <c r="U125" s="657">
        <f>Calcs!$K$102</f>
        <v>0.84</v>
      </c>
      <c r="V125" s="657">
        <f>Calcs!$K$102</f>
        <v>0.84</v>
      </c>
      <c r="W125" s="657">
        <f>Calcs!$K$102</f>
        <v>0.84</v>
      </c>
      <c r="X125" s="657">
        <f>Calcs!$K$102</f>
        <v>0.84</v>
      </c>
      <c r="Y125" s="650" t="s">
        <v>543</v>
      </c>
      <c r="Z125" s="653"/>
      <c r="AA125" s="666" t="s">
        <v>542</v>
      </c>
      <c r="AB125" s="638">
        <f>Inputs!C80</f>
        <v>0.7</v>
      </c>
      <c r="AC125" s="638">
        <f>Inputs!D80</f>
        <v>0.7</v>
      </c>
      <c r="AD125" s="638">
        <f>Inputs!E80</f>
        <v>0.7</v>
      </c>
      <c r="AE125" s="638">
        <f>Inputs!F80</f>
        <v>0.7</v>
      </c>
      <c r="AF125" s="638">
        <f>Inputs!G80</f>
        <v>0.7</v>
      </c>
      <c r="AG125" s="638">
        <f>Inputs!H80</f>
        <v>0.7</v>
      </c>
      <c r="AH125" s="638">
        <f>Inputs!I80</f>
        <v>0.7</v>
      </c>
      <c r="AI125" s="638">
        <f>Inputs!J80</f>
        <v>0.7</v>
      </c>
      <c r="AJ125" s="638">
        <f>Inputs!K80</f>
        <v>0.7</v>
      </c>
      <c r="AK125" s="641" t="s">
        <v>543</v>
      </c>
    </row>
    <row r="126" spans="1:37" ht="14.25" x14ac:dyDescent="0.25">
      <c r="A126" s="213"/>
      <c r="B126" s="213"/>
      <c r="C126" s="630" t="s">
        <v>544</v>
      </c>
      <c r="D126" s="640">
        <f t="shared" ref="D126:L126" si="31">1/23</f>
        <v>4.3478260869565216E-2</v>
      </c>
      <c r="E126" s="640">
        <f t="shared" si="31"/>
        <v>4.3478260869565216E-2</v>
      </c>
      <c r="F126" s="640">
        <f t="shared" si="31"/>
        <v>4.3478260869565216E-2</v>
      </c>
      <c r="G126" s="640">
        <f t="shared" si="31"/>
        <v>4.3478260869565216E-2</v>
      </c>
      <c r="H126" s="640">
        <f t="shared" si="31"/>
        <v>4.3478260869565216E-2</v>
      </c>
      <c r="I126" s="640">
        <f t="shared" si="31"/>
        <v>4.3478260869565216E-2</v>
      </c>
      <c r="J126" s="640">
        <f t="shared" si="31"/>
        <v>4.3478260869565216E-2</v>
      </c>
      <c r="K126" s="640">
        <f t="shared" si="31"/>
        <v>4.3478260869565216E-2</v>
      </c>
      <c r="L126" s="640">
        <f t="shared" si="31"/>
        <v>4.3478260869565216E-2</v>
      </c>
      <c r="M126" s="641" t="s">
        <v>545</v>
      </c>
      <c r="N126" s="539"/>
      <c r="O126" s="647" t="s">
        <v>544</v>
      </c>
      <c r="P126" s="657">
        <f t="shared" ref="P126:X126" si="32">1/23</f>
        <v>4.3478260869565216E-2</v>
      </c>
      <c r="Q126" s="657">
        <f t="shared" si="32"/>
        <v>4.3478260869565216E-2</v>
      </c>
      <c r="R126" s="657">
        <f t="shared" si="32"/>
        <v>4.3478260869565216E-2</v>
      </c>
      <c r="S126" s="657">
        <f t="shared" si="32"/>
        <v>4.3478260869565216E-2</v>
      </c>
      <c r="T126" s="657">
        <f t="shared" si="32"/>
        <v>4.3478260869565216E-2</v>
      </c>
      <c r="U126" s="657">
        <f t="shared" si="32"/>
        <v>4.3478260869565216E-2</v>
      </c>
      <c r="V126" s="657">
        <f t="shared" si="32"/>
        <v>4.3478260869565216E-2</v>
      </c>
      <c r="W126" s="657">
        <f t="shared" si="32"/>
        <v>4.3478260869565216E-2</v>
      </c>
      <c r="X126" s="657">
        <f t="shared" si="32"/>
        <v>4.3478260869565216E-2</v>
      </c>
      <c r="Y126" s="650" t="s">
        <v>545</v>
      </c>
      <c r="Z126" s="653"/>
      <c r="AA126" s="666" t="s">
        <v>544</v>
      </c>
      <c r="AB126" s="638">
        <f t="shared" ref="AB126:AJ126" si="33">1/23</f>
        <v>4.3478260869565216E-2</v>
      </c>
      <c r="AC126" s="638">
        <f t="shared" si="33"/>
        <v>4.3478260869565216E-2</v>
      </c>
      <c r="AD126" s="638">
        <f t="shared" si="33"/>
        <v>4.3478260869565216E-2</v>
      </c>
      <c r="AE126" s="638">
        <f t="shared" si="33"/>
        <v>4.3478260869565216E-2</v>
      </c>
      <c r="AF126" s="638">
        <f t="shared" si="33"/>
        <v>4.3478260869565216E-2</v>
      </c>
      <c r="AG126" s="638">
        <f t="shared" si="33"/>
        <v>4.3478260869565216E-2</v>
      </c>
      <c r="AH126" s="638">
        <f t="shared" si="33"/>
        <v>4.3478260869565216E-2</v>
      </c>
      <c r="AI126" s="638">
        <f t="shared" si="33"/>
        <v>4.3478260869565216E-2</v>
      </c>
      <c r="AJ126" s="638">
        <f t="shared" si="33"/>
        <v>4.3478260869565216E-2</v>
      </c>
      <c r="AK126" s="641" t="s">
        <v>545</v>
      </c>
    </row>
    <row r="127" spans="1:37" x14ac:dyDescent="0.2">
      <c r="A127" s="213"/>
      <c r="B127" s="213"/>
      <c r="C127" s="633" t="s">
        <v>546</v>
      </c>
      <c r="D127" s="641">
        <v>11</v>
      </c>
      <c r="E127" s="641">
        <v>11</v>
      </c>
      <c r="F127" s="641">
        <v>11</v>
      </c>
      <c r="G127" s="641">
        <v>11</v>
      </c>
      <c r="H127" s="641">
        <v>11</v>
      </c>
      <c r="I127" s="641">
        <v>11</v>
      </c>
      <c r="J127" s="641">
        <v>11</v>
      </c>
      <c r="K127" s="641">
        <v>11</v>
      </c>
      <c r="L127" s="641">
        <v>11</v>
      </c>
      <c r="M127" s="641" t="s">
        <v>547</v>
      </c>
      <c r="N127" s="539"/>
      <c r="O127" s="651" t="s">
        <v>546</v>
      </c>
      <c r="P127" s="650">
        <v>11</v>
      </c>
      <c r="Q127" s="650">
        <v>11</v>
      </c>
      <c r="R127" s="650">
        <v>11</v>
      </c>
      <c r="S127" s="650">
        <v>11</v>
      </c>
      <c r="T127" s="650">
        <v>11</v>
      </c>
      <c r="U127" s="650">
        <v>11</v>
      </c>
      <c r="V127" s="650">
        <v>11</v>
      </c>
      <c r="W127" s="650">
        <v>11</v>
      </c>
      <c r="X127" s="650">
        <v>11</v>
      </c>
      <c r="Y127" s="650" t="s">
        <v>547</v>
      </c>
      <c r="Z127" s="653"/>
      <c r="AA127" s="629" t="s">
        <v>546</v>
      </c>
      <c r="AB127" s="641">
        <v>11</v>
      </c>
      <c r="AC127" s="641">
        <v>11</v>
      </c>
      <c r="AD127" s="641">
        <v>11</v>
      </c>
      <c r="AE127" s="641">
        <v>11</v>
      </c>
      <c r="AF127" s="641">
        <v>11</v>
      </c>
      <c r="AG127" s="641">
        <v>11</v>
      </c>
      <c r="AH127" s="641">
        <v>11</v>
      </c>
      <c r="AI127" s="641">
        <v>11</v>
      </c>
      <c r="AJ127" s="641">
        <v>11</v>
      </c>
      <c r="AK127" s="641" t="s">
        <v>547</v>
      </c>
    </row>
    <row r="128" spans="1:37" x14ac:dyDescent="0.2">
      <c r="A128" s="213"/>
      <c r="B128" s="213"/>
      <c r="C128" s="633" t="s">
        <v>548</v>
      </c>
      <c r="D128" s="634">
        <f>Calcs!D85</f>
        <v>0.42599999999999999</v>
      </c>
      <c r="E128" s="634">
        <f>Calcs!E85</f>
        <v>0.42599999999999999</v>
      </c>
      <c r="F128" s="634">
        <f>Calcs!F85</f>
        <v>0.42599999999999999</v>
      </c>
      <c r="G128" s="634">
        <f>Calcs!G85</f>
        <v>0.42599999999999999</v>
      </c>
      <c r="H128" s="634">
        <f>Calcs!H85</f>
        <v>0.42599999999999999</v>
      </c>
      <c r="I128" s="634">
        <f>Calcs!I85</f>
        <v>0.42599999999999999</v>
      </c>
      <c r="J128" s="634">
        <f>Calcs!J85</f>
        <v>0.42599999999999999</v>
      </c>
      <c r="K128" s="634">
        <f>Calcs!K85</f>
        <v>0.42599999999999999</v>
      </c>
      <c r="L128" s="634">
        <f>Calcs!L85</f>
        <v>0</v>
      </c>
      <c r="M128" s="641"/>
      <c r="N128" s="539"/>
      <c r="O128" s="651" t="s">
        <v>548</v>
      </c>
      <c r="P128" s="652">
        <f>Calcs!K86</f>
        <v>0</v>
      </c>
      <c r="Q128" s="652">
        <f>Calcs!D86</f>
        <v>0</v>
      </c>
      <c r="R128" s="652">
        <f>Calcs!E86</f>
        <v>0</v>
      </c>
      <c r="S128" s="652">
        <f>Calcs!F86</f>
        <v>0</v>
      </c>
      <c r="T128" s="652">
        <f>Calcs!G86</f>
        <v>0</v>
      </c>
      <c r="U128" s="652">
        <f>Calcs!H86</f>
        <v>0</v>
      </c>
      <c r="V128" s="652">
        <f>Calcs!I86</f>
        <v>0</v>
      </c>
      <c r="W128" s="652">
        <f>Calcs!J86</f>
        <v>0</v>
      </c>
      <c r="X128" s="652">
        <f>Calcs!L86</f>
        <v>0</v>
      </c>
      <c r="Y128" s="650"/>
      <c r="Z128" s="653"/>
      <c r="AA128" s="629"/>
      <c r="AB128" s="641"/>
      <c r="AC128" s="641"/>
      <c r="AD128" s="641"/>
      <c r="AE128" s="641"/>
      <c r="AF128" s="641"/>
      <c r="AG128" s="641"/>
      <c r="AH128" s="641"/>
      <c r="AI128" s="641"/>
      <c r="AJ128" s="641"/>
      <c r="AK128" s="641"/>
    </row>
    <row r="129" spans="1:40" ht="14.25" x14ac:dyDescent="0.25">
      <c r="A129" s="213"/>
      <c r="B129" s="213"/>
      <c r="C129" s="633" t="s">
        <v>549</v>
      </c>
      <c r="D129" s="634">
        <f t="shared" ref="D129:L129" si="34">D128*0.9</f>
        <v>0.38340000000000002</v>
      </c>
      <c r="E129" s="634">
        <f t="shared" si="34"/>
        <v>0.38340000000000002</v>
      </c>
      <c r="F129" s="634">
        <f t="shared" si="34"/>
        <v>0.38340000000000002</v>
      </c>
      <c r="G129" s="634">
        <f t="shared" si="34"/>
        <v>0.38340000000000002</v>
      </c>
      <c r="H129" s="634">
        <f t="shared" si="34"/>
        <v>0.38340000000000002</v>
      </c>
      <c r="I129" s="634">
        <f t="shared" si="34"/>
        <v>0.38340000000000002</v>
      </c>
      <c r="J129" s="634">
        <f t="shared" si="34"/>
        <v>0.38340000000000002</v>
      </c>
      <c r="K129" s="634">
        <f t="shared" si="34"/>
        <v>0.38340000000000002</v>
      </c>
      <c r="L129" s="634">
        <f t="shared" si="34"/>
        <v>0</v>
      </c>
      <c r="M129" s="642" t="s">
        <v>550</v>
      </c>
      <c r="N129" s="539"/>
      <c r="O129" s="651" t="s">
        <v>549</v>
      </c>
      <c r="P129" s="653">
        <f t="shared" ref="P129:X129" si="35">P128*0.9</f>
        <v>0</v>
      </c>
      <c r="Q129" s="653">
        <f t="shared" si="35"/>
        <v>0</v>
      </c>
      <c r="R129" s="653">
        <f>R128*0.9</f>
        <v>0</v>
      </c>
      <c r="S129" s="653">
        <f t="shared" si="35"/>
        <v>0</v>
      </c>
      <c r="T129" s="653">
        <f t="shared" si="35"/>
        <v>0</v>
      </c>
      <c r="U129" s="653">
        <f t="shared" si="35"/>
        <v>0</v>
      </c>
      <c r="V129" s="653">
        <f t="shared" si="35"/>
        <v>0</v>
      </c>
      <c r="W129" s="653">
        <f t="shared" si="35"/>
        <v>0</v>
      </c>
      <c r="X129" s="653">
        <f t="shared" si="35"/>
        <v>0</v>
      </c>
      <c r="Y129" s="659" t="s">
        <v>550</v>
      </c>
      <c r="Z129" s="653"/>
      <c r="AA129" s="629"/>
      <c r="AB129" s="641"/>
      <c r="AC129" s="641"/>
      <c r="AD129" s="641"/>
      <c r="AE129" s="641"/>
      <c r="AF129" s="641"/>
      <c r="AG129" s="641"/>
      <c r="AH129" s="641"/>
      <c r="AI129" s="641"/>
      <c r="AJ129" s="641"/>
      <c r="AK129" s="641"/>
    </row>
    <row r="130" spans="1:40" ht="14.25" x14ac:dyDescent="0.25">
      <c r="A130" s="213"/>
      <c r="B130" s="213"/>
      <c r="C130" s="633" t="s">
        <v>551</v>
      </c>
      <c r="D130" s="629">
        <v>0.25</v>
      </c>
      <c r="E130" s="629">
        <v>0.25</v>
      </c>
      <c r="F130" s="629">
        <v>0.25</v>
      </c>
      <c r="G130" s="629">
        <v>0.25</v>
      </c>
      <c r="H130" s="629">
        <v>0.25</v>
      </c>
      <c r="I130" s="629">
        <v>0.25</v>
      </c>
      <c r="J130" s="629">
        <v>0.25</v>
      </c>
      <c r="K130" s="629">
        <v>0.25</v>
      </c>
      <c r="L130" s="629">
        <v>0.25</v>
      </c>
      <c r="M130" s="642" t="s">
        <v>552</v>
      </c>
      <c r="N130" s="539"/>
      <c r="O130" s="651" t="s">
        <v>551</v>
      </c>
      <c r="P130" s="653">
        <v>0.25</v>
      </c>
      <c r="Q130" s="653">
        <v>0.25</v>
      </c>
      <c r="R130" s="653">
        <v>0.25</v>
      </c>
      <c r="S130" s="653">
        <v>0.25</v>
      </c>
      <c r="T130" s="653">
        <v>0.25</v>
      </c>
      <c r="U130" s="653">
        <v>0.25</v>
      </c>
      <c r="V130" s="653">
        <v>0.25</v>
      </c>
      <c r="W130" s="653">
        <v>0.25</v>
      </c>
      <c r="X130" s="653">
        <v>0.25</v>
      </c>
      <c r="Y130" s="659" t="s">
        <v>552</v>
      </c>
      <c r="Z130" s="653"/>
      <c r="AA130" s="629"/>
      <c r="AB130" s="641"/>
      <c r="AC130" s="641"/>
      <c r="AD130" s="641"/>
      <c r="AE130" s="641"/>
      <c r="AF130" s="641"/>
      <c r="AG130" s="641"/>
      <c r="AH130" s="641"/>
      <c r="AI130" s="641"/>
      <c r="AJ130" s="641"/>
      <c r="AK130" s="641"/>
    </row>
    <row r="131" spans="1:40" x14ac:dyDescent="0.2">
      <c r="A131" s="213"/>
      <c r="B131" s="213"/>
      <c r="C131" s="629"/>
      <c r="D131" s="641"/>
      <c r="E131" s="641"/>
      <c r="F131" s="641"/>
      <c r="G131" s="641"/>
      <c r="H131" s="641"/>
      <c r="I131" s="641"/>
      <c r="J131" s="641"/>
      <c r="K131" s="641"/>
      <c r="L131" s="641"/>
      <c r="M131" s="641"/>
      <c r="N131" s="539"/>
      <c r="O131" s="653"/>
      <c r="P131" s="650"/>
      <c r="Q131" s="650"/>
      <c r="R131" s="650"/>
      <c r="S131" s="650"/>
      <c r="T131" s="650"/>
      <c r="U131" s="650"/>
      <c r="V131" s="650"/>
      <c r="W131" s="650"/>
      <c r="X131" s="650"/>
      <c r="Y131" s="650"/>
      <c r="Z131" s="653"/>
      <c r="AA131" s="629"/>
      <c r="AB131" s="641"/>
      <c r="AC131" s="641"/>
      <c r="AD131" s="641"/>
      <c r="AE131" s="641"/>
      <c r="AF131" s="641"/>
      <c r="AG131" s="641"/>
      <c r="AH131" s="641"/>
      <c r="AI131" s="641"/>
      <c r="AJ131" s="641"/>
      <c r="AK131" s="641"/>
    </row>
    <row r="132" spans="1:40" x14ac:dyDescent="0.2">
      <c r="A132" s="212"/>
      <c r="B132" s="212"/>
      <c r="C132" s="643" t="s">
        <v>528</v>
      </c>
      <c r="D132" s="629"/>
      <c r="E132" s="629"/>
      <c r="F132" s="629"/>
      <c r="G132" s="633"/>
      <c r="H132" s="629"/>
      <c r="I132" s="629"/>
      <c r="J132" s="629"/>
      <c r="K132" s="539"/>
      <c r="L132" s="629"/>
      <c r="M132" s="629"/>
      <c r="N132" s="539"/>
      <c r="O132" s="653"/>
      <c r="P132" s="660" t="s">
        <v>528</v>
      </c>
      <c r="Q132" s="653"/>
      <c r="R132" s="653"/>
      <c r="S132" s="653"/>
      <c r="T132" s="653"/>
      <c r="U132" s="653"/>
      <c r="V132" s="653"/>
      <c r="W132" s="653"/>
      <c r="X132" s="653"/>
      <c r="Y132" s="653"/>
      <c r="Z132" s="653"/>
      <c r="AA132" s="629"/>
      <c r="AB132" s="641"/>
      <c r="AC132" s="641"/>
      <c r="AD132" s="641"/>
      <c r="AE132" s="641"/>
      <c r="AF132" s="641"/>
      <c r="AG132" s="641"/>
      <c r="AH132" s="641"/>
      <c r="AI132" s="641" t="s">
        <v>723</v>
      </c>
      <c r="AJ132" s="641"/>
      <c r="AK132" s="629"/>
    </row>
    <row r="133" spans="1:40" ht="14.25" x14ac:dyDescent="0.25">
      <c r="A133" s="212"/>
      <c r="B133" s="212"/>
      <c r="C133" s="643" t="s">
        <v>529</v>
      </c>
      <c r="D133" s="629"/>
      <c r="E133" s="629"/>
      <c r="F133" s="629"/>
      <c r="G133" s="633"/>
      <c r="H133" s="629"/>
      <c r="I133" s="629"/>
      <c r="J133" s="629"/>
      <c r="K133" s="539"/>
      <c r="L133" s="629"/>
      <c r="M133" s="629"/>
      <c r="N133" s="539"/>
      <c r="O133" s="653"/>
      <c r="P133" s="660" t="s">
        <v>529</v>
      </c>
      <c r="Q133" s="653"/>
      <c r="R133" s="653"/>
      <c r="S133" s="653"/>
      <c r="T133" s="653"/>
      <c r="U133" s="653"/>
      <c r="V133" s="653"/>
      <c r="W133" s="653"/>
      <c r="X133" s="653"/>
      <c r="Y133" s="653"/>
      <c r="Z133" s="653"/>
      <c r="AA133" s="629"/>
      <c r="AB133" s="641"/>
      <c r="AC133" s="641"/>
      <c r="AD133" s="641"/>
      <c r="AE133" s="641"/>
      <c r="AF133" s="641"/>
      <c r="AG133" s="641"/>
      <c r="AH133" s="641"/>
      <c r="AI133" s="666" t="s">
        <v>722</v>
      </c>
      <c r="AJ133" s="641"/>
      <c r="AK133" s="629"/>
    </row>
    <row r="134" spans="1:40" x14ac:dyDescent="0.2">
      <c r="A134" s="213"/>
      <c r="B134" s="213"/>
      <c r="C134" s="629"/>
      <c r="D134" s="628" t="s">
        <v>8</v>
      </c>
      <c r="E134" s="628" t="s">
        <v>10</v>
      </c>
      <c r="F134" s="628" t="s">
        <v>12</v>
      </c>
      <c r="G134" s="628" t="s">
        <v>14</v>
      </c>
      <c r="H134" s="628" t="s">
        <v>15</v>
      </c>
      <c r="I134" s="628" t="s">
        <v>17</v>
      </c>
      <c r="J134" s="628" t="s">
        <v>19</v>
      </c>
      <c r="K134" s="628" t="s">
        <v>7</v>
      </c>
      <c r="L134" s="628" t="s">
        <v>523</v>
      </c>
      <c r="M134" s="629"/>
      <c r="N134" s="539"/>
      <c r="O134" s="651"/>
      <c r="P134" s="661" t="str">
        <f t="shared" ref="P134:Y134" si="36">P143</f>
        <v>SW</v>
      </c>
      <c r="Q134" s="661" t="str">
        <f t="shared" si="36"/>
        <v>S</v>
      </c>
      <c r="R134" s="661" t="str">
        <f>R143</f>
        <v>SE</v>
      </c>
      <c r="S134" s="661" t="str">
        <f t="shared" si="36"/>
        <v>E</v>
      </c>
      <c r="T134" s="661" t="str">
        <f t="shared" si="36"/>
        <v>NE</v>
      </c>
      <c r="U134" s="661" t="str">
        <f t="shared" si="36"/>
        <v>N</v>
      </c>
      <c r="V134" s="661" t="str">
        <f t="shared" si="36"/>
        <v>NW</v>
      </c>
      <c r="W134" s="661" t="str">
        <f t="shared" si="36"/>
        <v>W</v>
      </c>
      <c r="X134" s="661" t="str">
        <f t="shared" si="36"/>
        <v>HOR</v>
      </c>
      <c r="Y134" s="661" t="str">
        <f t="shared" si="36"/>
        <v>Total</v>
      </c>
      <c r="Z134" s="653"/>
      <c r="AA134" s="667"/>
      <c r="AB134" s="668" t="str">
        <f t="shared" ref="AB134:AJ134" si="37">AB143</f>
        <v>S</v>
      </c>
      <c r="AC134" s="668" t="str">
        <f t="shared" si="37"/>
        <v>SE</v>
      </c>
      <c r="AD134" s="668" t="str">
        <f t="shared" si="37"/>
        <v>E</v>
      </c>
      <c r="AE134" s="668" t="str">
        <f t="shared" si="37"/>
        <v>NE</v>
      </c>
      <c r="AF134" s="668" t="str">
        <f t="shared" si="37"/>
        <v>N</v>
      </c>
      <c r="AG134" s="668" t="str">
        <f t="shared" si="37"/>
        <v>NW</v>
      </c>
      <c r="AH134" s="668" t="str">
        <f t="shared" si="37"/>
        <v>W</v>
      </c>
      <c r="AI134" s="668" t="str">
        <f t="shared" si="37"/>
        <v>SW</v>
      </c>
      <c r="AJ134" s="668" t="str">
        <f t="shared" si="37"/>
        <v>HOR</v>
      </c>
      <c r="AK134" s="668"/>
    </row>
    <row r="135" spans="1:40" x14ac:dyDescent="0.2">
      <c r="A135" s="213"/>
      <c r="B135" s="213"/>
      <c r="C135" s="633"/>
      <c r="D135" s="678">
        <f t="shared" ref="D135:L135" si="38">D120*D121*D129*(1-D130)*D116</f>
        <v>93.396240000000006</v>
      </c>
      <c r="E135" s="678">
        <f t="shared" si="38"/>
        <v>0</v>
      </c>
      <c r="F135" s="678">
        <f t="shared" si="38"/>
        <v>33.010740000000006</v>
      </c>
      <c r="G135" s="678">
        <f t="shared" si="38"/>
        <v>0</v>
      </c>
      <c r="H135" s="678">
        <f t="shared" si="38"/>
        <v>93.396240000000006</v>
      </c>
      <c r="I135" s="678">
        <f t="shared" si="38"/>
        <v>0</v>
      </c>
      <c r="J135" s="678">
        <f t="shared" si="38"/>
        <v>33.068250000000006</v>
      </c>
      <c r="K135" s="678">
        <f t="shared" si="38"/>
        <v>0</v>
      </c>
      <c r="L135" s="678">
        <f t="shared" si="38"/>
        <v>0</v>
      </c>
      <c r="M135" s="644"/>
      <c r="N135" s="539"/>
      <c r="O135" s="651" t="s">
        <v>530</v>
      </c>
      <c r="P135" s="662">
        <f t="shared" ref="P135:X135" si="39">P120*P121*P129*(1-P130)*P116</f>
        <v>0</v>
      </c>
      <c r="Q135" s="662">
        <f t="shared" si="39"/>
        <v>0</v>
      </c>
      <c r="R135" s="662">
        <f>R120*R121*R129*(1-R130)*R116</f>
        <v>0</v>
      </c>
      <c r="S135" s="662">
        <f t="shared" si="39"/>
        <v>0</v>
      </c>
      <c r="T135" s="662">
        <f t="shared" si="39"/>
        <v>0</v>
      </c>
      <c r="U135" s="662">
        <f t="shared" si="39"/>
        <v>0</v>
      </c>
      <c r="V135" s="662">
        <f t="shared" si="39"/>
        <v>0</v>
      </c>
      <c r="W135" s="662">
        <f t="shared" si="39"/>
        <v>0</v>
      </c>
      <c r="X135" s="662">
        <f t="shared" si="39"/>
        <v>0</v>
      </c>
      <c r="Y135" s="663">
        <f>SUM(P135:X135)</f>
        <v>0</v>
      </c>
      <c r="Z135" s="653"/>
      <c r="AA135" s="629"/>
      <c r="AB135" s="669">
        <f t="shared" ref="AB135:AJ135" si="40">AB125*AB126*AB116*AB117</f>
        <v>6.6640486956521734</v>
      </c>
      <c r="AC135" s="669">
        <f t="shared" si="40"/>
        <v>0</v>
      </c>
      <c r="AD135" s="669">
        <f t="shared" si="40"/>
        <v>2.3553965217391299</v>
      </c>
      <c r="AE135" s="669">
        <f t="shared" si="40"/>
        <v>0</v>
      </c>
      <c r="AF135" s="669">
        <f t="shared" si="40"/>
        <v>6.6640486956521734</v>
      </c>
      <c r="AG135" s="669">
        <f t="shared" si="40"/>
        <v>0</v>
      </c>
      <c r="AH135" s="669">
        <f t="shared" si="40"/>
        <v>2.3553965217391299</v>
      </c>
      <c r="AI135" s="669">
        <f t="shared" si="40"/>
        <v>0</v>
      </c>
      <c r="AJ135" s="669">
        <f t="shared" si="40"/>
        <v>56.461695652173916</v>
      </c>
      <c r="AK135" s="632"/>
    </row>
    <row r="136" spans="1:40" s="436" customFormat="1" ht="15" x14ac:dyDescent="0.25">
      <c r="C136" s="510"/>
      <c r="D136" s="510"/>
      <c r="E136" s="510"/>
      <c r="F136" s="510"/>
      <c r="G136" s="510"/>
      <c r="H136" s="510"/>
      <c r="I136" s="510"/>
      <c r="J136" s="510"/>
      <c r="K136" s="555"/>
      <c r="L136" s="555"/>
      <c r="M136" s="555"/>
      <c r="N136" s="555"/>
      <c r="O136" s="645"/>
      <c r="P136" s="645"/>
      <c r="Q136" s="645"/>
      <c r="R136" s="645"/>
      <c r="S136" s="645"/>
      <c r="T136" s="645"/>
      <c r="U136" s="645"/>
      <c r="V136" s="646"/>
      <c r="W136" s="645"/>
      <c r="X136" s="645"/>
      <c r="Y136" s="645"/>
      <c r="Z136" s="645"/>
      <c r="AA136" s="510"/>
      <c r="AB136" s="510"/>
      <c r="AC136" s="510"/>
      <c r="AD136" s="510"/>
      <c r="AE136" s="510"/>
      <c r="AF136" s="510"/>
      <c r="AG136" s="510"/>
      <c r="AH136" s="510"/>
      <c r="AI136" s="510"/>
      <c r="AJ136" s="510"/>
      <c r="AK136" s="510"/>
    </row>
    <row r="137" spans="1:40" s="436" customFormat="1" x14ac:dyDescent="0.2">
      <c r="C137" s="674"/>
      <c r="D137" s="629"/>
      <c r="E137" s="629"/>
      <c r="F137" s="675"/>
      <c r="G137" s="675"/>
      <c r="H137" s="675"/>
      <c r="I137" s="675"/>
      <c r="J137" s="629"/>
      <c r="K137" s="629"/>
      <c r="L137" s="629"/>
      <c r="M137" s="629"/>
      <c r="N137" s="629"/>
      <c r="O137" s="653"/>
      <c r="P137" s="653"/>
      <c r="Q137" s="653"/>
      <c r="R137" s="653"/>
      <c r="S137" s="653"/>
      <c r="T137" s="653"/>
      <c r="U137" s="653"/>
      <c r="V137" s="653"/>
      <c r="W137" s="653"/>
      <c r="X137" s="653"/>
      <c r="Y137" s="653"/>
      <c r="Z137" s="653"/>
      <c r="AA137" s="641"/>
      <c r="AB137" s="641" t="s">
        <v>724</v>
      </c>
      <c r="AC137" s="641"/>
      <c r="AD137" s="641"/>
      <c r="AE137" s="641"/>
      <c r="AF137" s="641"/>
      <c r="AG137" s="641"/>
      <c r="AH137" s="641"/>
      <c r="AI137" s="641"/>
      <c r="AJ137" s="641"/>
      <c r="AK137" s="641"/>
    </row>
    <row r="138" spans="1:40" s="436" customFormat="1" x14ac:dyDescent="0.2">
      <c r="C138" s="674"/>
      <c r="D138" s="629"/>
      <c r="E138" s="629"/>
      <c r="F138" s="675"/>
      <c r="G138" s="675"/>
      <c r="H138" s="675"/>
      <c r="I138" s="675"/>
      <c r="J138" s="629"/>
      <c r="K138" s="629"/>
      <c r="L138" s="629"/>
      <c r="M138" s="629"/>
      <c r="N138" s="629"/>
      <c r="O138" s="653"/>
      <c r="P138" s="653"/>
      <c r="Q138" s="653"/>
      <c r="R138" s="653"/>
      <c r="S138" s="653"/>
      <c r="T138" s="653"/>
      <c r="U138" s="653"/>
      <c r="V138" s="653"/>
      <c r="W138" s="653"/>
      <c r="X138" s="653"/>
      <c r="Y138" s="653"/>
      <c r="Z138" s="653"/>
      <c r="AA138" s="641"/>
      <c r="AB138" s="641" t="s">
        <v>527</v>
      </c>
      <c r="AC138" s="641"/>
      <c r="AD138" s="641"/>
      <c r="AE138" s="680"/>
      <c r="AF138" s="641"/>
      <c r="AG138" s="641"/>
      <c r="AH138" s="641"/>
      <c r="AI138" s="641"/>
      <c r="AJ138" s="641"/>
      <c r="AK138" s="629"/>
    </row>
    <row r="139" spans="1:40" s="436" customFormat="1" x14ac:dyDescent="0.2">
      <c r="C139" s="674"/>
      <c r="D139" s="629"/>
      <c r="E139" s="629"/>
      <c r="F139" s="675"/>
      <c r="G139" s="675"/>
      <c r="H139" s="675"/>
      <c r="I139" s="675"/>
      <c r="J139" s="629"/>
      <c r="K139" s="629"/>
      <c r="L139" s="629"/>
      <c r="M139" s="629"/>
      <c r="N139" s="629"/>
      <c r="O139" s="653"/>
      <c r="P139" s="653"/>
      <c r="Q139" s="653"/>
      <c r="R139" s="653"/>
      <c r="S139" s="653"/>
      <c r="T139" s="653"/>
      <c r="U139" s="653"/>
      <c r="V139" s="653"/>
      <c r="W139" s="653"/>
      <c r="X139" s="653"/>
      <c r="Y139" s="653"/>
      <c r="Z139" s="653"/>
      <c r="AA139" s="641"/>
      <c r="AB139" s="668" t="str">
        <f t="shared" ref="AB139:AJ139" si="41">AB143</f>
        <v>S</v>
      </c>
      <c r="AC139" s="668" t="str">
        <f t="shared" si="41"/>
        <v>SE</v>
      </c>
      <c r="AD139" s="668" t="str">
        <f t="shared" si="41"/>
        <v>E</v>
      </c>
      <c r="AE139" s="668" t="str">
        <f t="shared" si="41"/>
        <v>NE</v>
      </c>
      <c r="AF139" s="668" t="str">
        <f t="shared" si="41"/>
        <v>N</v>
      </c>
      <c r="AG139" s="668" t="str">
        <f t="shared" si="41"/>
        <v>NW</v>
      </c>
      <c r="AH139" s="668" t="str">
        <f t="shared" si="41"/>
        <v>W</v>
      </c>
      <c r="AI139" s="668" t="str">
        <f t="shared" si="41"/>
        <v>SW</v>
      </c>
      <c r="AJ139" s="668" t="str">
        <f t="shared" si="41"/>
        <v>HOR</v>
      </c>
      <c r="AK139" s="668" t="str">
        <f>Y143</f>
        <v>Total</v>
      </c>
    </row>
    <row r="140" spans="1:40" s="436" customFormat="1" x14ac:dyDescent="0.2">
      <c r="C140" s="674"/>
      <c r="D140" s="629"/>
      <c r="E140" s="629"/>
      <c r="F140" s="675"/>
      <c r="G140" s="675"/>
      <c r="H140" s="675"/>
      <c r="I140" s="675"/>
      <c r="J140" s="629"/>
      <c r="K140" s="629"/>
      <c r="L140" s="629"/>
      <c r="M140" s="629"/>
      <c r="N140" s="629"/>
      <c r="O140" s="653"/>
      <c r="P140" s="653"/>
      <c r="Q140" s="653"/>
      <c r="R140" s="653"/>
      <c r="S140" s="653"/>
      <c r="T140" s="653"/>
      <c r="U140" s="653"/>
      <c r="V140" s="653"/>
      <c r="W140" s="653"/>
      <c r="X140" s="653"/>
      <c r="Y140" s="653"/>
      <c r="Z140" s="653"/>
      <c r="AA140" s="641"/>
      <c r="AB140" s="632">
        <f t="shared" ref="AB140:AJ140" si="42">AB126*AB117*AB116*AB124*AB127</f>
        <v>471.24344347826087</v>
      </c>
      <c r="AC140" s="632">
        <f t="shared" si="42"/>
        <v>0</v>
      </c>
      <c r="AD140" s="632">
        <f t="shared" si="42"/>
        <v>166.56018260869561</v>
      </c>
      <c r="AE140" s="632">
        <f t="shared" si="42"/>
        <v>0</v>
      </c>
      <c r="AF140" s="632">
        <f t="shared" si="42"/>
        <v>471.24344347826087</v>
      </c>
      <c r="AG140" s="632">
        <f t="shared" si="42"/>
        <v>0</v>
      </c>
      <c r="AH140" s="632">
        <f t="shared" si="42"/>
        <v>166.56018260869561</v>
      </c>
      <c r="AI140" s="632">
        <f t="shared" si="42"/>
        <v>0</v>
      </c>
      <c r="AJ140" s="632">
        <f t="shared" si="42"/>
        <v>3992.6484782608695</v>
      </c>
      <c r="AK140" s="649">
        <f>SUM(AB140:AJ140)</f>
        <v>5268.2557304347829</v>
      </c>
      <c r="AL140" s="645"/>
      <c r="AM140" s="645"/>
      <c r="AN140" s="645"/>
    </row>
    <row r="141" spans="1:40" s="436" customFormat="1" x14ac:dyDescent="0.2">
      <c r="C141" s="674" t="s">
        <v>520</v>
      </c>
      <c r="D141" s="641"/>
      <c r="E141" s="629"/>
      <c r="F141" s="675"/>
      <c r="G141" s="675"/>
      <c r="H141" s="675"/>
      <c r="I141" s="675"/>
      <c r="J141" s="629"/>
      <c r="K141" s="629"/>
      <c r="L141" s="629"/>
      <c r="M141" s="629"/>
      <c r="N141" s="629"/>
      <c r="O141" s="653"/>
      <c r="P141" s="653"/>
      <c r="Q141" s="653"/>
      <c r="R141" s="653"/>
      <c r="S141" s="653"/>
      <c r="T141" s="653"/>
      <c r="U141" s="653"/>
      <c r="V141" s="653"/>
      <c r="W141" s="653"/>
      <c r="X141" s="653"/>
      <c r="Y141" s="653"/>
      <c r="Z141" s="653"/>
      <c r="AA141" s="641"/>
      <c r="AB141" s="641"/>
      <c r="AC141" s="641"/>
      <c r="AD141" s="641"/>
      <c r="AE141" s="641"/>
      <c r="AF141" s="641"/>
      <c r="AG141" s="641"/>
      <c r="AH141" s="641"/>
      <c r="AI141" s="629"/>
      <c r="AJ141" s="641"/>
      <c r="AK141" s="641"/>
      <c r="AL141" s="510"/>
      <c r="AM141" s="684" t="s">
        <v>502</v>
      </c>
      <c r="AN141" s="510"/>
    </row>
    <row r="142" spans="1:40" s="436" customFormat="1" ht="14.25" x14ac:dyDescent="0.25">
      <c r="C142" s="674"/>
      <c r="D142" s="641"/>
      <c r="E142" s="629"/>
      <c r="F142" s="675"/>
      <c r="G142" s="675"/>
      <c r="H142" s="675"/>
      <c r="I142" s="675"/>
      <c r="J142" s="629"/>
      <c r="K142" s="629"/>
      <c r="L142" s="629"/>
      <c r="M142" s="629"/>
      <c r="N142" s="629"/>
      <c r="O142" s="653"/>
      <c r="P142" s="653"/>
      <c r="Q142" s="653"/>
      <c r="R142" s="653"/>
      <c r="S142" s="653"/>
      <c r="T142" s="653"/>
      <c r="U142" s="653"/>
      <c r="V142" s="653"/>
      <c r="W142" s="653"/>
      <c r="X142" s="653"/>
      <c r="Y142" s="653"/>
      <c r="Z142" s="653"/>
      <c r="AA142" s="641"/>
      <c r="AB142" s="641" t="s">
        <v>521</v>
      </c>
      <c r="AC142" s="641"/>
      <c r="AD142" s="641"/>
      <c r="AE142" s="641"/>
      <c r="AF142" s="641"/>
      <c r="AG142" s="641"/>
      <c r="AH142" s="641"/>
      <c r="AI142" s="510"/>
      <c r="AJ142" s="641"/>
      <c r="AK142" s="641"/>
      <c r="AL142" s="510"/>
      <c r="AM142" s="629" t="s">
        <v>505</v>
      </c>
      <c r="AN142" s="510"/>
    </row>
    <row r="143" spans="1:40" s="436" customFormat="1" x14ac:dyDescent="0.2">
      <c r="C143" s="674" t="s">
        <v>522</v>
      </c>
      <c r="D143" s="628" t="s">
        <v>8</v>
      </c>
      <c r="E143" s="628" t="s">
        <v>10</v>
      </c>
      <c r="F143" s="628" t="s">
        <v>12</v>
      </c>
      <c r="G143" s="628" t="s">
        <v>14</v>
      </c>
      <c r="H143" s="628" t="s">
        <v>15</v>
      </c>
      <c r="I143" s="628" t="s">
        <v>17</v>
      </c>
      <c r="J143" s="628" t="s">
        <v>19</v>
      </c>
      <c r="K143" s="628" t="s">
        <v>7</v>
      </c>
      <c r="L143" s="628" t="s">
        <v>523</v>
      </c>
      <c r="M143" s="629" t="s">
        <v>178</v>
      </c>
      <c r="N143" s="510"/>
      <c r="O143" s="670" t="s">
        <v>524</v>
      </c>
      <c r="P143" s="661" t="str">
        <f>K143</f>
        <v>SW</v>
      </c>
      <c r="Q143" s="661" t="str">
        <f t="shared" ref="Q143:W143" si="43">D143</f>
        <v>S</v>
      </c>
      <c r="R143" s="661" t="str">
        <f>E143</f>
        <v>SE</v>
      </c>
      <c r="S143" s="661" t="str">
        <f t="shared" si="43"/>
        <v>E</v>
      </c>
      <c r="T143" s="661" t="str">
        <f t="shared" si="43"/>
        <v>NE</v>
      </c>
      <c r="U143" s="661" t="str">
        <f t="shared" si="43"/>
        <v>N</v>
      </c>
      <c r="V143" s="661" t="str">
        <f t="shared" si="43"/>
        <v>NW</v>
      </c>
      <c r="W143" s="661" t="str">
        <f t="shared" si="43"/>
        <v>W</v>
      </c>
      <c r="X143" s="661" t="str">
        <f>L143</f>
        <v>HOR</v>
      </c>
      <c r="Y143" s="661" t="str">
        <f>M143</f>
        <v>Total</v>
      </c>
      <c r="Z143" s="653"/>
      <c r="AA143" s="681" t="s">
        <v>525</v>
      </c>
      <c r="AB143" s="668" t="str">
        <f t="shared" ref="AB143:AK143" si="44">D143</f>
        <v>S</v>
      </c>
      <c r="AC143" s="668" t="str">
        <f t="shared" si="44"/>
        <v>SE</v>
      </c>
      <c r="AD143" s="668" t="str">
        <f t="shared" si="44"/>
        <v>E</v>
      </c>
      <c r="AE143" s="668" t="str">
        <f t="shared" si="44"/>
        <v>NE</v>
      </c>
      <c r="AF143" s="668" t="str">
        <f t="shared" si="44"/>
        <v>N</v>
      </c>
      <c r="AG143" s="668" t="str">
        <f t="shared" si="44"/>
        <v>NW</v>
      </c>
      <c r="AH143" s="668" t="str">
        <f t="shared" si="44"/>
        <v>W</v>
      </c>
      <c r="AI143" s="668" t="str">
        <f t="shared" si="44"/>
        <v>SW</v>
      </c>
      <c r="AJ143" s="668" t="str">
        <f t="shared" si="44"/>
        <v>HOR</v>
      </c>
      <c r="AK143" s="641" t="str">
        <f t="shared" si="44"/>
        <v>Total</v>
      </c>
      <c r="AL143" s="510"/>
      <c r="AM143" s="629" t="s">
        <v>511</v>
      </c>
      <c r="AN143" s="510"/>
    </row>
    <row r="144" spans="1:40" s="436" customFormat="1" x14ac:dyDescent="0.2">
      <c r="C144" s="633" t="s">
        <v>114</v>
      </c>
      <c r="D144" s="632">
        <f ca="1">(D$118*D$119*D$135*Calcs!AI5)*Calcs!$O5</f>
        <v>31343.793517200906</v>
      </c>
      <c r="E144" s="632">
        <f ca="1">(E$118*E$119*E$135*Calcs!AJ5)*Calcs!$O5</f>
        <v>0</v>
      </c>
      <c r="F144" s="632">
        <f ca="1">(F$118*F$119*F$135*Calcs!AK5)*Calcs!$O5</f>
        <v>3804.1195186908953</v>
      </c>
      <c r="G144" s="632">
        <f ca="1">(G$118*G$119*G$135*Calcs!AL5)*Calcs!$O5</f>
        <v>0</v>
      </c>
      <c r="H144" s="632">
        <f ca="1">(H$118*H$119*H$135*Calcs!AM5)*Calcs!$O5</f>
        <v>5756.7500072489865</v>
      </c>
      <c r="I144" s="632">
        <f ca="1">(I$118*I$119*I$135*Calcs!AN5)*Calcs!$O5</f>
        <v>0</v>
      </c>
      <c r="J144" s="632">
        <f ca="1">(J$118*J$119*J$135*Calcs!AO5)*Calcs!$O5</f>
        <v>5209.5190781816627</v>
      </c>
      <c r="K144" s="632">
        <f ca="1">(K$118*K$119*K$135*Calcs!AP5)*Calcs!$O5</f>
        <v>0</v>
      </c>
      <c r="L144" s="632">
        <f ca="1">(L$118*L$119*L$135*Calcs!AQ5)*Calcs!$O5</f>
        <v>0</v>
      </c>
      <c r="M144" s="675">
        <f t="shared" ref="M144:M155" ca="1" si="45">SUM(D144:L144)</f>
        <v>46114.182121322454</v>
      </c>
      <c r="N144" s="510"/>
      <c r="O144" s="651" t="s">
        <v>114</v>
      </c>
      <c r="P144" s="649">
        <f ca="1">(P$118*P$119*P$135*Calcs!AP5)*Calcs!$O5</f>
        <v>0</v>
      </c>
      <c r="Q144" s="649">
        <f ca="1">(Q$118*Q$119*Q$135*Calcs!AI5)*Calcs!$O5</f>
        <v>0</v>
      </c>
      <c r="R144" s="649">
        <f ca="1">(R$118*R$119*R$135*Calcs!AJ5)*Calcs!$O5</f>
        <v>0</v>
      </c>
      <c r="S144" s="649">
        <f ca="1">(S$118*S$119*S$135*Calcs!AK5)*Calcs!$O5</f>
        <v>0</v>
      </c>
      <c r="T144" s="649">
        <f ca="1">(T$118*T$119*T$135*Calcs!AL5)*Calcs!$O5</f>
        <v>0</v>
      </c>
      <c r="U144" s="649">
        <f ca="1">(U$118*U$119*U$135*Calcs!AM5)*Calcs!$O5</f>
        <v>0</v>
      </c>
      <c r="V144" s="649">
        <f ca="1">(V$118*V$119*V$135*Calcs!AN5)*Calcs!$O5</f>
        <v>0</v>
      </c>
      <c r="W144" s="649">
        <f ca="1">(W$118*W$119*W$135*Calcs!AO5)*Calcs!$O5</f>
        <v>0</v>
      </c>
      <c r="X144" s="649">
        <f ca="1">(X$118*X$119*X$135*Calcs!AQ5)*Calcs!$O5</f>
        <v>0</v>
      </c>
      <c r="Y144" s="671">
        <f t="shared" ref="Y144:Y155" ca="1" si="46">SUM(P144:X144)</f>
        <v>0</v>
      </c>
      <c r="Z144" s="653"/>
      <c r="AA144" s="630" t="s">
        <v>114</v>
      </c>
      <c r="AB144" s="632">
        <f ca="1">(AB$135*Calcs!AI5-AB$140*AB$122)*Calcs!$O5</f>
        <v>1605.3666196700269</v>
      </c>
      <c r="AC144" s="632">
        <f ca="1">(AC$135*Calcs!AJ5-AC$140*AC$122)*Calcs!$O5</f>
        <v>0</v>
      </c>
      <c r="AD144" s="632">
        <f ca="1">(AD$135*Calcs!AK5-AD$140*AD$122)*Calcs!$O5</f>
        <v>48.375775884753679</v>
      </c>
      <c r="AE144" s="632">
        <f ca="1">(AE$135*Calcs!AL5-AE$140*AE$122)*Calcs!$O5</f>
        <v>0</v>
      </c>
      <c r="AF144" s="632">
        <f ca="1">(AF$135*Calcs!AM5-AF$140*AF$122)*Calcs!$O5</f>
        <v>-220.33111642824096</v>
      </c>
      <c r="AG144" s="632">
        <f ca="1">(AG$135*Calcs!AN5-AG$140*AG$122)*Calcs!$O5</f>
        <v>0</v>
      </c>
      <c r="AH144" s="632">
        <f ca="1">(AH$135*Calcs!AO5-AH$140*AH$122)*Calcs!$O5</f>
        <v>148.00799447302373</v>
      </c>
      <c r="AI144" s="632">
        <f ca="1">(AI$135*Calcs!AP5-AI$140*AI$122)*Calcs!$O5</f>
        <v>0</v>
      </c>
      <c r="AJ144" s="632">
        <f ca="1">(AJ$135*Calcs!AQ5-AJ$140*AJ$122)*Calcs!$O5</f>
        <v>436.03156633324244</v>
      </c>
      <c r="AK144" s="682">
        <f t="shared" ref="AK144:AK155" ca="1" si="47">SUM(AB144:AJ144)</f>
        <v>2017.4508399328058</v>
      </c>
      <c r="AL144" s="510"/>
      <c r="AM144" s="685">
        <f t="shared" ref="AM144:AM155" ca="1" si="48">M144+Y144+AK144</f>
        <v>48131.632961255258</v>
      </c>
      <c r="AN144" s="510"/>
    </row>
    <row r="145" spans="3:40" s="436" customFormat="1" x14ac:dyDescent="0.2">
      <c r="C145" s="633" t="s">
        <v>115</v>
      </c>
      <c r="D145" s="632">
        <f ca="1">(D$118*D$119*D$135*Calcs!AI6)*Calcs!$O6</f>
        <v>32373.15550791681</v>
      </c>
      <c r="E145" s="632">
        <f ca="1">(E$118*E$119*E$135*Calcs!AJ6)*Calcs!$O6</f>
        <v>0</v>
      </c>
      <c r="F145" s="632">
        <f ca="1">(F$118*F$119*F$135*Calcs!AK6)*Calcs!$O6</f>
        <v>4826.788897600215</v>
      </c>
      <c r="G145" s="632">
        <f ca="1">(G$118*G$119*G$135*Calcs!AL6)*Calcs!$O6</f>
        <v>0</v>
      </c>
      <c r="H145" s="632">
        <f ca="1">(H$118*H$119*H$135*Calcs!AM6)*Calcs!$O6</f>
        <v>7252.4944950702084</v>
      </c>
      <c r="I145" s="632">
        <f ca="1">(I$118*I$119*I$135*Calcs!AN6)*Calcs!$O6</f>
        <v>0</v>
      </c>
      <c r="J145" s="632">
        <f ca="1">(J$118*J$119*J$135*Calcs!AO6)*Calcs!$O6</f>
        <v>6359.8430432101823</v>
      </c>
      <c r="K145" s="632">
        <f ca="1">(K$118*K$119*K$135*Calcs!AP6)*Calcs!$O6</f>
        <v>0</v>
      </c>
      <c r="L145" s="632">
        <f ca="1">(L$118*L$119*L$135*Calcs!AQ6)*Calcs!$O6</f>
        <v>0</v>
      </c>
      <c r="M145" s="675">
        <f t="shared" ca="1" si="45"/>
        <v>50812.281943797418</v>
      </c>
      <c r="N145" s="510"/>
      <c r="O145" s="651" t="s">
        <v>115</v>
      </c>
      <c r="P145" s="649">
        <f ca="1">(P$118*P$119*P$135*Calcs!AP6)*Calcs!$O6</f>
        <v>0</v>
      </c>
      <c r="Q145" s="649">
        <f ca="1">(Q$118*Q$119*Q$135*Calcs!AI6)*Calcs!$O6</f>
        <v>0</v>
      </c>
      <c r="R145" s="649">
        <f ca="1">(R$118*R$119*R$135*Calcs!AJ6)*Calcs!$O6</f>
        <v>0</v>
      </c>
      <c r="S145" s="649">
        <f ca="1">(S$118*S$119*S$135*Calcs!AK6)*Calcs!$O6</f>
        <v>0</v>
      </c>
      <c r="T145" s="649">
        <f ca="1">(T$118*T$119*T$135*Calcs!AL6)*Calcs!$O6</f>
        <v>0</v>
      </c>
      <c r="U145" s="649">
        <f ca="1">(U$118*U$119*U$135*Calcs!AM6)*Calcs!$O6</f>
        <v>0</v>
      </c>
      <c r="V145" s="649">
        <f ca="1">(V$118*V$119*V$135*Calcs!AN6)*Calcs!$O6</f>
        <v>0</v>
      </c>
      <c r="W145" s="649">
        <f ca="1">(W$118*W$119*W$135*Calcs!AO6)*Calcs!$O6</f>
        <v>0</v>
      </c>
      <c r="X145" s="649">
        <f ca="1">(X$118*X$119*X$135*Calcs!AQ6)*Calcs!$O6</f>
        <v>0</v>
      </c>
      <c r="Y145" s="671">
        <f t="shared" ca="1" si="46"/>
        <v>0</v>
      </c>
      <c r="Z145" s="653"/>
      <c r="AA145" s="630" t="s">
        <v>115</v>
      </c>
      <c r="AB145" s="632">
        <f ca="1">(AB$135*Calcs!AI6-AB$140*AB$122)*Calcs!$O6</f>
        <v>1739.8872495391086</v>
      </c>
      <c r="AC145" s="632">
        <f ca="1">(AC$135*Calcs!AJ6-AC$140*AC$122)*Calcs!$O6</f>
        <v>0</v>
      </c>
      <c r="AD145" s="632">
        <f ca="1">(AD$135*Calcs!AK6-AD$140*AD$122)*Calcs!$O6</f>
        <v>142.93192102834664</v>
      </c>
      <c r="AE145" s="632">
        <f ca="1">(AE$135*Calcs!AL6-AE$140*AE$122)*Calcs!$O6</f>
        <v>0</v>
      </c>
      <c r="AF145" s="632">
        <f ca="1">(AF$135*Calcs!AM6-AF$140*AF$122)*Calcs!$O6</f>
        <v>-52.532961987402587</v>
      </c>
      <c r="AG145" s="632">
        <f ca="1">(AG$135*Calcs!AN6-AG$140*AG$122)*Calcs!$O6</f>
        <v>0</v>
      </c>
      <c r="AH145" s="632">
        <f ca="1">(AH$135*Calcs!AO6-AH$140*AH$122)*Calcs!$O6</f>
        <v>251.52985950094074</v>
      </c>
      <c r="AI145" s="632">
        <f ca="1">(AI$135*Calcs!AP6-AI$140*AI$122)*Calcs!$O6</f>
        <v>0</v>
      </c>
      <c r="AJ145" s="632">
        <f ca="1">(AJ$135*Calcs!AQ6-AJ$140*AJ$122)*Calcs!$O6</f>
        <v>4531.5253543304343</v>
      </c>
      <c r="AK145" s="682">
        <f t="shared" ca="1" si="47"/>
        <v>6613.3414224114276</v>
      </c>
      <c r="AL145" s="510"/>
      <c r="AM145" s="685">
        <f t="shared" ca="1" si="48"/>
        <v>57425.623366208849</v>
      </c>
      <c r="AN145" s="510"/>
    </row>
    <row r="146" spans="3:40" s="436" customFormat="1" x14ac:dyDescent="0.2">
      <c r="C146" s="633" t="s">
        <v>116</v>
      </c>
      <c r="D146" s="632">
        <f ca="1">(D$118*D$119*D$135*Calcs!AI7)*Calcs!$O7</f>
        <v>36573.685661727061</v>
      </c>
      <c r="E146" s="632">
        <f ca="1">(E$118*E$119*E$135*Calcs!AJ7)*Calcs!$O7</f>
        <v>0</v>
      </c>
      <c r="F146" s="632">
        <f ca="1">(F$118*F$119*F$135*Calcs!AK7)*Calcs!$O7</f>
        <v>7493.6463331839495</v>
      </c>
      <c r="G146" s="632">
        <f ca="1">(G$118*G$119*G$135*Calcs!AL7)*Calcs!$O7</f>
        <v>0</v>
      </c>
      <c r="H146" s="632">
        <f ca="1">(H$118*H$119*H$135*Calcs!AM7)*Calcs!$O7</f>
        <v>10712.448243955736</v>
      </c>
      <c r="I146" s="632">
        <f ca="1">(I$118*I$119*I$135*Calcs!AN7)*Calcs!$O7</f>
        <v>0</v>
      </c>
      <c r="J146" s="632">
        <f ca="1">(J$118*J$119*J$135*Calcs!AO7)*Calcs!$O7</f>
        <v>8853.0849571536346</v>
      </c>
      <c r="K146" s="632">
        <f ca="1">(K$118*K$119*K$135*Calcs!AP7)*Calcs!$O7</f>
        <v>0</v>
      </c>
      <c r="L146" s="632">
        <f ca="1">(L$118*L$119*L$135*Calcs!AQ7)*Calcs!$O7</f>
        <v>0</v>
      </c>
      <c r="M146" s="675">
        <f t="shared" ca="1" si="45"/>
        <v>63632.865196020386</v>
      </c>
      <c r="N146" s="510"/>
      <c r="O146" s="651" t="s">
        <v>116</v>
      </c>
      <c r="P146" s="649">
        <f ca="1">(P$118*P$119*P$135*Calcs!AP7)*Calcs!$O7</f>
        <v>0</v>
      </c>
      <c r="Q146" s="649">
        <f ca="1">(Q$118*Q$119*Q$135*Calcs!AI7)*Calcs!$O7</f>
        <v>0</v>
      </c>
      <c r="R146" s="649">
        <f ca="1">(R$118*R$119*R$135*Calcs!AJ7)*Calcs!$O7</f>
        <v>0</v>
      </c>
      <c r="S146" s="649">
        <f ca="1">(S$118*S$119*S$135*Calcs!AK7)*Calcs!$O7</f>
        <v>0</v>
      </c>
      <c r="T146" s="649">
        <f ca="1">(T$118*T$119*T$135*Calcs!AL7)*Calcs!$O7</f>
        <v>0</v>
      </c>
      <c r="U146" s="649">
        <f ca="1">(U$118*U$119*U$135*Calcs!AM7)*Calcs!$O7</f>
        <v>0</v>
      </c>
      <c r="V146" s="649">
        <f ca="1">(V$118*V$119*V$135*Calcs!AN7)*Calcs!$O7</f>
        <v>0</v>
      </c>
      <c r="W146" s="649">
        <f ca="1">(W$118*W$119*W$135*Calcs!AO7)*Calcs!$O7</f>
        <v>0</v>
      </c>
      <c r="X146" s="649">
        <f ca="1">(X$118*X$119*X$135*Calcs!AQ7)*Calcs!$O7</f>
        <v>0</v>
      </c>
      <c r="Y146" s="671">
        <f t="shared" ca="1" si="46"/>
        <v>0</v>
      </c>
      <c r="Z146" s="653"/>
      <c r="AA146" s="630" t="s">
        <v>116</v>
      </c>
      <c r="AB146" s="632">
        <f ca="1">(AB$135*Calcs!AI7-AB$140*AB$122)*Calcs!$O7</f>
        <v>1978.5321338720019</v>
      </c>
      <c r="AC146" s="632">
        <f ca="1">(AC$135*Calcs!AJ7-AC$140*AC$122)*Calcs!$O7</f>
        <v>0</v>
      </c>
      <c r="AD146" s="632">
        <f ca="1">(AD$135*Calcs!AK7-AD$140*AD$122)*Calcs!$O7</f>
        <v>311.63248039123221</v>
      </c>
      <c r="AE146" s="632">
        <f ca="1">(AE$135*Calcs!AL7-AE$140*AE$122)*Calcs!$O7</f>
        <v>0</v>
      </c>
      <c r="AF146" s="632">
        <f ca="1">(AF$135*Calcs!AM7-AF$140*AF$122)*Calcs!$O7</f>
        <v>133.26999610446268</v>
      </c>
      <c r="AG146" s="632">
        <f ca="1">(AG$135*Calcs!AN7-AG$140*AG$122)*Calcs!$O7</f>
        <v>0</v>
      </c>
      <c r="AH146" s="632">
        <f ca="1">(AH$135*Calcs!AO7-AH$140*AH$122)*Calcs!$O7</f>
        <v>407.53314013564432</v>
      </c>
      <c r="AI146" s="632">
        <f ca="1">(AI$135*Calcs!AP7-AI$140*AI$122)*Calcs!$O7</f>
        <v>0</v>
      </c>
      <c r="AJ146" s="632">
        <f ca="1">(AJ$135*Calcs!AQ7-AJ$140*AJ$122)*Calcs!$O7</f>
        <v>10982.977434</v>
      </c>
      <c r="AK146" s="682">
        <f t="shared" ca="1" si="47"/>
        <v>13813.945184503342</v>
      </c>
      <c r="AL146" s="510"/>
      <c r="AM146" s="685">
        <f t="shared" ca="1" si="48"/>
        <v>77446.810380523733</v>
      </c>
      <c r="AN146" s="510"/>
    </row>
    <row r="147" spans="3:40" s="436" customFormat="1" x14ac:dyDescent="0.2">
      <c r="C147" s="633" t="s">
        <v>117</v>
      </c>
      <c r="D147" s="632">
        <f ca="1">(D$118*D$119*D$135*Calcs!AI8)*Calcs!$O8</f>
        <v>31360.82335290073</v>
      </c>
      <c r="E147" s="632">
        <f ca="1">(E$118*E$119*E$135*Calcs!AJ8)*Calcs!$O8</f>
        <v>0</v>
      </c>
      <c r="F147" s="632">
        <f ca="1">(F$118*F$119*F$135*Calcs!AK8)*Calcs!$O8</f>
        <v>8976.6880619447238</v>
      </c>
      <c r="G147" s="632">
        <f ca="1">(G$118*G$119*G$135*Calcs!AL8)*Calcs!$O8</f>
        <v>0</v>
      </c>
      <c r="H147" s="632">
        <f ca="1">(H$118*H$119*H$135*Calcs!AM8)*Calcs!$O8</f>
        <v>13102.379537363551</v>
      </c>
      <c r="I147" s="632">
        <f ca="1">(I$118*I$119*I$135*Calcs!AN8)*Calcs!$O8</f>
        <v>0</v>
      </c>
      <c r="J147" s="632">
        <f ca="1">(J$118*J$119*J$135*Calcs!AO8)*Calcs!$O8</f>
        <v>10683.688518242996</v>
      </c>
      <c r="K147" s="632">
        <f ca="1">(K$118*K$119*K$135*Calcs!AP8)*Calcs!$O8</f>
        <v>0</v>
      </c>
      <c r="L147" s="632">
        <f ca="1">(L$118*L$119*L$135*Calcs!AQ8)*Calcs!$O8</f>
        <v>0</v>
      </c>
      <c r="M147" s="675">
        <f t="shared" ca="1" si="45"/>
        <v>64123.579470452001</v>
      </c>
      <c r="N147" s="510"/>
      <c r="O147" s="651" t="s">
        <v>117</v>
      </c>
      <c r="P147" s="649">
        <f ca="1">(P$118*P$119*P$135*Calcs!AP8)*Calcs!$O8</f>
        <v>0</v>
      </c>
      <c r="Q147" s="649">
        <f ca="1">(Q$118*Q$119*Q$135*Calcs!AI8)*Calcs!$O8</f>
        <v>0</v>
      </c>
      <c r="R147" s="649">
        <f ca="1">(R$118*R$119*R$135*Calcs!AJ8)*Calcs!$O8</f>
        <v>0</v>
      </c>
      <c r="S147" s="649">
        <f ca="1">(S$118*S$119*S$135*Calcs!AK8)*Calcs!$O8</f>
        <v>0</v>
      </c>
      <c r="T147" s="649">
        <f ca="1">(T$118*T$119*T$135*Calcs!AL8)*Calcs!$O8</f>
        <v>0</v>
      </c>
      <c r="U147" s="649">
        <f ca="1">(U$118*U$119*U$135*Calcs!AM8)*Calcs!$O8</f>
        <v>0</v>
      </c>
      <c r="V147" s="649">
        <f ca="1">(V$118*V$119*V$135*Calcs!AN8)*Calcs!$O8</f>
        <v>0</v>
      </c>
      <c r="W147" s="649">
        <f ca="1">(W$118*W$119*W$135*Calcs!AO8)*Calcs!$O8</f>
        <v>0</v>
      </c>
      <c r="X147" s="649">
        <f ca="1">(X$118*X$119*X$135*Calcs!AQ8)*Calcs!$O8</f>
        <v>0</v>
      </c>
      <c r="Y147" s="671">
        <f t="shared" ca="1" si="46"/>
        <v>0</v>
      </c>
      <c r="Z147" s="653"/>
      <c r="AA147" s="630" t="s">
        <v>117</v>
      </c>
      <c r="AB147" s="632">
        <f ca="1">(AB$135*Calcs!AI8-AB$140*AB$122)*Calcs!$O8</f>
        <v>1626.9394565913967</v>
      </c>
      <c r="AC147" s="632">
        <f ca="1">(AC$135*Calcs!AJ8-AC$140*AC$122)*Calcs!$O8</f>
        <v>0</v>
      </c>
      <c r="AD147" s="632">
        <f ca="1">(AD$135*Calcs!AK8-AD$140*AD$122)*Calcs!$O8</f>
        <v>424.64651171676064</v>
      </c>
      <c r="AE147" s="632">
        <f ca="1">(AE$135*Calcs!AL8-AE$140*AE$122)*Calcs!$O8</f>
        <v>0</v>
      </c>
      <c r="AF147" s="632">
        <f ca="1">(AF$135*Calcs!AM8-AF$140*AF$122)*Calcs!$O8</f>
        <v>324.15511866120812</v>
      </c>
      <c r="AG147" s="632">
        <f ca="1">(AG$135*Calcs!AN8-AG$140*AG$122)*Calcs!$O8</f>
        <v>0</v>
      </c>
      <c r="AH147" s="632">
        <f ca="1">(AH$135*Calcs!AO8-AH$140*AH$122)*Calcs!$O8</f>
        <v>545.11939108156696</v>
      </c>
      <c r="AI147" s="632">
        <f ca="1">(AI$135*Calcs!AP8-AI$140*AI$122)*Calcs!$O8</f>
        <v>0</v>
      </c>
      <c r="AJ147" s="632">
        <f ca="1">(AJ$135*Calcs!AQ8-AJ$140*AJ$122)*Calcs!$O8</f>
        <v>16445.878787895654</v>
      </c>
      <c r="AK147" s="682">
        <f t="shared" ca="1" si="47"/>
        <v>19366.739265946584</v>
      </c>
      <c r="AL147" s="510"/>
      <c r="AM147" s="685">
        <f t="shared" ca="1" si="48"/>
        <v>83490.318736398593</v>
      </c>
      <c r="AN147" s="510"/>
    </row>
    <row r="148" spans="3:40" s="436" customFormat="1" x14ac:dyDescent="0.2">
      <c r="C148" s="633" t="s">
        <v>118</v>
      </c>
      <c r="D148" s="632">
        <f ca="1">(D$118*D$119*D$135*Calcs!AI9)*Calcs!$O9</f>
        <v>33066.548898966706</v>
      </c>
      <c r="E148" s="632">
        <f ca="1">(E$118*E$119*E$135*Calcs!AJ9)*Calcs!$O9</f>
        <v>0</v>
      </c>
      <c r="F148" s="632">
        <f ca="1">(F$118*F$119*F$135*Calcs!AK9)*Calcs!$O9</f>
        <v>12196.819348490148</v>
      </c>
      <c r="G148" s="632">
        <f ca="1">(G$118*G$119*G$135*Calcs!AL9)*Calcs!$O9</f>
        <v>0</v>
      </c>
      <c r="H148" s="632">
        <f ca="1">(H$118*H$119*H$135*Calcs!AM9)*Calcs!$O9</f>
        <v>19151.803993642487</v>
      </c>
      <c r="I148" s="632">
        <f ca="1">(I$118*I$119*I$135*Calcs!AN9)*Calcs!$O9</f>
        <v>0</v>
      </c>
      <c r="J148" s="632">
        <f ca="1">(J$118*J$119*J$135*Calcs!AO9)*Calcs!$O9</f>
        <v>14068.832841246554</v>
      </c>
      <c r="K148" s="632">
        <f ca="1">(K$118*K$119*K$135*Calcs!AP9)*Calcs!$O9</f>
        <v>0</v>
      </c>
      <c r="L148" s="632">
        <f ca="1">(L$118*L$119*L$135*Calcs!AQ9)*Calcs!$O9</f>
        <v>0</v>
      </c>
      <c r="M148" s="675">
        <f t="shared" ca="1" si="45"/>
        <v>78484.005082345888</v>
      </c>
      <c r="N148" s="510"/>
      <c r="O148" s="651" t="s">
        <v>118</v>
      </c>
      <c r="P148" s="649">
        <f ca="1">(P$118*P$119*P$135*Calcs!AP9)*Calcs!$O9</f>
        <v>0</v>
      </c>
      <c r="Q148" s="649">
        <f ca="1">(Q$118*Q$119*Q$135*Calcs!AI9)*Calcs!$O9</f>
        <v>0</v>
      </c>
      <c r="R148" s="649">
        <f ca="1">(R$118*R$119*R$135*Calcs!AJ9)*Calcs!$O9</f>
        <v>0</v>
      </c>
      <c r="S148" s="649">
        <f ca="1">(S$118*S$119*S$135*Calcs!AK9)*Calcs!$O9</f>
        <v>0</v>
      </c>
      <c r="T148" s="649">
        <f ca="1">(T$118*T$119*T$135*Calcs!AL9)*Calcs!$O9</f>
        <v>0</v>
      </c>
      <c r="U148" s="649">
        <f ca="1">(U$118*U$119*U$135*Calcs!AM9)*Calcs!$O9</f>
        <v>0</v>
      </c>
      <c r="V148" s="649">
        <f ca="1">(V$118*V$119*V$135*Calcs!AN9)*Calcs!$O9</f>
        <v>0</v>
      </c>
      <c r="W148" s="649">
        <f ca="1">(W$118*W$119*W$135*Calcs!AO9)*Calcs!$O9</f>
        <v>0</v>
      </c>
      <c r="X148" s="649">
        <f ca="1">(X$118*X$119*X$135*Calcs!AQ9)*Calcs!$O9</f>
        <v>0</v>
      </c>
      <c r="Y148" s="671">
        <f t="shared" ca="1" si="46"/>
        <v>0</v>
      </c>
      <c r="Z148" s="653"/>
      <c r="AA148" s="630" t="s">
        <v>118</v>
      </c>
      <c r="AB148" s="632">
        <f ca="1">(AB$135*Calcs!AI9-AB$140*AB$122)*Calcs!$O9</f>
        <v>1728.2894028011697</v>
      </c>
      <c r="AC148" s="632">
        <f ca="1">(AC$135*Calcs!AJ9-AC$140*AC$122)*Calcs!$O9</f>
        <v>0</v>
      </c>
      <c r="AD148" s="632">
        <f ca="1">(AD$135*Calcs!AK9-AD$140*AD$122)*Calcs!$O9</f>
        <v>647.21530468991659</v>
      </c>
      <c r="AE148" s="632">
        <f ca="1">(AE$135*Calcs!AL9-AE$140*AE$122)*Calcs!$O9</f>
        <v>0</v>
      </c>
      <c r="AF148" s="632">
        <f ca="1">(AF$135*Calcs!AM9-AF$140*AF$122)*Calcs!$O9</f>
        <v>735.43853817687</v>
      </c>
      <c r="AG148" s="632">
        <f ca="1">(AG$135*Calcs!AN9-AG$140*AG$122)*Calcs!$O9</f>
        <v>0</v>
      </c>
      <c r="AH148" s="632">
        <f ca="1">(AH$135*Calcs!AO9-AH$140*AH$122)*Calcs!$O9</f>
        <v>779.04219865735888</v>
      </c>
      <c r="AI148" s="632">
        <f ca="1">(AI$135*Calcs!AP9-AI$140*AI$122)*Calcs!$O9</f>
        <v>0</v>
      </c>
      <c r="AJ148" s="632">
        <f ca="1">(AJ$135*Calcs!AQ9-AJ$140*AJ$122)*Calcs!$O9</f>
        <v>26960.801670469566</v>
      </c>
      <c r="AK148" s="682">
        <f t="shared" ca="1" si="47"/>
        <v>30850.787114794879</v>
      </c>
      <c r="AL148" s="510"/>
      <c r="AM148" s="685">
        <f t="shared" ca="1" si="48"/>
        <v>109334.79219714076</v>
      </c>
      <c r="AN148" s="510"/>
    </row>
    <row r="149" spans="3:40" s="436" customFormat="1" x14ac:dyDescent="0.2">
      <c r="C149" s="633" t="s">
        <v>119</v>
      </c>
      <c r="D149" s="632">
        <f ca="1">(D$118*D$119*D$135*Calcs!AI10)*Calcs!$O10</f>
        <v>29311.326487277765</v>
      </c>
      <c r="E149" s="632">
        <f ca="1">(E$118*E$119*E$135*Calcs!AJ10)*Calcs!$O10</f>
        <v>0</v>
      </c>
      <c r="F149" s="632">
        <f ca="1">(F$118*F$119*F$135*Calcs!AK10)*Calcs!$O10</f>
        <v>12670.651128522293</v>
      </c>
      <c r="G149" s="632">
        <f ca="1">(G$118*G$119*G$135*Calcs!AL10)*Calcs!$O10</f>
        <v>0</v>
      </c>
      <c r="H149" s="632">
        <f ca="1">(H$118*H$119*H$135*Calcs!AM10)*Calcs!$O10</f>
        <v>21295.652113709362</v>
      </c>
      <c r="I149" s="632">
        <f ca="1">(I$118*I$119*I$135*Calcs!AN10)*Calcs!$O10</f>
        <v>0</v>
      </c>
      <c r="J149" s="632">
        <f ca="1">(J$118*J$119*J$135*Calcs!AO10)*Calcs!$O10</f>
        <v>14121.766594828197</v>
      </c>
      <c r="K149" s="632">
        <f ca="1">(K$118*K$119*K$135*Calcs!AP10)*Calcs!$O10</f>
        <v>0</v>
      </c>
      <c r="L149" s="632">
        <f ca="1">(L$118*L$119*L$135*Calcs!AQ10)*Calcs!$O10</f>
        <v>0</v>
      </c>
      <c r="M149" s="675">
        <f t="shared" ca="1" si="45"/>
        <v>77399.39632433762</v>
      </c>
      <c r="N149" s="510"/>
      <c r="O149" s="651" t="s">
        <v>119</v>
      </c>
      <c r="P149" s="649">
        <f ca="1">(P$118*P$119*P$135*Calcs!AP10)*Calcs!$O10</f>
        <v>0</v>
      </c>
      <c r="Q149" s="649">
        <f ca="1">(Q$118*Q$119*Q$135*Calcs!AI10)*Calcs!$O10</f>
        <v>0</v>
      </c>
      <c r="R149" s="649">
        <f ca="1">(R$118*R$119*R$135*Calcs!AJ10)*Calcs!$O10</f>
        <v>0</v>
      </c>
      <c r="S149" s="649">
        <f ca="1">(S$118*S$119*S$135*Calcs!AK10)*Calcs!$O10</f>
        <v>0</v>
      </c>
      <c r="T149" s="649">
        <f ca="1">(T$118*T$119*T$135*Calcs!AL10)*Calcs!$O10</f>
        <v>0</v>
      </c>
      <c r="U149" s="649">
        <f ca="1">(U$118*U$119*U$135*Calcs!AM10)*Calcs!$O10</f>
        <v>0</v>
      </c>
      <c r="V149" s="649">
        <f ca="1">(V$118*V$119*V$135*Calcs!AN10)*Calcs!$O10</f>
        <v>0</v>
      </c>
      <c r="W149" s="649">
        <f ca="1">(W$118*W$119*W$135*Calcs!AO10)*Calcs!$O10</f>
        <v>0</v>
      </c>
      <c r="X149" s="649">
        <f ca="1">(X$118*X$119*X$135*Calcs!AQ10)*Calcs!$O10</f>
        <v>0</v>
      </c>
      <c r="Y149" s="671">
        <f t="shared" ca="1" si="46"/>
        <v>0</v>
      </c>
      <c r="Z149" s="653"/>
      <c r="AA149" s="630" t="s">
        <v>119</v>
      </c>
      <c r="AB149" s="632">
        <f ca="1">(AB$135*Calcs!AI10-AB$140*AB$122)*Calcs!$O10</f>
        <v>1480.7028745395078</v>
      </c>
      <c r="AC149" s="632">
        <f ca="1">(AC$135*Calcs!AJ10-AC$140*AC$122)*Calcs!$O10</f>
        <v>0</v>
      </c>
      <c r="AD149" s="632">
        <f ca="1">(AD$135*Calcs!AK10-AD$140*AD$122)*Calcs!$O10</f>
        <v>688.21975359045427</v>
      </c>
      <c r="AE149" s="632">
        <f ca="1">(AE$135*Calcs!AL10-AE$140*AE$122)*Calcs!$O10</f>
        <v>0</v>
      </c>
      <c r="AF149" s="632">
        <f ca="1">(AF$135*Calcs!AM10-AF$140*AF$122)*Calcs!$O10</f>
        <v>908.76502828412254</v>
      </c>
      <c r="AG149" s="632">
        <f ca="1">(AG$135*Calcs!AN10-AG$140*AG$122)*Calcs!$O10</f>
        <v>0</v>
      </c>
      <c r="AH149" s="632">
        <f ca="1">(AH$135*Calcs!AO10-AH$140*AH$122)*Calcs!$O10</f>
        <v>790.00798189167449</v>
      </c>
      <c r="AI149" s="632">
        <f ca="1">(AI$135*Calcs!AP10-AI$140*AI$122)*Calcs!$O10</f>
        <v>0</v>
      </c>
      <c r="AJ149" s="632">
        <f ca="1">(AJ$135*Calcs!AQ10-AJ$140*AJ$122)*Calcs!$O10</f>
        <v>28027.956755739135</v>
      </c>
      <c r="AK149" s="682">
        <f t="shared" ca="1" si="47"/>
        <v>31895.652394044893</v>
      </c>
      <c r="AL149" s="510"/>
      <c r="AM149" s="685">
        <f t="shared" ca="1" si="48"/>
        <v>109295.04871838252</v>
      </c>
      <c r="AN149" s="510"/>
    </row>
    <row r="150" spans="3:40" s="436" customFormat="1" x14ac:dyDescent="0.2">
      <c r="C150" s="633" t="s">
        <v>120</v>
      </c>
      <c r="D150" s="632">
        <f ca="1">(D$118*D$119*D$135*Calcs!AI11)*Calcs!$O11</f>
        <v>32552.177067961438</v>
      </c>
      <c r="E150" s="632">
        <f ca="1">(E$118*E$119*E$135*Calcs!AJ11)*Calcs!$O11</f>
        <v>0</v>
      </c>
      <c r="F150" s="632">
        <f ca="1">(F$118*F$119*F$135*Calcs!AK11)*Calcs!$O11</f>
        <v>12441.842764432695</v>
      </c>
      <c r="G150" s="632">
        <f ca="1">(G$118*G$119*G$135*Calcs!AL11)*Calcs!$O11</f>
        <v>0</v>
      </c>
      <c r="H150" s="632">
        <f ca="1">(H$118*H$119*H$135*Calcs!AM11)*Calcs!$O11</f>
        <v>21277.864302302391</v>
      </c>
      <c r="I150" s="632">
        <f ca="1">(I$118*I$119*I$135*Calcs!AN11)*Calcs!$O11</f>
        <v>0</v>
      </c>
      <c r="J150" s="632">
        <f ca="1">(J$118*J$119*J$135*Calcs!AO11)*Calcs!$O11</f>
        <v>14715.679182392107</v>
      </c>
      <c r="K150" s="632">
        <f ca="1">(K$118*K$119*K$135*Calcs!AP11)*Calcs!$O11</f>
        <v>0</v>
      </c>
      <c r="L150" s="632">
        <f ca="1">(L$118*L$119*L$135*Calcs!AQ11)*Calcs!$O11</f>
        <v>0</v>
      </c>
      <c r="M150" s="675">
        <f t="shared" ca="1" si="45"/>
        <v>80987.563317088629</v>
      </c>
      <c r="N150" s="510"/>
      <c r="O150" s="651" t="s">
        <v>120</v>
      </c>
      <c r="P150" s="649">
        <f ca="1">(P$118*P$119*P$135*Calcs!AP11)*Calcs!$O11</f>
        <v>0</v>
      </c>
      <c r="Q150" s="649">
        <f ca="1">(Q$118*Q$119*Q$135*Calcs!AI11)*Calcs!$O11</f>
        <v>0</v>
      </c>
      <c r="R150" s="649">
        <f ca="1">(R$118*R$119*R$135*Calcs!AJ11)*Calcs!$O11</f>
        <v>0</v>
      </c>
      <c r="S150" s="649">
        <f ca="1">(S$118*S$119*S$135*Calcs!AK11)*Calcs!$O11</f>
        <v>0</v>
      </c>
      <c r="T150" s="649">
        <f ca="1">(T$118*T$119*T$135*Calcs!AL11)*Calcs!$O11</f>
        <v>0</v>
      </c>
      <c r="U150" s="649">
        <f ca="1">(U$118*U$119*U$135*Calcs!AM11)*Calcs!$O11</f>
        <v>0</v>
      </c>
      <c r="V150" s="649">
        <f ca="1">(V$118*V$119*V$135*Calcs!AN11)*Calcs!$O11</f>
        <v>0</v>
      </c>
      <c r="W150" s="649">
        <f ca="1">(W$118*W$119*W$135*Calcs!AO11)*Calcs!$O11</f>
        <v>0</v>
      </c>
      <c r="X150" s="649">
        <f ca="1">(X$118*X$119*X$135*Calcs!AQ11)*Calcs!$O11</f>
        <v>0</v>
      </c>
      <c r="Y150" s="671">
        <f t="shared" ca="1" si="46"/>
        <v>0</v>
      </c>
      <c r="Z150" s="653"/>
      <c r="AA150" s="630" t="s">
        <v>120</v>
      </c>
      <c r="AB150" s="632">
        <f ca="1">(AB$135*Calcs!AI11-AB$140*AB$122)*Calcs!$O11</f>
        <v>1691.5877226319158</v>
      </c>
      <c r="AC150" s="632">
        <f ca="1">(AC$135*Calcs!AJ11-AC$140*AC$122)*Calcs!$O11</f>
        <v>0</v>
      </c>
      <c r="AD150" s="632">
        <f ca="1">(AD$135*Calcs!AK11-AD$140*AD$122)*Calcs!$O11</f>
        <v>664.69832087361056</v>
      </c>
      <c r="AE150" s="632">
        <f ca="1">(AE$135*Calcs!AL11-AE$140*AE$122)*Calcs!$O11</f>
        <v>0</v>
      </c>
      <c r="AF150" s="632">
        <f ca="1">(AF$135*Calcs!AM11-AF$140*AF$122)*Calcs!$O11</f>
        <v>887.13810795401434</v>
      </c>
      <c r="AG150" s="632">
        <f ca="1">(AG$135*Calcs!AN11-AG$140*AG$122)*Calcs!$O11</f>
        <v>0</v>
      </c>
      <c r="AH150" s="632">
        <f ca="1">(AH$135*Calcs!AO11-AH$140*AH$122)*Calcs!$O11</f>
        <v>825.11598913716705</v>
      </c>
      <c r="AI150" s="632">
        <f ca="1">(AI$135*Calcs!AP11-AI$140*AI$122)*Calcs!$O11</f>
        <v>0</v>
      </c>
      <c r="AJ150" s="632">
        <f ca="1">(AJ$135*Calcs!AQ11-AJ$140*AJ$122)*Calcs!$O11</f>
        <v>28226.718056347825</v>
      </c>
      <c r="AK150" s="682">
        <f t="shared" ca="1" si="47"/>
        <v>32295.258196944531</v>
      </c>
      <c r="AL150" s="510"/>
      <c r="AM150" s="685">
        <f t="shared" ca="1" si="48"/>
        <v>113282.82151403316</v>
      </c>
      <c r="AN150" s="510"/>
    </row>
    <row r="151" spans="3:40" s="436" customFormat="1" x14ac:dyDescent="0.2">
      <c r="C151" s="633" t="s">
        <v>121</v>
      </c>
      <c r="D151" s="632">
        <f ca="1">(D$118*D$119*D$135*Calcs!AI12)*Calcs!$O12</f>
        <v>34044.44009530139</v>
      </c>
      <c r="E151" s="632">
        <f ca="1">(E$118*E$119*E$135*Calcs!AJ12)*Calcs!$O12</f>
        <v>0</v>
      </c>
      <c r="F151" s="632">
        <f ca="1">(F$118*F$119*F$135*Calcs!AK12)*Calcs!$O12</f>
        <v>10940.952320209841</v>
      </c>
      <c r="G151" s="632">
        <f ca="1">(G$118*G$119*G$135*Calcs!AL12)*Calcs!$O12</f>
        <v>0</v>
      </c>
      <c r="H151" s="632">
        <f ca="1">(H$118*H$119*H$135*Calcs!AM12)*Calcs!$O12</f>
        <v>16574.185780086202</v>
      </c>
      <c r="I151" s="632">
        <f ca="1">(I$118*I$119*I$135*Calcs!AN12)*Calcs!$O12</f>
        <v>0</v>
      </c>
      <c r="J151" s="632">
        <f ca="1">(J$118*J$119*J$135*Calcs!AO12)*Calcs!$O12</f>
        <v>12697.771568793807</v>
      </c>
      <c r="K151" s="632">
        <f ca="1">(K$118*K$119*K$135*Calcs!AP12)*Calcs!$O12</f>
        <v>0</v>
      </c>
      <c r="L151" s="632">
        <f ca="1">(L$118*L$119*L$135*Calcs!AQ12)*Calcs!$O12</f>
        <v>0</v>
      </c>
      <c r="M151" s="675">
        <f t="shared" ca="1" si="45"/>
        <v>74257.349764391241</v>
      </c>
      <c r="N151" s="510"/>
      <c r="O151" s="651" t="s">
        <v>121</v>
      </c>
      <c r="P151" s="649">
        <f ca="1">(P$118*P$119*P$135*Calcs!AP12)*Calcs!$O12</f>
        <v>0</v>
      </c>
      <c r="Q151" s="649">
        <f ca="1">(Q$118*Q$119*Q$135*Calcs!AI12)*Calcs!$O12</f>
        <v>0</v>
      </c>
      <c r="R151" s="649">
        <f ca="1">(R$118*R$119*R$135*Calcs!AJ12)*Calcs!$O12</f>
        <v>0</v>
      </c>
      <c r="S151" s="649">
        <f ca="1">(S$118*S$119*S$135*Calcs!AK12)*Calcs!$O12</f>
        <v>0</v>
      </c>
      <c r="T151" s="649">
        <f ca="1">(T$118*T$119*T$135*Calcs!AL12)*Calcs!$O12</f>
        <v>0</v>
      </c>
      <c r="U151" s="649">
        <f ca="1">(U$118*U$119*U$135*Calcs!AM12)*Calcs!$O12</f>
        <v>0</v>
      </c>
      <c r="V151" s="649">
        <f ca="1">(V$118*V$119*V$135*Calcs!AN12)*Calcs!$O12</f>
        <v>0</v>
      </c>
      <c r="W151" s="649">
        <f ca="1">(W$118*W$119*W$135*Calcs!AO12)*Calcs!$O12</f>
        <v>0</v>
      </c>
      <c r="X151" s="649">
        <f ca="1">(X$118*X$119*X$135*Calcs!AQ12)*Calcs!$O12</f>
        <v>0</v>
      </c>
      <c r="Y151" s="671">
        <f t="shared" ca="1" si="46"/>
        <v>0</v>
      </c>
      <c r="Z151" s="653"/>
      <c r="AA151" s="630" t="s">
        <v>121</v>
      </c>
      <c r="AB151" s="632">
        <f ca="1">(AB$135*Calcs!AI12-AB$140*AB$122)*Calcs!$O12</f>
        <v>1798.0643161319838</v>
      </c>
      <c r="AC151" s="632">
        <f ca="1">(AC$135*Calcs!AJ12-AC$140*AC$122)*Calcs!$O12</f>
        <v>0</v>
      </c>
      <c r="AD151" s="632">
        <f ca="1">(AD$135*Calcs!AK12-AD$140*AD$122)*Calcs!$O12</f>
        <v>557.60614021258914</v>
      </c>
      <c r="AE151" s="632">
        <f ca="1">(AE$135*Calcs!AL12-AE$140*AE$122)*Calcs!$O12</f>
        <v>0</v>
      </c>
      <c r="AF151" s="632">
        <f ca="1">(AF$135*Calcs!AM12-AF$140*AF$122)*Calcs!$O12</f>
        <v>551.51921450881832</v>
      </c>
      <c r="AG151" s="632">
        <f ca="1">(AG$135*Calcs!AN12-AG$140*AG$122)*Calcs!$O12</f>
        <v>0</v>
      </c>
      <c r="AH151" s="632">
        <f ca="1">(AH$135*Calcs!AO12-AH$140*AH$122)*Calcs!$O12</f>
        <v>681.38378152834775</v>
      </c>
      <c r="AI151" s="632">
        <f ca="1">(AI$135*Calcs!AP12-AI$140*AI$122)*Calcs!$O12</f>
        <v>0</v>
      </c>
      <c r="AJ151" s="632">
        <f ca="1">(AJ$135*Calcs!AQ12-AJ$140*AJ$122)*Calcs!$O12</f>
        <v>21828.840059895654</v>
      </c>
      <c r="AK151" s="682">
        <f t="shared" ca="1" si="47"/>
        <v>25417.413512277395</v>
      </c>
      <c r="AL151" s="510"/>
      <c r="AM151" s="685">
        <f t="shared" ca="1" si="48"/>
        <v>99674.763276668644</v>
      </c>
      <c r="AN151" s="510"/>
    </row>
    <row r="152" spans="3:40" s="436" customFormat="1" x14ac:dyDescent="0.2">
      <c r="C152" s="633" t="s">
        <v>122</v>
      </c>
      <c r="D152" s="632">
        <f ca="1">(D$118*D$119*D$135*Calcs!AI13)*Calcs!$O13</f>
        <v>37112.638789913653</v>
      </c>
      <c r="E152" s="632">
        <f ca="1">(E$118*E$119*E$135*Calcs!AJ13)*Calcs!$O13</f>
        <v>0</v>
      </c>
      <c r="F152" s="632">
        <f ca="1">(F$118*F$119*F$135*Calcs!AK13)*Calcs!$O13</f>
        <v>8813.9059605861712</v>
      </c>
      <c r="G152" s="632">
        <f ca="1">(G$118*G$119*G$135*Calcs!AL13)*Calcs!$O13</f>
        <v>0</v>
      </c>
      <c r="H152" s="632">
        <f ca="1">(H$118*H$119*H$135*Calcs!AM13)*Calcs!$O13</f>
        <v>11579.918138630826</v>
      </c>
      <c r="I152" s="632">
        <f ca="1">(I$118*I$119*I$135*Calcs!AN13)*Calcs!$O13</f>
        <v>0</v>
      </c>
      <c r="J152" s="632">
        <f ca="1">(J$118*J$119*J$135*Calcs!AO13)*Calcs!$O13</f>
        <v>10191.021828617799</v>
      </c>
      <c r="K152" s="632">
        <f ca="1">(K$118*K$119*K$135*Calcs!AP13)*Calcs!$O13</f>
        <v>0</v>
      </c>
      <c r="L152" s="632">
        <f ca="1">(L$118*L$119*L$135*Calcs!AQ13)*Calcs!$O13</f>
        <v>0</v>
      </c>
      <c r="M152" s="675">
        <f t="shared" ca="1" si="45"/>
        <v>67697.484717748448</v>
      </c>
      <c r="N152" s="510"/>
      <c r="O152" s="651" t="s">
        <v>122</v>
      </c>
      <c r="P152" s="649">
        <f ca="1">(P$118*P$119*P$135*Calcs!AP13)*Calcs!$O13</f>
        <v>0</v>
      </c>
      <c r="Q152" s="649">
        <f ca="1">(Q$118*Q$119*Q$135*Calcs!AI13)*Calcs!$O13</f>
        <v>0</v>
      </c>
      <c r="R152" s="649">
        <f ca="1">(R$118*R$119*R$135*Calcs!AJ13)*Calcs!$O13</f>
        <v>0</v>
      </c>
      <c r="S152" s="649">
        <f ca="1">(S$118*S$119*S$135*Calcs!AK13)*Calcs!$O13</f>
        <v>0</v>
      </c>
      <c r="T152" s="649">
        <f ca="1">(T$118*T$119*T$135*Calcs!AL13)*Calcs!$O13</f>
        <v>0</v>
      </c>
      <c r="U152" s="649">
        <f ca="1">(U$118*U$119*U$135*Calcs!AM13)*Calcs!$O13</f>
        <v>0</v>
      </c>
      <c r="V152" s="649">
        <f ca="1">(V$118*V$119*V$135*Calcs!AN13)*Calcs!$O13</f>
        <v>0</v>
      </c>
      <c r="W152" s="649">
        <f ca="1">(W$118*W$119*W$135*Calcs!AO13)*Calcs!$O13</f>
        <v>0</v>
      </c>
      <c r="X152" s="649">
        <f ca="1">(X$118*X$119*X$135*Calcs!AQ13)*Calcs!$O13</f>
        <v>0</v>
      </c>
      <c r="Y152" s="671">
        <f t="shared" ca="1" si="46"/>
        <v>0</v>
      </c>
      <c r="Z152" s="653"/>
      <c r="AA152" s="630" t="s">
        <v>122</v>
      </c>
      <c r="AB152" s="632">
        <f ca="1">(AB$135*Calcs!AI13-AB$140*AB$122)*Calcs!$O13</f>
        <v>2037.3454660909015</v>
      </c>
      <c r="AC152" s="632">
        <f ca="1">(AC$135*Calcs!AJ13-AC$140*AC$122)*Calcs!$O13</f>
        <v>0</v>
      </c>
      <c r="AD152" s="632">
        <f ca="1">(AD$135*Calcs!AK13-AD$140*AD$122)*Calcs!$O13</f>
        <v>413.03161319157397</v>
      </c>
      <c r="AE152" s="632">
        <f ca="1">(AE$135*Calcs!AL13-AE$140*AE$122)*Calcs!$O13</f>
        <v>0</v>
      </c>
      <c r="AF152" s="632">
        <f ca="1">(AF$135*Calcs!AM13-AF$140*AF$122)*Calcs!$O13</f>
        <v>215.52379797414824</v>
      </c>
      <c r="AG152" s="632">
        <f ca="1">(AG$135*Calcs!AN13-AG$140*AG$122)*Calcs!$O13</f>
        <v>0</v>
      </c>
      <c r="AH152" s="632">
        <f ca="1">(AH$135*Calcs!AO13-AH$140*AH$122)*Calcs!$O13</f>
        <v>510.02756108996107</v>
      </c>
      <c r="AI152" s="632">
        <f ca="1">(AI$135*Calcs!AP13-AI$140*AI$122)*Calcs!$O13</f>
        <v>0</v>
      </c>
      <c r="AJ152" s="632">
        <f ca="1">(AJ$135*Calcs!AQ13-AJ$140*AJ$122)*Calcs!$O13</f>
        <v>15217.159367113045</v>
      </c>
      <c r="AK152" s="682">
        <f t="shared" ca="1" si="47"/>
        <v>18393.087805459629</v>
      </c>
      <c r="AL152" s="510"/>
      <c r="AM152" s="685">
        <f t="shared" ca="1" si="48"/>
        <v>86090.572523208073</v>
      </c>
      <c r="AN152" s="510"/>
    </row>
    <row r="153" spans="3:40" s="436" customFormat="1" x14ac:dyDescent="0.2">
      <c r="C153" s="633" t="s">
        <v>123</v>
      </c>
      <c r="D153" s="632">
        <f ca="1">(D$118*D$119*D$135*Calcs!AI14)*Calcs!$O14</f>
        <v>38290.723544424123</v>
      </c>
      <c r="E153" s="632">
        <f ca="1">(E$118*E$119*E$135*Calcs!AJ14)*Calcs!$O14</f>
        <v>0</v>
      </c>
      <c r="F153" s="632">
        <f ca="1">(F$118*F$119*F$135*Calcs!AK14)*Calcs!$O14</f>
        <v>6558.1205976852925</v>
      </c>
      <c r="G153" s="632">
        <f ca="1">(G$118*G$119*G$135*Calcs!AL14)*Calcs!$O14</f>
        <v>0</v>
      </c>
      <c r="H153" s="632">
        <f ca="1">(H$118*H$119*H$135*Calcs!AM14)*Calcs!$O14</f>
        <v>8643.2431100279737</v>
      </c>
      <c r="I153" s="632">
        <f ca="1">(I$118*I$119*I$135*Calcs!AN14)*Calcs!$O14</f>
        <v>0</v>
      </c>
      <c r="J153" s="632">
        <f ca="1">(J$118*J$119*J$135*Calcs!AO14)*Calcs!$O14</f>
        <v>7774.7503377921021</v>
      </c>
      <c r="K153" s="632">
        <f ca="1">(K$118*K$119*K$135*Calcs!AP14)*Calcs!$O14</f>
        <v>0</v>
      </c>
      <c r="L153" s="632">
        <f ca="1">(L$118*L$119*L$135*Calcs!AQ14)*Calcs!$O14</f>
        <v>0</v>
      </c>
      <c r="M153" s="675">
        <f t="shared" ca="1" si="45"/>
        <v>61266.837589929492</v>
      </c>
      <c r="N153" s="510"/>
      <c r="O153" s="651" t="s">
        <v>123</v>
      </c>
      <c r="P153" s="649">
        <f ca="1">(P$118*P$119*P$135*Calcs!AP14)*Calcs!$O14</f>
        <v>0</v>
      </c>
      <c r="Q153" s="649">
        <f ca="1">(Q$118*Q$119*Q$135*Calcs!AI14)*Calcs!$O14</f>
        <v>0</v>
      </c>
      <c r="R153" s="649">
        <f ca="1">(R$118*R$119*R$135*Calcs!AJ14)*Calcs!$O14</f>
        <v>0</v>
      </c>
      <c r="S153" s="649">
        <f ca="1">(S$118*S$119*S$135*Calcs!AK14)*Calcs!$O14</f>
        <v>0</v>
      </c>
      <c r="T153" s="649">
        <f ca="1">(T$118*T$119*T$135*Calcs!AL14)*Calcs!$O14</f>
        <v>0</v>
      </c>
      <c r="U153" s="649">
        <f ca="1">(U$118*U$119*U$135*Calcs!AM14)*Calcs!$O14</f>
        <v>0</v>
      </c>
      <c r="V153" s="649">
        <f ca="1">(V$118*V$119*V$135*Calcs!AN14)*Calcs!$O14</f>
        <v>0</v>
      </c>
      <c r="W153" s="649">
        <f ca="1">(W$118*W$119*W$135*Calcs!AO14)*Calcs!$O14</f>
        <v>0</v>
      </c>
      <c r="X153" s="649">
        <f ca="1">(X$118*X$119*X$135*Calcs!AQ14)*Calcs!$O14</f>
        <v>0</v>
      </c>
      <c r="Y153" s="671">
        <f t="shared" ca="1" si="46"/>
        <v>0</v>
      </c>
      <c r="Z153" s="653"/>
      <c r="AA153" s="630" t="s">
        <v>123</v>
      </c>
      <c r="AB153" s="632">
        <f ca="1">(AB$135*Calcs!AI14-AB$140*AB$122)*Calcs!$O14</f>
        <v>2101.0469595499171</v>
      </c>
      <c r="AC153" s="632">
        <f ca="1">(AC$135*Calcs!AJ14-AC$140*AC$122)*Calcs!$O14</f>
        <v>0</v>
      </c>
      <c r="AD153" s="632">
        <f ca="1">(AD$135*Calcs!AK14-AD$140*AD$122)*Calcs!$O14</f>
        <v>244.88044564766156</v>
      </c>
      <c r="AE153" s="632">
        <f ca="1">(AE$135*Calcs!AL14-AE$140*AE$122)*Calcs!$O14</f>
        <v>0</v>
      </c>
      <c r="AF153" s="632">
        <f ca="1">(AF$135*Calcs!AM14-AF$140*AF$122)*Calcs!$O14</f>
        <v>-14.372818786030647</v>
      </c>
      <c r="AG153" s="632">
        <f ca="1">(AG$135*Calcs!AN14-AG$140*AG$122)*Calcs!$O14</f>
        <v>0</v>
      </c>
      <c r="AH153" s="632">
        <f ca="1">(AH$135*Calcs!AO14-AH$140*AH$122)*Calcs!$O14</f>
        <v>330.72515629268202</v>
      </c>
      <c r="AI153" s="632">
        <f ca="1">(AI$135*Calcs!AP14-AI$140*AI$122)*Calcs!$O14</f>
        <v>0</v>
      </c>
      <c r="AJ153" s="632">
        <f ca="1">(AJ$135*Calcs!AQ14-AJ$140*AJ$122)*Calcs!$O14</f>
        <v>7838.9192039478266</v>
      </c>
      <c r="AK153" s="682">
        <f t="shared" ca="1" si="47"/>
        <v>10501.198946652057</v>
      </c>
      <c r="AL153" s="510"/>
      <c r="AM153" s="685">
        <f t="shared" ca="1" si="48"/>
        <v>71768.036536581552</v>
      </c>
      <c r="AN153" s="510"/>
    </row>
    <row r="154" spans="3:40" s="436" customFormat="1" x14ac:dyDescent="0.2">
      <c r="C154" s="633" t="s">
        <v>124</v>
      </c>
      <c r="D154" s="632">
        <f ca="1">(D$118*D$119*D$135*Calcs!AI15)*Calcs!$O15</f>
        <v>27815.979427326336</v>
      </c>
      <c r="E154" s="632">
        <f ca="1">(E$118*E$119*E$135*Calcs!AJ15)*Calcs!$O15</f>
        <v>0</v>
      </c>
      <c r="F154" s="632">
        <f ca="1">(F$118*F$119*F$135*Calcs!AK15)*Calcs!$O15</f>
        <v>3871.8976116195813</v>
      </c>
      <c r="G154" s="632">
        <f ca="1">(G$118*G$119*G$135*Calcs!AL15)*Calcs!$O15</f>
        <v>0</v>
      </c>
      <c r="H154" s="632">
        <f ca="1">(H$118*H$119*H$135*Calcs!AM15)*Calcs!$O15</f>
        <v>6202.4617301221215</v>
      </c>
      <c r="I154" s="632">
        <f ca="1">(I$118*I$119*I$135*Calcs!AN15)*Calcs!$O15</f>
        <v>0</v>
      </c>
      <c r="J154" s="632">
        <f ca="1">(J$118*J$119*J$135*Calcs!AO15)*Calcs!$O15</f>
        <v>4777.4064319304371</v>
      </c>
      <c r="K154" s="632">
        <f ca="1">(K$118*K$119*K$135*Calcs!AP15)*Calcs!$O15</f>
        <v>0</v>
      </c>
      <c r="L154" s="632">
        <f ca="1">(L$118*L$119*L$135*Calcs!AQ15)*Calcs!$O15</f>
        <v>0</v>
      </c>
      <c r="M154" s="675">
        <f t="shared" ca="1" si="45"/>
        <v>42667.745200998477</v>
      </c>
      <c r="N154" s="510"/>
      <c r="O154" s="651" t="s">
        <v>124</v>
      </c>
      <c r="P154" s="649">
        <f ca="1">(P$118*P$119*P$135*Calcs!AP15)*Calcs!$O15</f>
        <v>0</v>
      </c>
      <c r="Q154" s="649">
        <f ca="1">(Q$118*Q$119*Q$135*Calcs!AI15)*Calcs!$O15</f>
        <v>0</v>
      </c>
      <c r="R154" s="649">
        <f ca="1">(R$118*R$119*R$135*Calcs!AJ15)*Calcs!$O15</f>
        <v>0</v>
      </c>
      <c r="S154" s="649">
        <f ca="1">(S$118*S$119*S$135*Calcs!AK15)*Calcs!$O15</f>
        <v>0</v>
      </c>
      <c r="T154" s="649">
        <f ca="1">(T$118*T$119*T$135*Calcs!AL15)*Calcs!$O15</f>
        <v>0</v>
      </c>
      <c r="U154" s="649">
        <f ca="1">(U$118*U$119*U$135*Calcs!AM15)*Calcs!$O15</f>
        <v>0</v>
      </c>
      <c r="V154" s="649">
        <f ca="1">(V$118*V$119*V$135*Calcs!AN15)*Calcs!$O15</f>
        <v>0</v>
      </c>
      <c r="W154" s="649">
        <f ca="1">(W$118*W$119*W$135*Calcs!AO15)*Calcs!$O15</f>
        <v>0</v>
      </c>
      <c r="X154" s="649">
        <f ca="1">(X$118*X$119*X$135*Calcs!AQ15)*Calcs!$O15</f>
        <v>0</v>
      </c>
      <c r="Y154" s="671">
        <f t="shared" ca="1" si="46"/>
        <v>0</v>
      </c>
      <c r="Z154" s="653"/>
      <c r="AA154" s="630" t="s">
        <v>124</v>
      </c>
      <c r="AB154" s="632">
        <f ca="1">(AB$135*Calcs!AI15-AB$140*AB$122)*Calcs!$O15</f>
        <v>1374.0062278177918</v>
      </c>
      <c r="AC154" s="632">
        <f ca="1">(AC$135*Calcs!AJ15-AC$140*AC$122)*Calcs!$O15</f>
        <v>0</v>
      </c>
      <c r="AD154" s="632">
        <f ca="1">(AD$135*Calcs!AK15-AD$140*AD$122)*Calcs!$O15</f>
        <v>60.407307418312136</v>
      </c>
      <c r="AE154" s="632">
        <f ca="1">(AE$135*Calcs!AL15-AE$140*AE$122)*Calcs!$O15</f>
        <v>0</v>
      </c>
      <c r="AF154" s="632">
        <f ca="1">(AF$135*Calcs!AM15-AF$140*AF$122)*Calcs!$O15</f>
        <v>-168.17078507382928</v>
      </c>
      <c r="AG154" s="632">
        <f ca="1">(AG$135*Calcs!AN15-AG$140*AG$122)*Calcs!$O15</f>
        <v>0</v>
      </c>
      <c r="AH154" s="632">
        <f ca="1">(AH$135*Calcs!AO15-AH$140*AH$122)*Calcs!$O15</f>
        <v>124.42472830047848</v>
      </c>
      <c r="AI154" s="632">
        <f ca="1">(AI$135*Calcs!AP15-AI$140*AI$122)*Calcs!$O15</f>
        <v>0</v>
      </c>
      <c r="AJ154" s="632">
        <f ca="1">(AJ$135*Calcs!AQ15-AJ$140*AJ$122)*Calcs!$O15</f>
        <v>740.83229546086955</v>
      </c>
      <c r="AK154" s="682">
        <f t="shared" ca="1" si="47"/>
        <v>2131.4997739236223</v>
      </c>
      <c r="AL154" s="510"/>
      <c r="AM154" s="685">
        <f t="shared" ca="1" si="48"/>
        <v>44799.244974922098</v>
      </c>
      <c r="AN154" s="510"/>
    </row>
    <row r="155" spans="3:40" s="436" customFormat="1" x14ac:dyDescent="0.2">
      <c r="C155" s="633" t="s">
        <v>125</v>
      </c>
      <c r="D155" s="632">
        <f ca="1">(D$118*D$119*D$135*Calcs!AI16)*Calcs!$O16</f>
        <v>28981.730155808833</v>
      </c>
      <c r="E155" s="632">
        <f ca="1">(E$118*E$119*E$135*Calcs!AJ16)*Calcs!$O16</f>
        <v>0</v>
      </c>
      <c r="F155" s="632">
        <f ca="1">(F$118*F$119*F$135*Calcs!AK16)*Calcs!$O16</f>
        <v>3454.4749461075367</v>
      </c>
      <c r="G155" s="632">
        <f ca="1">(G$118*G$119*G$135*Calcs!AL16)*Calcs!$O16</f>
        <v>0</v>
      </c>
      <c r="H155" s="632">
        <f ca="1">(H$118*H$119*H$135*Calcs!AM16)*Calcs!$O16</f>
        <v>4820.3716233844279</v>
      </c>
      <c r="I155" s="632">
        <f ca="1">(I$118*I$119*I$135*Calcs!AN16)*Calcs!$O16</f>
        <v>0</v>
      </c>
      <c r="J155" s="632">
        <f ca="1">(J$118*J$119*J$135*Calcs!AO16)*Calcs!$O16</f>
        <v>4348.4627110420952</v>
      </c>
      <c r="K155" s="632">
        <f ca="1">(K$118*K$119*K$135*Calcs!AP16)*Calcs!$O16</f>
        <v>0</v>
      </c>
      <c r="L155" s="632">
        <f ca="1">(L$118*L$119*L$135*Calcs!AQ16)*Calcs!$O16</f>
        <v>0</v>
      </c>
      <c r="M155" s="675">
        <f t="shared" ca="1" si="45"/>
        <v>41605.039436342893</v>
      </c>
      <c r="N155" s="510"/>
      <c r="O155" s="651" t="s">
        <v>125</v>
      </c>
      <c r="P155" s="649">
        <f ca="1">(P$118*P$119*P$135*Calcs!AP16)*Calcs!$O16</f>
        <v>0</v>
      </c>
      <c r="Q155" s="649">
        <f ca="1">(Q$118*Q$119*Q$135*Calcs!AI16)*Calcs!$O16</f>
        <v>0</v>
      </c>
      <c r="R155" s="649">
        <f ca="1">(R$118*R$119*R$135*Calcs!AJ16)*Calcs!$O16</f>
        <v>0</v>
      </c>
      <c r="S155" s="649">
        <f ca="1">(S$118*S$119*S$135*Calcs!AK16)*Calcs!$O16</f>
        <v>0</v>
      </c>
      <c r="T155" s="649">
        <f ca="1">(T$118*T$119*T$135*Calcs!AL16)*Calcs!$O16</f>
        <v>0</v>
      </c>
      <c r="U155" s="649">
        <f ca="1">(U$118*U$119*U$135*Calcs!AM16)*Calcs!$O16</f>
        <v>0</v>
      </c>
      <c r="V155" s="649">
        <f ca="1">(V$118*V$119*V$135*Calcs!AN16)*Calcs!$O16</f>
        <v>0</v>
      </c>
      <c r="W155" s="649">
        <f ca="1">(W$118*W$119*W$135*Calcs!AO16)*Calcs!$O16</f>
        <v>0</v>
      </c>
      <c r="X155" s="649">
        <f ca="1">(X$118*X$119*X$135*Calcs!AQ16)*Calcs!$O16</f>
        <v>0</v>
      </c>
      <c r="Y155" s="671">
        <f t="shared" ca="1" si="46"/>
        <v>0</v>
      </c>
      <c r="Z155" s="653"/>
      <c r="AA155" s="630" t="s">
        <v>125</v>
      </c>
      <c r="AB155" s="632">
        <f ca="1">(AB$135*Calcs!AI16-AB$140*AB$122)*Calcs!$O16</f>
        <v>1436.8276585455469</v>
      </c>
      <c r="AC155" s="632">
        <f ca="1">(AC$135*Calcs!AJ16-AC$140*AC$122)*Calcs!$O16</f>
        <v>0</v>
      </c>
      <c r="AD155" s="632">
        <f ca="1">(AD$135*Calcs!AK16-AD$140*AD$122)*Calcs!$O16</f>
        <v>23.427785924279966</v>
      </c>
      <c r="AE155" s="632">
        <f ca="1">(AE$135*Calcs!AL16-AE$140*AE$122)*Calcs!$O16</f>
        <v>0</v>
      </c>
      <c r="AF155" s="632">
        <f ca="1">(AF$135*Calcs!AM16-AF$140*AF$122)*Calcs!$O16</f>
        <v>-287.14398970482574</v>
      </c>
      <c r="AG155" s="632">
        <f ca="1">(AG$135*Calcs!AN16-AG$140*AG$122)*Calcs!$O16</f>
        <v>0</v>
      </c>
      <c r="AH155" s="632">
        <f ca="1">(AH$135*Calcs!AO16-AH$140*AH$122)*Calcs!$O16</f>
        <v>86.676379640612964</v>
      </c>
      <c r="AI155" s="632">
        <f ca="1">(AI$135*Calcs!AP16-AI$140*AI$122)*Calcs!$O16</f>
        <v>0</v>
      </c>
      <c r="AJ155" s="632">
        <f ca="1">(AJ$135*Calcs!AQ16-AJ$140*AJ$122)*Calcs!$O16</f>
        <v>-1229.7379919375314</v>
      </c>
      <c r="AK155" s="682">
        <f t="shared" ca="1" si="47"/>
        <v>30.049842468082716</v>
      </c>
      <c r="AL155" s="510"/>
      <c r="AM155" s="685">
        <f t="shared" ca="1" si="48"/>
        <v>41635.089278810978</v>
      </c>
      <c r="AN155" s="510"/>
    </row>
    <row r="156" spans="3:40" s="436" customFormat="1" x14ac:dyDescent="0.2">
      <c r="C156" s="651" t="s">
        <v>178</v>
      </c>
      <c r="D156" s="672">
        <f t="shared" ref="D156:M156" ca="1" si="49">SUM(D144:D155)</f>
        <v>392827.02250672574</v>
      </c>
      <c r="E156" s="672">
        <f t="shared" ca="1" si="49"/>
        <v>0</v>
      </c>
      <c r="F156" s="672">
        <f t="shared" ca="1" si="49"/>
        <v>96049.907489073346</v>
      </c>
      <c r="G156" s="672">
        <f t="shared" ca="1" si="49"/>
        <v>0</v>
      </c>
      <c r="H156" s="672">
        <f t="shared" ca="1" si="49"/>
        <v>146369.57307554429</v>
      </c>
      <c r="I156" s="672">
        <f t="shared" ca="1" si="49"/>
        <v>0</v>
      </c>
      <c r="J156" s="672">
        <f t="shared" ca="1" si="49"/>
        <v>113801.82709343157</v>
      </c>
      <c r="K156" s="672">
        <f t="shared" ca="1" si="49"/>
        <v>0</v>
      </c>
      <c r="L156" s="672">
        <f t="shared" ca="1" si="49"/>
        <v>0</v>
      </c>
      <c r="M156" s="672">
        <f t="shared" ca="1" si="49"/>
        <v>749048.33016477502</v>
      </c>
      <c r="N156" s="645"/>
      <c r="O156" s="651" t="s">
        <v>178</v>
      </c>
      <c r="P156" s="672">
        <f t="shared" ref="P156:Y156" ca="1" si="50">SUM(P144:P155)</f>
        <v>0</v>
      </c>
      <c r="Q156" s="672">
        <f t="shared" ca="1" si="50"/>
        <v>0</v>
      </c>
      <c r="R156" s="672">
        <f ca="1">SUM(R144:R155)</f>
        <v>0</v>
      </c>
      <c r="S156" s="672">
        <f t="shared" ca="1" si="50"/>
        <v>0</v>
      </c>
      <c r="T156" s="672">
        <f t="shared" ca="1" si="50"/>
        <v>0</v>
      </c>
      <c r="U156" s="672">
        <f t="shared" ca="1" si="50"/>
        <v>0</v>
      </c>
      <c r="V156" s="672">
        <f t="shared" ca="1" si="50"/>
        <v>0</v>
      </c>
      <c r="W156" s="672">
        <f t="shared" ca="1" si="50"/>
        <v>0</v>
      </c>
      <c r="X156" s="672">
        <f t="shared" ca="1" si="50"/>
        <v>0</v>
      </c>
      <c r="Y156" s="672">
        <f t="shared" ca="1" si="50"/>
        <v>0</v>
      </c>
      <c r="Z156" s="653"/>
      <c r="AA156" s="676" t="s">
        <v>178</v>
      </c>
      <c r="AB156" s="677">
        <f t="shared" ref="AB156:AK156" ca="1" si="51">SUM(AB144:AB155)</f>
        <v>20598.596087781265</v>
      </c>
      <c r="AC156" s="677">
        <f t="shared" ca="1" si="51"/>
        <v>0</v>
      </c>
      <c r="AD156" s="677">
        <f t="shared" ca="1" si="51"/>
        <v>4227.0733605694923</v>
      </c>
      <c r="AE156" s="677">
        <f t="shared" ca="1" si="51"/>
        <v>0</v>
      </c>
      <c r="AF156" s="677">
        <f t="shared" ca="1" si="51"/>
        <v>3013.2581296833146</v>
      </c>
      <c r="AG156" s="677">
        <f t="shared" ca="1" si="51"/>
        <v>0</v>
      </c>
      <c r="AH156" s="677">
        <f t="shared" ca="1" si="51"/>
        <v>5479.5941617294584</v>
      </c>
      <c r="AI156" s="677">
        <f t="shared" ca="1" si="51"/>
        <v>0</v>
      </c>
      <c r="AJ156" s="677">
        <f t="shared" ca="1" si="51"/>
        <v>160007.90255959574</v>
      </c>
      <c r="AK156" s="677">
        <f t="shared" ca="1" si="51"/>
        <v>193326.42429935923</v>
      </c>
      <c r="AL156" s="645"/>
      <c r="AM156" s="683">
        <f ca="1">SUM(AM144:AM155)</f>
        <v>942374.75446413422</v>
      </c>
      <c r="AN156" s="645"/>
    </row>
    <row r="157" spans="3:40" s="436" customFormat="1" x14ac:dyDescent="0.2">
      <c r="C157" s="686"/>
      <c r="D157" s="663"/>
      <c r="E157" s="663"/>
      <c r="F157" s="663"/>
      <c r="G157" s="663"/>
      <c r="H157" s="663"/>
      <c r="I157" s="663"/>
      <c r="J157" s="663"/>
      <c r="K157" s="663"/>
      <c r="L157" s="663"/>
      <c r="M157" s="672"/>
      <c r="N157" s="645"/>
      <c r="O157" s="672"/>
      <c r="P157" s="672"/>
      <c r="Q157" s="672"/>
      <c r="R157" s="672"/>
      <c r="S157" s="672"/>
      <c r="T157" s="672"/>
      <c r="U157" s="672"/>
      <c r="V157" s="672"/>
      <c r="W157" s="672"/>
      <c r="X157" s="672"/>
      <c r="Y157" s="672"/>
      <c r="Z157" s="653"/>
      <c r="AA157" s="233"/>
      <c r="AB157" s="233"/>
      <c r="AC157" s="233"/>
      <c r="AD157" s="233"/>
      <c r="AE157" s="233"/>
      <c r="AF157" s="233"/>
      <c r="AG157" s="233"/>
      <c r="AH157" s="234"/>
      <c r="AI157" s="233"/>
      <c r="AJ157" s="233"/>
      <c r="AK157" s="237"/>
    </row>
    <row r="158" spans="3:40" s="436" customFormat="1" x14ac:dyDescent="0.2">
      <c r="O158" s="650"/>
      <c r="P158" s="650" t="s">
        <v>526</v>
      </c>
      <c r="Q158" s="650"/>
      <c r="R158" s="650"/>
      <c r="S158" s="650"/>
      <c r="T158" s="650"/>
      <c r="U158" s="650"/>
      <c r="V158" s="650"/>
      <c r="W158" s="650"/>
      <c r="X158" s="650"/>
      <c r="Y158" s="650"/>
      <c r="Z158" s="653"/>
      <c r="AA158" s="212"/>
    </row>
    <row r="159" spans="3:40" s="436" customFormat="1" x14ac:dyDescent="0.2">
      <c r="O159" s="653"/>
      <c r="P159" s="650" t="s">
        <v>527</v>
      </c>
      <c r="Q159" s="653"/>
      <c r="R159" s="653"/>
      <c r="S159" s="653"/>
      <c r="T159" s="653"/>
      <c r="U159" s="653"/>
      <c r="V159" s="653"/>
      <c r="W159" s="653"/>
      <c r="X159" s="653"/>
      <c r="Y159" s="653"/>
      <c r="Z159" s="653"/>
      <c r="AA159" s="212"/>
    </row>
    <row r="160" spans="3:40" s="436" customFormat="1" x14ac:dyDescent="0.2">
      <c r="O160" s="673"/>
      <c r="P160" s="673">
        <f>K160</f>
        <v>0</v>
      </c>
      <c r="Q160" s="673">
        <f t="shared" ref="Q160:W160" si="52">D160</f>
        <v>0</v>
      </c>
      <c r="R160" s="673">
        <f>E160</f>
        <v>0</v>
      </c>
      <c r="S160" s="673">
        <f t="shared" si="52"/>
        <v>0</v>
      </c>
      <c r="T160" s="673">
        <f t="shared" si="52"/>
        <v>0</v>
      </c>
      <c r="U160" s="673">
        <f t="shared" si="52"/>
        <v>0</v>
      </c>
      <c r="V160" s="673">
        <f t="shared" si="52"/>
        <v>0</v>
      </c>
      <c r="W160" s="673">
        <f t="shared" si="52"/>
        <v>0</v>
      </c>
      <c r="X160" s="673">
        <f>L160</f>
        <v>0</v>
      </c>
      <c r="Y160" s="673">
        <f>M160</f>
        <v>0</v>
      </c>
      <c r="Z160" s="653"/>
      <c r="AA160" s="212"/>
    </row>
    <row r="161" spans="1:27" s="436" customFormat="1" x14ac:dyDescent="0.2">
      <c r="O161" s="649"/>
      <c r="P161" s="649"/>
      <c r="Q161" s="649"/>
      <c r="R161" s="649"/>
      <c r="S161" s="649"/>
      <c r="T161" s="649"/>
      <c r="U161" s="649"/>
      <c r="V161" s="649"/>
      <c r="W161" s="649"/>
      <c r="X161" s="649"/>
      <c r="Y161" s="649"/>
      <c r="Z161" s="653"/>
      <c r="AA161" s="213"/>
    </row>
    <row r="162" spans="1:27" s="436" customFormat="1" ht="15" x14ac:dyDescent="0.25">
      <c r="J162" s="429"/>
      <c r="K162" s="429"/>
      <c r="L162" s="429"/>
      <c r="M162" s="429"/>
      <c r="V162" s="437"/>
    </row>
    <row r="163" spans="1:27" s="436" customFormat="1" ht="15" x14ac:dyDescent="0.25">
      <c r="K163" s="429"/>
      <c r="L163" s="429"/>
      <c r="M163" s="429"/>
      <c r="N163" s="429"/>
      <c r="V163" s="437"/>
    </row>
    <row r="164" spans="1:27" s="436" customFormat="1" ht="15" x14ac:dyDescent="0.25">
      <c r="K164" s="429"/>
      <c r="L164" s="429"/>
      <c r="M164" s="429"/>
      <c r="N164" s="429"/>
      <c r="V164" s="437"/>
    </row>
    <row r="165" spans="1:27" s="436" customFormat="1" ht="15" x14ac:dyDescent="0.25">
      <c r="K165" s="429"/>
      <c r="L165" s="429"/>
      <c r="M165" s="429"/>
      <c r="N165" s="429"/>
      <c r="V165" s="437"/>
    </row>
    <row r="166" spans="1:27" s="436" customFormat="1" ht="15" x14ac:dyDescent="0.25">
      <c r="K166" s="429"/>
      <c r="L166" s="429"/>
      <c r="M166" s="429"/>
      <c r="N166" s="429"/>
      <c r="V166" s="437"/>
    </row>
    <row r="167" spans="1:27" s="436" customFormat="1" ht="15" x14ac:dyDescent="0.25">
      <c r="K167" s="429"/>
      <c r="L167" s="429"/>
      <c r="M167" s="429"/>
      <c r="N167" s="429"/>
      <c r="V167" s="437"/>
    </row>
    <row r="168" spans="1:27" s="436" customFormat="1" ht="15" x14ac:dyDescent="0.25">
      <c r="K168" s="429"/>
      <c r="L168" s="429"/>
      <c r="M168" s="429"/>
      <c r="N168" s="429"/>
      <c r="V168" s="437"/>
    </row>
    <row r="169" spans="1:27" s="436" customFormat="1" ht="15" x14ac:dyDescent="0.25">
      <c r="K169" s="429"/>
      <c r="L169" s="429"/>
      <c r="M169" s="429"/>
      <c r="N169" s="429"/>
      <c r="V169" s="437"/>
    </row>
    <row r="170" spans="1:27" s="436" customFormat="1" ht="15" x14ac:dyDescent="0.25">
      <c r="K170" s="429"/>
      <c r="L170" s="429"/>
      <c r="M170" s="429"/>
      <c r="N170" s="429"/>
      <c r="V170" s="437"/>
    </row>
    <row r="171" spans="1:27" s="436" customFormat="1" ht="15" x14ac:dyDescent="0.25">
      <c r="K171" s="429"/>
      <c r="L171" s="429"/>
      <c r="M171" s="429"/>
      <c r="N171" s="429"/>
      <c r="V171" s="437"/>
    </row>
    <row r="172" spans="1:27" s="436" customFormat="1" ht="15" x14ac:dyDescent="0.25">
      <c r="A172" s="33" t="s">
        <v>664</v>
      </c>
      <c r="K172" s="429"/>
      <c r="L172" s="429"/>
      <c r="M172" s="429"/>
      <c r="N172" s="429"/>
      <c r="V172" s="437"/>
    </row>
    <row r="173" spans="1:27" s="21" customFormat="1" ht="15.75" outlineLevel="1" x14ac:dyDescent="0.25">
      <c r="A173" s="26"/>
      <c r="C173" s="32" t="s">
        <v>105</v>
      </c>
      <c r="K173"/>
      <c r="L173"/>
      <c r="M173"/>
      <c r="N173"/>
      <c r="V173" s="22"/>
    </row>
    <row r="174" spans="1:27" s="436" customFormat="1" ht="15.75" outlineLevel="1" x14ac:dyDescent="0.25">
      <c r="A174" s="439"/>
      <c r="C174" s="510"/>
      <c r="D174" s="510" t="s">
        <v>102</v>
      </c>
      <c r="E174" s="510" t="s">
        <v>20</v>
      </c>
      <c r="F174" s="510" t="s">
        <v>13</v>
      </c>
      <c r="G174" s="509" t="s">
        <v>106</v>
      </c>
      <c r="H174" s="509" t="s">
        <v>107</v>
      </c>
      <c r="I174" s="509" t="s">
        <v>108</v>
      </c>
      <c r="J174" s="674" t="s">
        <v>503</v>
      </c>
      <c r="K174" s="643" t="s">
        <v>1000</v>
      </c>
      <c r="L174" s="429"/>
      <c r="M174" s="429"/>
      <c r="N174" s="429"/>
      <c r="V174" s="437"/>
    </row>
    <row r="175" spans="1:27" s="21" customFormat="1" ht="15.75" outlineLevel="1" x14ac:dyDescent="0.25">
      <c r="A175" s="26"/>
      <c r="C175" s="518" t="s">
        <v>109</v>
      </c>
      <c r="D175" s="569">
        <f>Inputs!C18/PeoDOcc</f>
        <v>19.23076923076923</v>
      </c>
      <c r="E175" s="569">
        <f>Inputs!C18/PeoDUnocc</f>
        <v>0.83916083916083917</v>
      </c>
      <c r="F175" s="569">
        <f>D175*$E$18+E175*(1-$E$18)</f>
        <v>5.7654845154845153</v>
      </c>
      <c r="G175" s="569">
        <f t="shared" ref="G175:I177" si="53">$D175*$F$19</f>
        <v>2.1367307692307693</v>
      </c>
      <c r="H175" s="569">
        <f t="shared" si="53"/>
        <v>2.1367307692307693</v>
      </c>
      <c r="I175" s="569">
        <f t="shared" si="53"/>
        <v>2.1367307692307693</v>
      </c>
      <c r="J175" s="633" t="s">
        <v>516</v>
      </c>
      <c r="K175" s="740">
        <f>Calcs!F175*Calcs!C2</f>
        <v>39614.644105894105</v>
      </c>
      <c r="L175"/>
      <c r="M175"/>
      <c r="N175"/>
      <c r="V175" s="22"/>
    </row>
    <row r="176" spans="1:27" s="21" customFormat="1" ht="15.75" outlineLevel="1" x14ac:dyDescent="0.25">
      <c r="A176" s="26"/>
      <c r="C176" s="518" t="s">
        <v>110</v>
      </c>
      <c r="D176" s="569">
        <f>Inputs!C27+Inputs!C29</f>
        <v>13.96</v>
      </c>
      <c r="E176" s="569">
        <f>Inputs!C28+Inputs!C30</f>
        <v>3.77</v>
      </c>
      <c r="F176" s="569">
        <f>D176*$E$18+E176*(1-$E$18)</f>
        <v>6.4994642857142857</v>
      </c>
      <c r="G176" s="569">
        <f t="shared" si="53"/>
        <v>1.5510956</v>
      </c>
      <c r="H176" s="569">
        <f t="shared" si="53"/>
        <v>1.5510956</v>
      </c>
      <c r="I176" s="569">
        <f t="shared" si="53"/>
        <v>1.5510956</v>
      </c>
      <c r="J176" s="633" t="s">
        <v>517</v>
      </c>
      <c r="K176" s="741">
        <f>Calcs!F176*Calcs!C2</f>
        <v>44657.819107142859</v>
      </c>
      <c r="L176"/>
      <c r="M176"/>
      <c r="N176"/>
      <c r="V176" s="22"/>
    </row>
    <row r="177" spans="1:23" s="21" customFormat="1" ht="15.75" outlineLevel="1" x14ac:dyDescent="0.2">
      <c r="A177" s="26"/>
      <c r="C177" s="518" t="s">
        <v>111</v>
      </c>
      <c r="D177" s="569">
        <f>F177/($E$18*$E$19+$F$18*$F$19+$I$18*$I$19)</f>
        <v>8.2986806023902897</v>
      </c>
      <c r="E177" s="510"/>
      <c r="F177" s="602">
        <f>F47/C2/8760*1000</f>
        <v>2.8979452054794521</v>
      </c>
      <c r="G177" s="569">
        <f t="shared" si="53"/>
        <v>0.92206640173158505</v>
      </c>
      <c r="H177" s="569">
        <f t="shared" si="53"/>
        <v>0.92206640173158505</v>
      </c>
      <c r="I177" s="569">
        <f t="shared" si="53"/>
        <v>0.92206640173158505</v>
      </c>
      <c r="J177" s="633" t="s">
        <v>518</v>
      </c>
      <c r="K177" s="740">
        <f>Calcs!F177*Calcs!C2</f>
        <v>19911.781506849315</v>
      </c>
    </row>
    <row r="178" spans="1:23" s="21" customFormat="1" ht="15.75" outlineLevel="1" x14ac:dyDescent="0.2">
      <c r="A178" s="26"/>
      <c r="B178" s="37"/>
      <c r="C178" s="518" t="s">
        <v>112</v>
      </c>
      <c r="D178" s="687">
        <f>SUM(D175:D177)</f>
        <v>41.489449833159526</v>
      </c>
      <c r="E178" s="509"/>
      <c r="F178" s="687">
        <f>SUM(D175:D177)</f>
        <v>41.489449833159526</v>
      </c>
      <c r="G178" s="687">
        <f>SUM(G175:G177)</f>
        <v>4.6098927709623547</v>
      </c>
      <c r="H178" s="687">
        <f>SUM(H175:H177)</f>
        <v>4.6098927709623547</v>
      </c>
      <c r="I178" s="687">
        <f>SUM(I175:I177)</f>
        <v>4.6098927709623547</v>
      </c>
      <c r="J178" s="633" t="s">
        <v>519</v>
      </c>
      <c r="K178" s="740">
        <f>SUM(K175:K177)</f>
        <v>104184.24471988628</v>
      </c>
      <c r="P178" s="10"/>
    </row>
    <row r="179" spans="1:23" s="21" customFormat="1" outlineLevel="1" x14ac:dyDescent="0.25">
      <c r="C179" s="41"/>
      <c r="I179" s="43"/>
      <c r="P179" s="10"/>
    </row>
    <row r="180" spans="1:23" s="21" customFormat="1" ht="15.75" outlineLevel="1" x14ac:dyDescent="0.25">
      <c r="A180" s="26"/>
      <c r="D180" s="91"/>
      <c r="E180" s="91"/>
      <c r="F180" s="91"/>
      <c r="P180" s="10"/>
    </row>
    <row r="181" spans="1:23" s="21" customFormat="1" ht="15.75" outlineLevel="1" x14ac:dyDescent="0.25">
      <c r="A181" s="26"/>
      <c r="P181" s="10"/>
    </row>
    <row r="182" spans="1:23" s="21" customFormat="1" ht="15.75" outlineLevel="1" x14ac:dyDescent="0.25">
      <c r="A182" s="26"/>
      <c r="P182" s="10"/>
    </row>
    <row r="183" spans="1:23" s="21" customFormat="1" ht="15.75" outlineLevel="1" x14ac:dyDescent="0.25">
      <c r="A183" s="26"/>
      <c r="I183" s="43"/>
      <c r="P183" s="10"/>
    </row>
    <row r="184" spans="1:23" s="21" customFormat="1" ht="15.75" outlineLevel="1" x14ac:dyDescent="0.25">
      <c r="A184" s="26"/>
      <c r="C184" s="29"/>
      <c r="G184" s="44"/>
      <c r="H184" s="44"/>
      <c r="I184" s="44"/>
      <c r="J184" s="44"/>
      <c r="K184" s="44"/>
      <c r="P184" s="10"/>
    </row>
    <row r="185" spans="1:23" s="21" customFormat="1" ht="15.75" outlineLevel="1" x14ac:dyDescent="0.25">
      <c r="A185" s="26"/>
      <c r="C185" s="41"/>
      <c r="D185" s="48"/>
      <c r="E185" s="43"/>
      <c r="F185" s="43"/>
      <c r="G185" s="43"/>
      <c r="H185" s="19"/>
      <c r="Q185" s="31"/>
    </row>
    <row r="186" spans="1:23" s="21" customFormat="1" ht="15.75" outlineLevel="1" x14ac:dyDescent="0.25">
      <c r="A186" s="26"/>
      <c r="B186" s="32" t="s">
        <v>662</v>
      </c>
      <c r="C186" s="21" t="s">
        <v>126</v>
      </c>
      <c r="G186" s="21" t="s">
        <v>127</v>
      </c>
      <c r="J186" s="510"/>
      <c r="K186" s="510" t="s">
        <v>998</v>
      </c>
      <c r="L186" s="510"/>
      <c r="M186" s="510"/>
      <c r="V186" s="436"/>
      <c r="W186" s="436"/>
    </row>
    <row r="187" spans="1:23" s="21" customFormat="1" ht="15.75" outlineLevel="1" x14ac:dyDescent="0.25">
      <c r="A187" s="26"/>
      <c r="B187" s="510"/>
      <c r="C187" s="509" t="s">
        <v>106</v>
      </c>
      <c r="D187" s="509" t="s">
        <v>107</v>
      </c>
      <c r="E187" s="509" t="s">
        <v>108</v>
      </c>
      <c r="F187" s="510"/>
      <c r="G187" s="509" t="s">
        <v>106</v>
      </c>
      <c r="H187" s="509" t="s">
        <v>107</v>
      </c>
      <c r="I187" s="509" t="s">
        <v>108</v>
      </c>
      <c r="J187" s="510"/>
      <c r="K187" s="509" t="s">
        <v>106</v>
      </c>
      <c r="L187" s="509" t="s">
        <v>107</v>
      </c>
      <c r="M187" s="509" t="s">
        <v>108</v>
      </c>
      <c r="U187" s="436"/>
      <c r="V187" s="436"/>
      <c r="W187" s="436"/>
    </row>
    <row r="188" spans="1:23" s="21" customFormat="1" ht="15.75" outlineLevel="1" x14ac:dyDescent="0.25">
      <c r="A188" s="26"/>
      <c r="B188" s="510"/>
      <c r="C188" s="599">
        <f>$C$2*G$178*AB5</f>
        <v>30298.991763324932</v>
      </c>
      <c r="D188" s="599">
        <f>$C$2*H$178*AC5</f>
        <v>9089.6975289974798</v>
      </c>
      <c r="E188" s="599">
        <f>$C$2*I$178*AD5</f>
        <v>22724.2438224937</v>
      </c>
      <c r="F188" s="510"/>
      <c r="G188" s="688">
        <f t="shared" ref="G188:G199" ca="1" si="54">$AM144*DD5</f>
        <v>353.5863898340038</v>
      </c>
      <c r="H188" s="688">
        <f t="shared" ref="H188:H199" ca="1" si="55">$AM144*DE5</f>
        <v>13575.101936870215</v>
      </c>
      <c r="I188" s="688">
        <f t="shared" ref="I188:I199" ca="1" si="56">$AM144*DF5</f>
        <v>265.18979237550286</v>
      </c>
      <c r="J188" s="510"/>
      <c r="K188" s="599">
        <f t="shared" ref="K188:K199" ca="1" si="57">(C188+G188)/AB5</f>
        <v>32044.212525703788</v>
      </c>
      <c r="L188" s="599">
        <f t="shared" ref="L188:L199" ca="1" si="58">IF(AC5=0,0,(D188+H188)/AC5)</f>
        <v>78979.289257802608</v>
      </c>
      <c r="M188" s="599">
        <f t="shared" ref="M188:M199" ca="1" si="59">(E188+I188)/AD5</f>
        <v>32044.212525703788</v>
      </c>
      <c r="U188" s="436"/>
      <c r="V188" s="436"/>
      <c r="W188" s="436"/>
    </row>
    <row r="189" spans="1:23" s="21" customFormat="1" ht="15.75" outlineLevel="1" x14ac:dyDescent="0.25">
      <c r="A189" s="26"/>
      <c r="B189" s="510"/>
      <c r="C189" s="599">
        <f t="shared" ref="C189:C199" si="60">$C$2*G$178*AB6</f>
        <v>27366.831270099938</v>
      </c>
      <c r="D189" s="599">
        <f t="shared" ref="D189:D199" si="61">$C$2*H$178*AC6</f>
        <v>8210.0493810299813</v>
      </c>
      <c r="E189" s="599">
        <f t="shared" ref="E189:E199" si="62">$C$2*I$178*AD6</f>
        <v>20525.123452574957</v>
      </c>
      <c r="F189" s="510"/>
      <c r="G189" s="688">
        <f t="shared" ca="1" si="54"/>
        <v>1030.3047396856937</v>
      </c>
      <c r="H189" s="688">
        <f t="shared" ca="1" si="55"/>
        <v>15892.168591931108</v>
      </c>
      <c r="I189" s="688">
        <f t="shared" ca="1" si="56"/>
        <v>772.72855476427026</v>
      </c>
      <c r="J189" s="510"/>
      <c r="K189" s="599">
        <f t="shared" ca="1" si="57"/>
        <v>32867.055566881514</v>
      </c>
      <c r="L189" s="599">
        <f t="shared" ca="1" si="58"/>
        <v>92986.952056177033</v>
      </c>
      <c r="M189" s="599">
        <f t="shared" ca="1" si="59"/>
        <v>32867.055566881521</v>
      </c>
      <c r="U189" s="436"/>
      <c r="V189" s="436"/>
      <c r="W189" s="436"/>
    </row>
    <row r="190" spans="1:23" s="21" customFormat="1" ht="15.75" outlineLevel="1" x14ac:dyDescent="0.25">
      <c r="A190" s="26"/>
      <c r="B190" s="510"/>
      <c r="C190" s="599">
        <f t="shared" si="60"/>
        <v>30298.991763324932</v>
      </c>
      <c r="D190" s="599">
        <f t="shared" si="61"/>
        <v>9089.6975289974798</v>
      </c>
      <c r="E190" s="599">
        <f t="shared" si="62"/>
        <v>22724.2438224937</v>
      </c>
      <c r="F190" s="510"/>
      <c r="G190" s="688">
        <f t="shared" ca="1" si="54"/>
        <v>2496.9221412007068</v>
      </c>
      <c r="H190" s="688">
        <f t="shared" ca="1" si="55"/>
        <v>20879.199038120718</v>
      </c>
      <c r="I190" s="688">
        <f t="shared" ca="1" si="56"/>
        <v>1872.69160590053</v>
      </c>
      <c r="J190" s="510"/>
      <c r="K190" s="599">
        <f t="shared" ca="1" si="57"/>
        <v>34284.856232329672</v>
      </c>
      <c r="L190" s="599">
        <f t="shared" ca="1" si="58"/>
        <v>104431.63877430675</v>
      </c>
      <c r="M190" s="599">
        <f t="shared" ca="1" si="59"/>
        <v>34284.856232329672</v>
      </c>
      <c r="U190" s="436"/>
      <c r="V190" s="436"/>
      <c r="W190" s="436"/>
    </row>
    <row r="191" spans="1:23" s="21" customFormat="1" ht="15.75" outlineLevel="1" x14ac:dyDescent="0.25">
      <c r="A191" s="26"/>
      <c r="B191" s="510"/>
      <c r="C191" s="599">
        <f t="shared" si="60"/>
        <v>29321.604932249935</v>
      </c>
      <c r="D191" s="599">
        <f t="shared" si="61"/>
        <v>8796.4814796749797</v>
      </c>
      <c r="E191" s="599">
        <f t="shared" si="62"/>
        <v>21991.203699187452</v>
      </c>
      <c r="F191" s="510"/>
      <c r="G191" s="688">
        <f t="shared" ca="1" si="54"/>
        <v>4748.2920162881646</v>
      </c>
      <c r="H191" s="688">
        <f t="shared" ca="1" si="55"/>
        <v>21480.230773684085</v>
      </c>
      <c r="I191" s="688">
        <f t="shared" ca="1" si="56"/>
        <v>3561.2190122161237</v>
      </c>
      <c r="J191" s="510"/>
      <c r="K191" s="599">
        <f t="shared" ca="1" si="57"/>
        <v>36803.901024655359</v>
      </c>
      <c r="L191" s="599">
        <f t="shared" ca="1" si="58"/>
        <v>109021.08321682792</v>
      </c>
      <c r="M191" s="599">
        <f t="shared" ca="1" si="59"/>
        <v>36803.901024655352</v>
      </c>
      <c r="U191" s="436"/>
      <c r="V191" s="436"/>
      <c r="W191" s="436"/>
    </row>
    <row r="192" spans="1:23" s="21" customFormat="1" ht="15.75" outlineLevel="1" x14ac:dyDescent="0.25">
      <c r="A192" s="26"/>
      <c r="B192" s="510"/>
      <c r="C192" s="599">
        <f t="shared" si="60"/>
        <v>30298.991763324932</v>
      </c>
      <c r="D192" s="599">
        <f t="shared" si="61"/>
        <v>9089.6975289974798</v>
      </c>
      <c r="E192" s="599">
        <f t="shared" si="62"/>
        <v>22724.2438224937</v>
      </c>
      <c r="F192" s="510"/>
      <c r="G192" s="688">
        <f t="shared" ca="1" si="54"/>
        <v>7725.4830789870894</v>
      </c>
      <c r="H192" s="688">
        <f t="shared" ca="1" si="55"/>
        <v>27375.770516832385</v>
      </c>
      <c r="I192" s="688">
        <f t="shared" ca="1" si="56"/>
        <v>5794.1123092403177</v>
      </c>
      <c r="J192" s="510"/>
      <c r="K192" s="599">
        <f t="shared" ca="1" si="57"/>
        <v>39750.795086049009</v>
      </c>
      <c r="L192" s="599">
        <f t="shared" ca="1" si="58"/>
        <v>127070.03002828012</v>
      </c>
      <c r="M192" s="599">
        <f t="shared" ca="1" si="59"/>
        <v>39750.795086049009</v>
      </c>
      <c r="U192" s="436"/>
      <c r="V192" s="436"/>
      <c r="W192" s="436"/>
    </row>
    <row r="193" spans="1:23" s="21" customFormat="1" ht="15.75" outlineLevel="1" x14ac:dyDescent="0.25">
      <c r="A193" s="26"/>
      <c r="B193" s="510"/>
      <c r="C193" s="599">
        <f t="shared" si="60"/>
        <v>29321.604932249935</v>
      </c>
      <c r="D193" s="599">
        <f t="shared" si="61"/>
        <v>8796.4814796749797</v>
      </c>
      <c r="E193" s="599">
        <f t="shared" si="62"/>
        <v>21991.203699187452</v>
      </c>
      <c r="F193" s="510"/>
      <c r="G193" s="688">
        <f t="shared" ca="1" si="54"/>
        <v>9102.9382414393349</v>
      </c>
      <c r="H193" s="688">
        <f t="shared" ca="1" si="55"/>
        <v>26675.687655961054</v>
      </c>
      <c r="I193" s="688">
        <f t="shared" ca="1" si="56"/>
        <v>6827.2036810795007</v>
      </c>
      <c r="J193" s="510"/>
      <c r="K193" s="599">
        <f t="shared" ca="1" si="57"/>
        <v>41507.994169108781</v>
      </c>
      <c r="L193" s="599">
        <f t="shared" ca="1" si="58"/>
        <v>127729.0040892244</v>
      </c>
      <c r="M193" s="599">
        <f t="shared" ca="1" si="59"/>
        <v>41507.994169108781</v>
      </c>
      <c r="U193" s="436"/>
      <c r="V193" s="436"/>
      <c r="W193" s="436"/>
    </row>
    <row r="194" spans="1:23" s="21" customFormat="1" ht="15.75" outlineLevel="1" x14ac:dyDescent="0.25">
      <c r="A194" s="26"/>
      <c r="B194" s="510"/>
      <c r="C194" s="599">
        <f t="shared" si="60"/>
        <v>30298.991763324932</v>
      </c>
      <c r="D194" s="599">
        <f t="shared" si="61"/>
        <v>9089.6975289974798</v>
      </c>
      <c r="E194" s="599">
        <f t="shared" si="62"/>
        <v>22724.2438224937</v>
      </c>
      <c r="F194" s="510"/>
      <c r="G194" s="688">
        <f t="shared" ca="1" si="54"/>
        <v>8866.4793334583173</v>
      </c>
      <c r="H194" s="688">
        <f t="shared" ca="1" si="55"/>
        <v>27933.280765851741</v>
      </c>
      <c r="I194" s="688">
        <f t="shared" ca="1" si="56"/>
        <v>6649.8595000937385</v>
      </c>
      <c r="J194" s="510"/>
      <c r="K194" s="599">
        <f t="shared" ca="1" si="57"/>
        <v>40943.592843112718</v>
      </c>
      <c r="L194" s="599">
        <f t="shared" ca="1" si="58"/>
        <v>129012.76785341724</v>
      </c>
      <c r="M194" s="599">
        <f t="shared" ca="1" si="59"/>
        <v>40943.592843112718</v>
      </c>
      <c r="U194" s="436"/>
      <c r="V194" s="436"/>
      <c r="W194" s="436"/>
    </row>
    <row r="195" spans="1:23" s="21" customFormat="1" ht="15.75" outlineLevel="1" x14ac:dyDescent="0.25">
      <c r="A195" s="26"/>
      <c r="B195" s="510"/>
      <c r="C195" s="599">
        <f t="shared" si="60"/>
        <v>30298.991763324932</v>
      </c>
      <c r="D195" s="599">
        <f t="shared" si="61"/>
        <v>9089.6975289974798</v>
      </c>
      <c r="E195" s="599">
        <f t="shared" si="62"/>
        <v>22724.2438224937</v>
      </c>
      <c r="F195" s="510"/>
      <c r="G195" s="688">
        <f t="shared" ca="1" si="54"/>
        <v>6240.9080836070316</v>
      </c>
      <c r="H195" s="688">
        <f t="shared" ca="1" si="55"/>
        <v>25358.049751530376</v>
      </c>
      <c r="I195" s="688">
        <f t="shared" ca="1" si="56"/>
        <v>4680.6810627052737</v>
      </c>
      <c r="J195" s="510"/>
      <c r="K195" s="599">
        <f t="shared" ca="1" si="57"/>
        <v>38198.820031141542</v>
      </c>
      <c r="L195" s="599">
        <f t="shared" ca="1" si="58"/>
        <v>120038.94412768568</v>
      </c>
      <c r="M195" s="599">
        <f t="shared" ca="1" si="59"/>
        <v>38198.820031141542</v>
      </c>
      <c r="U195" s="436"/>
      <c r="V195" s="436"/>
      <c r="W195" s="436"/>
    </row>
    <row r="196" spans="1:23" s="21" customFormat="1" ht="15.75" outlineLevel="1" x14ac:dyDescent="0.25">
      <c r="A196" s="26"/>
      <c r="B196" s="510"/>
      <c r="C196" s="599">
        <f t="shared" si="60"/>
        <v>29321.604932249935</v>
      </c>
      <c r="D196" s="599">
        <f t="shared" si="61"/>
        <v>8796.4814796749797</v>
      </c>
      <c r="E196" s="599">
        <f t="shared" si="62"/>
        <v>21991.203699187452</v>
      </c>
      <c r="F196" s="510"/>
      <c r="G196" s="688">
        <f t="shared" ca="1" si="54"/>
        <v>3412.1260518958638</v>
      </c>
      <c r="H196" s="688">
        <f t="shared" ca="1" si="55"/>
        <v>22891.243409254377</v>
      </c>
      <c r="I196" s="688">
        <f t="shared" ca="1" si="56"/>
        <v>2559.0945389218982</v>
      </c>
      <c r="J196" s="510"/>
      <c r="K196" s="599">
        <f t="shared" ca="1" si="57"/>
        <v>35360.511865589593</v>
      </c>
      <c r="L196" s="599">
        <f t="shared" ca="1" si="58"/>
        <v>114101.89003215304</v>
      </c>
      <c r="M196" s="599">
        <f t="shared" ca="1" si="59"/>
        <v>35360.5118655896</v>
      </c>
      <c r="U196" s="436"/>
      <c r="V196" s="436"/>
      <c r="W196" s="436"/>
    </row>
    <row r="197" spans="1:23" s="21" customFormat="1" ht="15.75" outlineLevel="1" x14ac:dyDescent="0.25">
      <c r="A197" s="26"/>
      <c r="B197" s="510"/>
      <c r="C197" s="599">
        <f t="shared" si="60"/>
        <v>30298.991763324932</v>
      </c>
      <c r="D197" s="599">
        <f t="shared" si="61"/>
        <v>9089.6975289974798</v>
      </c>
      <c r="E197" s="599">
        <f t="shared" si="62"/>
        <v>22724.2438224937</v>
      </c>
      <c r="F197" s="510"/>
      <c r="G197" s="688">
        <f t="shared" ca="1" si="54"/>
        <v>1204.9816440643833</v>
      </c>
      <c r="H197" s="688">
        <f t="shared" ca="1" si="55"/>
        <v>19902.662474133962</v>
      </c>
      <c r="I197" s="688">
        <f t="shared" ca="1" si="56"/>
        <v>903.73623304828743</v>
      </c>
      <c r="J197" s="510"/>
      <c r="K197" s="599">
        <f t="shared" ca="1" si="57"/>
        <v>32934.261327915956</v>
      </c>
      <c r="L197" s="599">
        <f t="shared" ca="1" si="58"/>
        <v>101028.733583194</v>
      </c>
      <c r="M197" s="599">
        <f t="shared" ca="1" si="59"/>
        <v>32934.261327915949</v>
      </c>
      <c r="U197" s="436"/>
      <c r="V197" s="436"/>
      <c r="W197" s="436"/>
    </row>
    <row r="198" spans="1:23" s="21" customFormat="1" ht="15.75" outlineLevel="1" x14ac:dyDescent="0.25">
      <c r="A198" s="26"/>
      <c r="B198" s="510"/>
      <c r="C198" s="599">
        <f t="shared" si="60"/>
        <v>29321.604932249935</v>
      </c>
      <c r="D198" s="599">
        <f t="shared" si="61"/>
        <v>8796.4814796749797</v>
      </c>
      <c r="E198" s="599">
        <f t="shared" si="62"/>
        <v>21991.203699187452</v>
      </c>
      <c r="F198" s="510"/>
      <c r="G198" s="688">
        <f t="shared" ca="1" si="54"/>
        <v>242.11179412127694</v>
      </c>
      <c r="H198" s="688">
        <f t="shared" ca="1" si="55"/>
        <v>12678.728381488532</v>
      </c>
      <c r="I198" s="688">
        <f t="shared" ca="1" si="56"/>
        <v>181.58384559095771</v>
      </c>
      <c r="J198" s="510"/>
      <c r="K198" s="599">
        <f t="shared" ca="1" si="57"/>
        <v>31936.113747623222</v>
      </c>
      <c r="L198" s="599">
        <f t="shared" ca="1" si="58"/>
        <v>77328.430570033233</v>
      </c>
      <c r="M198" s="599">
        <f t="shared" ca="1" si="59"/>
        <v>31936.113747623225</v>
      </c>
      <c r="U198" s="436"/>
      <c r="V198" s="436"/>
      <c r="W198" s="436"/>
    </row>
    <row r="199" spans="1:23" s="21" customFormat="1" ht="15.75" outlineLevel="1" x14ac:dyDescent="0.25">
      <c r="A199" s="26"/>
      <c r="B199" s="510"/>
      <c r="C199" s="599">
        <f t="shared" si="60"/>
        <v>30298.991763324932</v>
      </c>
      <c r="D199" s="599">
        <f t="shared" si="61"/>
        <v>9089.6975289974798</v>
      </c>
      <c r="E199" s="599">
        <f t="shared" si="62"/>
        <v>22724.2438224937</v>
      </c>
      <c r="F199" s="510"/>
      <c r="G199" s="688">
        <f t="shared" ca="1" si="54"/>
        <v>110.22133645728961</v>
      </c>
      <c r="H199" s="688">
        <f t="shared" ca="1" si="55"/>
        <v>11840.629125717347</v>
      </c>
      <c r="I199" s="688">
        <f t="shared" ca="1" si="56"/>
        <v>82.666002342967204</v>
      </c>
      <c r="J199" s="510"/>
      <c r="K199" s="599">
        <f t="shared" ca="1" si="57"/>
        <v>31789.798640752026</v>
      </c>
      <c r="L199" s="599">
        <f t="shared" ca="1" si="58"/>
        <v>72935.228287038932</v>
      </c>
      <c r="M199" s="599">
        <f t="shared" ca="1" si="59"/>
        <v>31789.798640752026</v>
      </c>
      <c r="U199" s="436"/>
      <c r="V199" s="436"/>
      <c r="W199" s="436"/>
    </row>
    <row r="200" spans="1:23" s="21" customFormat="1" ht="15.75" outlineLevel="1" x14ac:dyDescent="0.25">
      <c r="A200" s="26"/>
      <c r="C200" s="47"/>
      <c r="D200" s="48"/>
      <c r="E200" s="43"/>
      <c r="F200" s="43"/>
      <c r="G200" s="43"/>
      <c r="H200" s="19"/>
      <c r="P200" s="27"/>
      <c r="Q200" s="31"/>
      <c r="U200" s="436"/>
      <c r="V200" s="436"/>
      <c r="W200" s="436"/>
    </row>
    <row r="201" spans="1:23" s="21" customFormat="1" ht="15.75" outlineLevel="1" x14ac:dyDescent="0.25">
      <c r="A201" s="26"/>
      <c r="B201" s="32" t="s">
        <v>128</v>
      </c>
      <c r="C201" s="48" t="s">
        <v>663</v>
      </c>
      <c r="D201"/>
      <c r="E201"/>
      <c r="F201"/>
      <c r="G201"/>
      <c r="H201" s="19"/>
      <c r="J201" s="46"/>
      <c r="K201" s="46"/>
      <c r="L201" s="46"/>
      <c r="M201" s="46"/>
      <c r="N201" s="46"/>
      <c r="Q201" s="31"/>
      <c r="U201" s="436"/>
      <c r="V201" s="436"/>
      <c r="W201" s="436"/>
    </row>
    <row r="202" spans="1:23" s="39" customFormat="1" ht="16.5" thickBot="1" x14ac:dyDescent="0.3">
      <c r="A202" s="38"/>
      <c r="H202" s="40"/>
    </row>
    <row r="203" spans="1:23" s="21" customFormat="1" x14ac:dyDescent="0.25">
      <c r="A203" s="32" t="s">
        <v>130</v>
      </c>
      <c r="H203" s="42"/>
      <c r="I203" s="43"/>
      <c r="M203" s="30" t="s">
        <v>199</v>
      </c>
      <c r="N203" s="71"/>
      <c r="O203" s="71"/>
      <c r="P203" s="71"/>
      <c r="Q203" s="14"/>
    </row>
    <row r="204" spans="1:23" s="21" customFormat="1" ht="15.75" outlineLevel="1" x14ac:dyDescent="0.25">
      <c r="A204" s="26"/>
      <c r="H204" s="42"/>
      <c r="I204" s="43"/>
      <c r="M204" s="17" t="s">
        <v>202</v>
      </c>
      <c r="N204" s="30"/>
      <c r="O204" s="71"/>
      <c r="P204" s="71"/>
      <c r="Q204" s="14"/>
    </row>
    <row r="205" spans="1:23" s="21" customFormat="1" ht="15.75" outlineLevel="1" x14ac:dyDescent="0.25">
      <c r="A205" s="26"/>
      <c r="B205" s="692" t="s">
        <v>131</v>
      </c>
      <c r="C205" s="539" t="s">
        <v>132</v>
      </c>
      <c r="D205" s="693">
        <f>Inputs!C21 - IF(Inputs!C68=3,1,IF(Inputs!C68=2,0.5,0))</f>
        <v>20.6</v>
      </c>
      <c r="E205" s="693">
        <f>Inputs!C22</f>
        <v>16.399999999999999</v>
      </c>
      <c r="F205" s="518" t="s">
        <v>133</v>
      </c>
      <c r="G205" s="513">
        <v>1</v>
      </c>
      <c r="H205" s="694"/>
      <c r="I205" s="695"/>
      <c r="J205" s="695" t="s">
        <v>1052</v>
      </c>
      <c r="K205" s="696">
        <f>Inputs!C72</f>
        <v>98010</v>
      </c>
      <c r="L205" s="510"/>
      <c r="M205" s="552" t="s">
        <v>848</v>
      </c>
      <c r="N205" s="697" t="s">
        <v>205</v>
      </c>
      <c r="O205" s="697" t="s">
        <v>206</v>
      </c>
      <c r="P205" s="696" t="s">
        <v>201</v>
      </c>
      <c r="Q205" s="697" t="s">
        <v>205</v>
      </c>
    </row>
    <row r="206" spans="1:23" s="21" customFormat="1" ht="15.75" outlineLevel="1" x14ac:dyDescent="0.25">
      <c r="A206" s="26"/>
      <c r="B206" s="510"/>
      <c r="C206" s="539" t="s">
        <v>134</v>
      </c>
      <c r="D206" s="693">
        <f>Inputs!C23 + IF(Inputs!C68=3,1,IF(Inputs!C68=2,0.5,0))</f>
        <v>24.2</v>
      </c>
      <c r="E206" s="693">
        <f>Inputs!C24</f>
        <v>26.3</v>
      </c>
      <c r="F206" s="518" t="s">
        <v>133</v>
      </c>
      <c r="G206" s="513">
        <v>1</v>
      </c>
      <c r="H206" s="694"/>
      <c r="I206" s="552"/>
      <c r="J206" s="614" t="s">
        <v>1053</v>
      </c>
      <c r="K206" s="731">
        <f>K205*C2</f>
        <v>673426710</v>
      </c>
      <c r="L206" s="510"/>
      <c r="M206" s="552">
        <v>0</v>
      </c>
      <c r="N206" s="552"/>
      <c r="O206" s="552">
        <v>0</v>
      </c>
      <c r="P206" s="552">
        <v>2.5</v>
      </c>
      <c r="Q206" s="697"/>
    </row>
    <row r="207" spans="1:23" s="21" customFormat="1" ht="15.75" outlineLevel="1" x14ac:dyDescent="0.25">
      <c r="A207" s="26"/>
      <c r="B207" s="510"/>
      <c r="C207" s="510"/>
      <c r="D207" s="510"/>
      <c r="E207" s="510"/>
      <c r="F207" s="510"/>
      <c r="G207" s="510"/>
      <c r="H207" s="694"/>
      <c r="I207" s="510"/>
      <c r="J207" s="510" t="s">
        <v>1054</v>
      </c>
      <c r="K207" s="699">
        <f>Inputs!C73</f>
        <v>28921</v>
      </c>
      <c r="L207" s="510"/>
      <c r="M207" s="552"/>
      <c r="N207" s="697" t="s">
        <v>209</v>
      </c>
      <c r="O207" s="697">
        <v>80000</v>
      </c>
      <c r="P207" s="696">
        <v>2.5</v>
      </c>
      <c r="Q207" s="697" t="s">
        <v>210</v>
      </c>
    </row>
    <row r="208" spans="1:23" s="21" customFormat="1" ht="15.75" outlineLevel="1" x14ac:dyDescent="0.25">
      <c r="A208" s="26"/>
      <c r="B208" s="510"/>
      <c r="C208" s="510"/>
      <c r="D208" s="510"/>
      <c r="E208" s="510"/>
      <c r="F208" s="510"/>
      <c r="G208" s="510"/>
      <c r="H208" s="694"/>
      <c r="I208" s="569"/>
      <c r="J208" s="510" t="s">
        <v>1054</v>
      </c>
      <c r="K208" s="731">
        <f>M67*K207</f>
        <v>245938399.79999998</v>
      </c>
      <c r="L208" s="510"/>
      <c r="M208" s="552"/>
      <c r="N208" s="697" t="s">
        <v>212</v>
      </c>
      <c r="O208" s="697">
        <v>110000</v>
      </c>
      <c r="P208" s="696">
        <v>2.5</v>
      </c>
      <c r="Q208" s="697" t="s">
        <v>210</v>
      </c>
    </row>
    <row r="209" spans="1:27" s="21" customFormat="1" ht="15.75" outlineLevel="1" x14ac:dyDescent="0.25">
      <c r="A209" s="26"/>
      <c r="B209" s="526" t="s">
        <v>135</v>
      </c>
      <c r="C209" s="510" t="s">
        <v>136</v>
      </c>
      <c r="D209" s="599">
        <f>D110</f>
        <v>4780.9246000000003</v>
      </c>
      <c r="E209" s="510"/>
      <c r="F209" s="510"/>
      <c r="G209" s="510"/>
      <c r="H209" s="694"/>
      <c r="I209" s="569"/>
      <c r="J209" s="510"/>
      <c r="K209" s="510"/>
      <c r="L209" s="510"/>
      <c r="M209" s="552"/>
      <c r="N209" s="697" t="s">
        <v>214</v>
      </c>
      <c r="O209" s="697">
        <v>165000</v>
      </c>
      <c r="P209" s="696">
        <v>2.5</v>
      </c>
      <c r="Q209" s="697" t="s">
        <v>210</v>
      </c>
    </row>
    <row r="210" spans="1:27" s="21" customFormat="1" ht="15.75" outlineLevel="1" x14ac:dyDescent="0.25">
      <c r="A210" s="26"/>
      <c r="B210" s="510"/>
      <c r="C210" s="510" t="s">
        <v>137</v>
      </c>
      <c r="D210" s="599">
        <v>0</v>
      </c>
      <c r="E210" s="510"/>
      <c r="F210" s="510"/>
      <c r="G210" s="510"/>
      <c r="H210" s="694"/>
      <c r="I210" s="569"/>
      <c r="J210" s="510"/>
      <c r="K210" s="510"/>
      <c r="L210" s="510"/>
      <c r="M210" s="552"/>
      <c r="N210" s="697" t="s">
        <v>216</v>
      </c>
      <c r="O210" s="697">
        <v>260000</v>
      </c>
      <c r="P210" s="696">
        <v>3</v>
      </c>
      <c r="Q210" s="697" t="s">
        <v>210</v>
      </c>
    </row>
    <row r="211" spans="1:27" s="21" customFormat="1" ht="15.75" outlineLevel="1" x14ac:dyDescent="0.25">
      <c r="A211" s="26"/>
      <c r="B211" s="510"/>
      <c r="C211" s="510" t="s">
        <v>138</v>
      </c>
      <c r="D211" s="599">
        <f>D110+D210</f>
        <v>4780.9246000000003</v>
      </c>
      <c r="E211" s="510"/>
      <c r="F211" s="510"/>
      <c r="G211" s="510"/>
      <c r="H211" s="694"/>
      <c r="I211" s="569"/>
      <c r="J211" s="510"/>
      <c r="K211" s="510"/>
      <c r="L211" s="510"/>
      <c r="M211" s="552"/>
      <c r="N211" s="697" t="s">
        <v>217</v>
      </c>
      <c r="O211" s="697">
        <v>370000</v>
      </c>
      <c r="P211" s="696">
        <v>3.5</v>
      </c>
      <c r="Q211" s="697" t="s">
        <v>210</v>
      </c>
    </row>
    <row r="212" spans="1:27" s="21" customFormat="1" ht="15.75" outlineLevel="1" x14ac:dyDescent="0.25">
      <c r="A212" s="26"/>
      <c r="B212" s="510"/>
      <c r="C212" s="510" t="s">
        <v>139</v>
      </c>
      <c r="D212" s="599">
        <f>(K206+K208)/3600</f>
        <v>255379.19716666665</v>
      </c>
      <c r="E212" s="510"/>
      <c r="F212" s="510"/>
      <c r="G212" s="510"/>
      <c r="H212" s="694"/>
      <c r="I212" s="569"/>
      <c r="J212" s="510"/>
      <c r="K212" s="510"/>
      <c r="L212" s="510"/>
      <c r="M212" s="510"/>
      <c r="N212" s="510"/>
      <c r="O212" s="510"/>
      <c r="P212" s="539"/>
      <c r="Q212" s="510"/>
    </row>
    <row r="213" spans="1:27" s="21" customFormat="1" ht="15.75" outlineLevel="1" x14ac:dyDescent="0.25">
      <c r="A213" s="26"/>
      <c r="B213" s="510"/>
      <c r="C213" s="510"/>
      <c r="D213" s="510" t="s">
        <v>140</v>
      </c>
      <c r="E213" s="510"/>
      <c r="F213" s="510"/>
      <c r="G213" s="510"/>
      <c r="H213" s="694"/>
      <c r="I213" s="569"/>
      <c r="J213" s="510"/>
      <c r="K213" s="510"/>
      <c r="L213" s="510"/>
      <c r="M213" s="510"/>
      <c r="N213" s="510"/>
      <c r="O213" s="510"/>
      <c r="P213" s="539"/>
      <c r="Q213" s="510"/>
    </row>
    <row r="214" spans="1:27" s="21" customFormat="1" ht="15.75" outlineLevel="1" x14ac:dyDescent="0.25">
      <c r="A214" s="26"/>
      <c r="B214" s="510"/>
      <c r="C214" s="510"/>
      <c r="D214" s="510" t="s">
        <v>141</v>
      </c>
      <c r="E214" s="510"/>
      <c r="F214" s="510"/>
      <c r="G214" s="510"/>
      <c r="H214" s="510"/>
      <c r="I214" s="510"/>
      <c r="J214" s="510"/>
      <c r="K214" s="510"/>
      <c r="L214" s="510"/>
      <c r="M214" s="510"/>
      <c r="N214" s="510"/>
      <c r="O214" s="510"/>
      <c r="P214" s="539"/>
      <c r="Q214" s="510"/>
    </row>
    <row r="215" spans="1:27" s="21" customFormat="1" ht="15.75" outlineLevel="1" x14ac:dyDescent="0.25">
      <c r="A215" s="26"/>
      <c r="C215" s="510"/>
      <c r="D215" s="510"/>
      <c r="E215" s="510"/>
      <c r="F215" s="510"/>
      <c r="G215" s="510"/>
      <c r="H215" s="510"/>
      <c r="I215" s="510"/>
      <c r="J215" s="510"/>
      <c r="K215" s="510"/>
      <c r="L215" s="510"/>
      <c r="M215" s="510"/>
      <c r="N215" s="510"/>
      <c r="O215" s="510"/>
      <c r="P215" s="539"/>
      <c r="Q215" s="510"/>
      <c r="R215" s="510"/>
      <c r="S215" s="510"/>
      <c r="T215" s="510"/>
      <c r="U215" s="510"/>
      <c r="V215" s="510"/>
      <c r="W215" s="510"/>
      <c r="X215" s="510"/>
      <c r="Y215" s="510"/>
      <c r="Z215" s="510"/>
      <c r="AA215" s="510"/>
    </row>
    <row r="216" spans="1:27" s="21" customFormat="1" ht="15.75" outlineLevel="1" x14ac:dyDescent="0.25">
      <c r="A216" s="26"/>
      <c r="C216" s="510"/>
      <c r="D216" s="698" t="s">
        <v>631</v>
      </c>
      <c r="E216" s="510"/>
      <c r="F216" s="699">
        <f>$E$16</f>
        <v>9</v>
      </c>
      <c r="G216" s="699">
        <f>$F$16</f>
        <v>15</v>
      </c>
      <c r="H216" s="699">
        <f>$E$16</f>
        <v>9</v>
      </c>
      <c r="I216" s="699">
        <f>$F$16</f>
        <v>15</v>
      </c>
      <c r="J216" s="699">
        <f>$E$16</f>
        <v>9</v>
      </c>
      <c r="K216" s="699">
        <f>$F$16</f>
        <v>15</v>
      </c>
      <c r="L216" s="510"/>
      <c r="M216" s="510"/>
      <c r="N216" s="510"/>
      <c r="O216" s="510"/>
      <c r="P216" s="510"/>
      <c r="Q216" s="510"/>
      <c r="R216" s="510"/>
      <c r="S216" s="510"/>
      <c r="T216" s="510"/>
      <c r="U216" s="510"/>
      <c r="V216" s="510"/>
      <c r="W216" s="510"/>
      <c r="X216" s="510"/>
      <c r="Y216" s="510"/>
      <c r="Z216" s="510"/>
      <c r="AA216" s="510"/>
    </row>
    <row r="217" spans="1:27" s="21" customFormat="1" ht="15.75" outlineLevel="1" x14ac:dyDescent="0.25">
      <c r="A217" s="26"/>
      <c r="C217" s="510"/>
      <c r="D217" s="509" t="s">
        <v>143</v>
      </c>
      <c r="E217" s="510"/>
      <c r="F217" s="509" t="s">
        <v>143</v>
      </c>
      <c r="G217" s="700" t="s">
        <v>144</v>
      </c>
      <c r="H217" s="700" t="s">
        <v>145</v>
      </c>
      <c r="I217" s="700" t="s">
        <v>146</v>
      </c>
      <c r="J217" s="700" t="s">
        <v>147</v>
      </c>
      <c r="K217" s="700" t="s">
        <v>148</v>
      </c>
      <c r="L217" s="700"/>
      <c r="M217" s="701" t="s">
        <v>149</v>
      </c>
      <c r="N217" s="700" t="s">
        <v>150</v>
      </c>
      <c r="O217" s="700" t="s">
        <v>151</v>
      </c>
      <c r="P217" s="700" t="s">
        <v>152</v>
      </c>
      <c r="Q217" s="700" t="s">
        <v>153</v>
      </c>
      <c r="R217" s="700"/>
      <c r="S217" s="510"/>
      <c r="T217" s="510"/>
      <c r="U217" s="510"/>
      <c r="V217" s="510"/>
      <c r="W217" s="510"/>
      <c r="X217" s="510"/>
      <c r="Y217" s="510"/>
      <c r="Z217" s="510"/>
      <c r="AA217" s="510"/>
    </row>
    <row r="218" spans="1:27" s="21" customFormat="1" ht="15.75" outlineLevel="1" x14ac:dyDescent="0.25">
      <c r="A218" s="26"/>
      <c r="C218" s="570" t="s">
        <v>114</v>
      </c>
      <c r="D218" s="569">
        <f t="shared" ref="D218:D229" si="63">$D$205</f>
        <v>20.6</v>
      </c>
      <c r="E218" s="510"/>
      <c r="F218" s="569">
        <f>D218</f>
        <v>20.6</v>
      </c>
      <c r="G218" s="569">
        <f t="shared" ref="G218:G229" ca="1" si="64">(F218-$CS5-$K188/$D$211)*EXP(-$D$211/$D$212*G$216)+$CS5+$K188/$D$211</f>
        <v>15.866545029059992</v>
      </c>
      <c r="H218" s="569">
        <f t="shared" ref="H218:H229" ca="1" si="65">(G218-$CR5-$L188/$D$211)*EXP(-$D$211/$D$212*H$216)+$CR5+$L188/$D$211</f>
        <v>15.451344552472879</v>
      </c>
      <c r="I218" s="569">
        <f t="shared" ref="I218:I229" ca="1" si="66">(H218-$CS5-$M188/$D$211)*EXP(-$D$211/$D$212*I$216)+$CS5+$M188/$D$211</f>
        <v>11.978438341821693</v>
      </c>
      <c r="J218" s="569">
        <f t="shared" ref="J218:J229" ca="1" si="67">(I218-$CR5-$L188/$D$211)*EXP(-$D$211/$D$212*J$216)+$CR5+$L188/$D$211</f>
        <v>12.166122121639086</v>
      </c>
      <c r="K218" s="569">
        <f t="shared" ref="K218:K229" ca="1" si="68">(J218-$CS5-$M188/$D$211)*EXP(-$D$211/$D$212*K$216)+$CS5+$M188/$D$211</f>
        <v>9.4975391182146698</v>
      </c>
      <c r="L218" s="687"/>
      <c r="M218" s="687">
        <f t="shared" ref="M218:M229" ca="1" si="69">$D$212/G$216/$D$211*(F231-$CS5-$K188/$D$211)*(1-EXP(-$D$211/$D$212*G$216))+$CS5+$K188/$D$211</f>
        <v>18.122649737584069</v>
      </c>
      <c r="N218" s="687">
        <f t="shared" ref="N218:N229" ca="1" si="70">$D$212/H$216/$D$211*(G231-$CR5-$L188/$D$211)*(1-EXP(-$D$211/$D$212*H$216))+$CR5+$L188/$D$211</f>
        <v>16.144053596604827</v>
      </c>
      <c r="O218" s="687">
        <f t="shared" ref="O218:O229" ca="1" si="71">$D$212/I$216/$D$211*(H231-$CS5-$M188/$D$211)*(1-EXP(-$D$211/$D$212*I$216))+$CS5+$M188/$D$211</f>
        <v>14.460825673286855</v>
      </c>
      <c r="P218" s="687">
        <f t="shared" ref="P218:P229" ca="1" si="72">$D$212/J$216/$D$211*(I231-$CR5-$L188/$D$211)*(1-EXP(-$D$211/$D$212*J$216))+$CR5+$L188/$D$211</f>
        <v>16.144053596604827</v>
      </c>
      <c r="Q218" s="687">
        <f t="shared" ref="Q218:Q229" ca="1" si="73">$D$212/K$216/$D$211*(J231-$CS5-$M188/$D$211)*(1-EXP(-$D$211/$D$212*K$216))+$CS5+$M188/$D$211</f>
        <v>14.460825673286855</v>
      </c>
      <c r="R218" s="687"/>
      <c r="S218" s="510"/>
      <c r="T218" s="510"/>
      <c r="U218" s="510"/>
      <c r="V218" s="510"/>
      <c r="W218" s="510"/>
      <c r="X218" s="510"/>
      <c r="Y218" s="510"/>
      <c r="Z218" s="510"/>
      <c r="AA218" s="510"/>
    </row>
    <row r="219" spans="1:27" s="21" customFormat="1" ht="15.75" outlineLevel="1" x14ac:dyDescent="0.25">
      <c r="A219" s="26"/>
      <c r="C219" s="570" t="s">
        <v>115</v>
      </c>
      <c r="D219" s="569">
        <f t="shared" si="63"/>
        <v>20.6</v>
      </c>
      <c r="E219" s="510"/>
      <c r="F219" s="569">
        <f t="shared" ref="F219:F229" si="74">D219</f>
        <v>20.6</v>
      </c>
      <c r="G219" s="569">
        <f t="shared" ca="1" si="64"/>
        <v>16.40992232443184</v>
      </c>
      <c r="H219" s="569">
        <f t="shared" ca="1" si="65"/>
        <v>16.71123588748717</v>
      </c>
      <c r="I219" s="569">
        <f t="shared" ca="1" si="66"/>
        <v>13.473246933147795</v>
      </c>
      <c r="J219" s="569">
        <f t="shared" ca="1" si="67"/>
        <v>14.229917178000672</v>
      </c>
      <c r="K219" s="569">
        <f t="shared" ca="1" si="68"/>
        <v>11.599431144569893</v>
      </c>
      <c r="L219" s="687"/>
      <c r="M219" s="687">
        <f t="shared" ca="1" si="69"/>
        <v>18.407037334708072</v>
      </c>
      <c r="N219" s="687">
        <f t="shared" ca="1" si="70"/>
        <v>16.564807748078316</v>
      </c>
      <c r="O219" s="687">
        <f t="shared" ca="1" si="71"/>
        <v>15.016568285285487</v>
      </c>
      <c r="P219" s="687">
        <f t="shared" ca="1" si="72"/>
        <v>16.555676286285866</v>
      </c>
      <c r="Q219" s="687">
        <f t="shared" ca="1" si="73"/>
        <v>14.745213270410863</v>
      </c>
      <c r="R219" s="687"/>
      <c r="S219" s="510"/>
      <c r="T219" s="510"/>
      <c r="U219" s="510"/>
      <c r="V219" s="510"/>
      <c r="W219" s="510"/>
      <c r="X219" s="510"/>
      <c r="Y219" s="510"/>
      <c r="Z219" s="510"/>
      <c r="AA219" s="510"/>
    </row>
    <row r="220" spans="1:27" s="21" customFormat="1" ht="15.75" outlineLevel="1" x14ac:dyDescent="0.25">
      <c r="A220" s="26"/>
      <c r="C220" s="570" t="s">
        <v>116</v>
      </c>
      <c r="D220" s="569">
        <f t="shared" si="63"/>
        <v>20.6</v>
      </c>
      <c r="E220" s="510"/>
      <c r="F220" s="569">
        <f t="shared" si="74"/>
        <v>20.6</v>
      </c>
      <c r="G220" s="569">
        <f t="shared" ca="1" si="64"/>
        <v>17.945349635462261</v>
      </c>
      <c r="H220" s="569">
        <f t="shared" ca="1" si="65"/>
        <v>19.46306484155609</v>
      </c>
      <c r="I220" s="569">
        <f t="shared" ca="1" si="66"/>
        <v>17.086771073048407</v>
      </c>
      <c r="J220" s="569">
        <f t="shared" ca="1" si="67"/>
        <v>18.737616241821684</v>
      </c>
      <c r="K220" s="569">
        <f t="shared" ca="1" si="68"/>
        <v>16.538934539681286</v>
      </c>
      <c r="L220" s="687"/>
      <c r="M220" s="687">
        <f t="shared" ca="1" si="69"/>
        <v>19.210634553917792</v>
      </c>
      <c r="N220" s="687">
        <f t="shared" ca="1" si="70"/>
        <v>18.725506891866203</v>
      </c>
      <c r="O220" s="687">
        <f t="shared" ca="1" si="71"/>
        <v>18.219383000885536</v>
      </c>
      <c r="P220" s="687">
        <f t="shared" ca="1" si="72"/>
        <v>17.935361660035142</v>
      </c>
      <c r="Q220" s="687">
        <f t="shared" ca="1" si="73"/>
        <v>17.58689130090502</v>
      </c>
      <c r="R220" s="687"/>
      <c r="S220" s="510"/>
      <c r="T220" s="510"/>
      <c r="U220" s="510"/>
      <c r="V220" s="510"/>
      <c r="W220" s="510"/>
      <c r="X220" s="510"/>
      <c r="Y220" s="510"/>
      <c r="Z220" s="510"/>
      <c r="AA220" s="510"/>
    </row>
    <row r="221" spans="1:27" s="21" customFormat="1" ht="15.75" outlineLevel="1" x14ac:dyDescent="0.25">
      <c r="A221" s="26"/>
      <c r="C221" s="570" t="s">
        <v>117</v>
      </c>
      <c r="D221" s="569">
        <f t="shared" si="63"/>
        <v>20.6</v>
      </c>
      <c r="E221" s="510"/>
      <c r="F221" s="569">
        <f t="shared" si="74"/>
        <v>20.6</v>
      </c>
      <c r="G221" s="569">
        <f t="shared" ca="1" si="64"/>
        <v>19.6011084566411</v>
      </c>
      <c r="H221" s="569">
        <f t="shared" ca="1" si="65"/>
        <v>21.927276676574991</v>
      </c>
      <c r="I221" s="569">
        <f t="shared" ca="1" si="66"/>
        <v>20.603427095866657</v>
      </c>
      <c r="J221" s="569">
        <f t="shared" ca="1" si="67"/>
        <v>22.774177222600255</v>
      </c>
      <c r="K221" s="569">
        <f t="shared" ca="1" si="68"/>
        <v>21.242980414201085</v>
      </c>
      <c r="L221" s="687"/>
      <c r="M221" s="687">
        <f t="shared" ca="1" si="69"/>
        <v>20.077209724766053</v>
      </c>
      <c r="N221" s="687">
        <f t="shared" ca="1" si="70"/>
        <v>20.79683806988546</v>
      </c>
      <c r="O221" s="687">
        <f t="shared" ca="1" si="71"/>
        <v>21.234412980542892</v>
      </c>
      <c r="P221" s="687">
        <f t="shared" ca="1" si="72"/>
        <v>21.719266521083757</v>
      </c>
      <c r="Q221" s="687">
        <f t="shared" ca="1" si="73"/>
        <v>21.972794123281403</v>
      </c>
      <c r="R221" s="687"/>
      <c r="S221" s="510"/>
      <c r="T221" s="510"/>
      <c r="U221" s="510"/>
      <c r="V221" s="510"/>
      <c r="W221" s="510"/>
      <c r="X221" s="510"/>
      <c r="Y221" s="510"/>
      <c r="Z221" s="510"/>
      <c r="AA221" s="510"/>
    </row>
    <row r="222" spans="1:27" s="21" customFormat="1" ht="15.75" outlineLevel="1" x14ac:dyDescent="0.25">
      <c r="A222" s="26"/>
      <c r="C222" s="570" t="s">
        <v>118</v>
      </c>
      <c r="D222" s="569">
        <f t="shared" si="63"/>
        <v>20.6</v>
      </c>
      <c r="E222" s="510"/>
      <c r="F222" s="569">
        <f t="shared" si="74"/>
        <v>20.6</v>
      </c>
      <c r="G222" s="569">
        <f t="shared" ca="1" si="64"/>
        <v>20.737485744181818</v>
      </c>
      <c r="H222" s="569">
        <f t="shared" ca="1" si="65"/>
        <v>24.648327459208698</v>
      </c>
      <c r="I222" s="569">
        <f t="shared" ca="1" si="66"/>
        <v>23.794658481161097</v>
      </c>
      <c r="J222" s="569">
        <f t="shared" ca="1" si="67"/>
        <v>27.23145936848038</v>
      </c>
      <c r="K222" s="569">
        <f t="shared" ca="1" si="68"/>
        <v>25.745360475655929</v>
      </c>
      <c r="L222" s="687"/>
      <c r="M222" s="687">
        <f t="shared" ca="1" si="69"/>
        <v>20.671955970114499</v>
      </c>
      <c r="N222" s="687">
        <f t="shared" ca="1" si="70"/>
        <v>22.747791452640815</v>
      </c>
      <c r="O222" s="687">
        <f t="shared" ca="1" si="71"/>
        <v>24.201542377325353</v>
      </c>
      <c r="P222" s="687">
        <f t="shared" ca="1" si="72"/>
        <v>25.561291074873068</v>
      </c>
      <c r="Q222" s="687">
        <f t="shared" ca="1" si="73"/>
        <v>26.453679183664647</v>
      </c>
      <c r="R222" s="687"/>
      <c r="S222" s="510"/>
      <c r="T222" s="510"/>
      <c r="U222" s="510"/>
      <c r="V222" s="510"/>
      <c r="W222" s="510"/>
      <c r="X222" s="510"/>
      <c r="Y222" s="510"/>
      <c r="Z222" s="510"/>
      <c r="AA222" s="510"/>
    </row>
    <row r="223" spans="1:27" s="21" customFormat="1" ht="15.75" outlineLevel="1" x14ac:dyDescent="0.25">
      <c r="A223" s="26"/>
      <c r="C223" s="570" t="s">
        <v>119</v>
      </c>
      <c r="D223" s="569">
        <f t="shared" si="63"/>
        <v>20.6</v>
      </c>
      <c r="E223" s="510"/>
      <c r="F223" s="569">
        <f t="shared" si="74"/>
        <v>20.6</v>
      </c>
      <c r="G223" s="569">
        <f t="shared" ca="1" si="64"/>
        <v>22.39645898703855</v>
      </c>
      <c r="H223" s="569">
        <f t="shared" ca="1" si="65"/>
        <v>26.818832151804067</v>
      </c>
      <c r="I223" s="569">
        <f t="shared" ca="1" si="66"/>
        <v>27.092730299552812</v>
      </c>
      <c r="J223" s="569">
        <f t="shared" ca="1" si="67"/>
        <v>30.786906358150432</v>
      </c>
      <c r="K223" s="569">
        <f t="shared" ca="1" si="68"/>
        <v>30.089298241298309</v>
      </c>
      <c r="L223" s="687"/>
      <c r="M223" s="687">
        <f t="shared" ca="1" si="69"/>
        <v>21.540213474149855</v>
      </c>
      <c r="N223" s="687">
        <f t="shared" ca="1" si="70"/>
        <v>24.669709265592179</v>
      </c>
      <c r="O223" s="687">
        <f t="shared" ca="1" si="71"/>
        <v>26.962182337316833</v>
      </c>
      <c r="P223" s="687">
        <f t="shared" ca="1" si="72"/>
        <v>28.991662488527972</v>
      </c>
      <c r="Q223" s="687">
        <f t="shared" ca="1" si="73"/>
        <v>30.421798912963546</v>
      </c>
      <c r="R223" s="687"/>
      <c r="S223" s="510"/>
      <c r="T223" s="510"/>
      <c r="U223" s="510"/>
      <c r="V223" s="510"/>
      <c r="W223" s="510"/>
      <c r="X223" s="510"/>
      <c r="Y223" s="510"/>
      <c r="Z223" s="510"/>
      <c r="AA223" s="510"/>
    </row>
    <row r="224" spans="1:27" s="21" customFormat="1" ht="15.75" outlineLevel="1" x14ac:dyDescent="0.25">
      <c r="A224" s="26"/>
      <c r="C224" s="570" t="s">
        <v>120</v>
      </c>
      <c r="D224" s="569">
        <f t="shared" si="63"/>
        <v>20.6</v>
      </c>
      <c r="E224" s="510"/>
      <c r="F224" s="569">
        <f t="shared" si="74"/>
        <v>20.6</v>
      </c>
      <c r="G224" s="569">
        <f t="shared" ca="1" si="64"/>
        <v>23.1369386244669</v>
      </c>
      <c r="H224" s="569">
        <f t="shared" ca="1" si="65"/>
        <v>27.922569000327819</v>
      </c>
      <c r="I224" s="569">
        <f t="shared" ca="1" si="66"/>
        <v>28.666718153919177</v>
      </c>
      <c r="J224" s="569">
        <f t="shared" ca="1" si="67"/>
        <v>32.594908832809566</v>
      </c>
      <c r="K224" s="569">
        <f t="shared" ca="1" si="68"/>
        <v>32.195125897041216</v>
      </c>
      <c r="L224" s="687"/>
      <c r="M224" s="687">
        <f t="shared" ca="1" si="69"/>
        <v>21.927758604579708</v>
      </c>
      <c r="N224" s="687">
        <f t="shared" ca="1" si="70"/>
        <v>25.596915469400873</v>
      </c>
      <c r="O224" s="687">
        <f t="shared" ca="1" si="71"/>
        <v>28.312034646931416</v>
      </c>
      <c r="P224" s="687">
        <f t="shared" ca="1" si="72"/>
        <v>30.685941820104937</v>
      </c>
      <c r="Q224" s="687">
        <f t="shared" ca="1" si="73"/>
        <v>32.385674274349519</v>
      </c>
      <c r="R224" s="687"/>
      <c r="S224" s="510"/>
      <c r="T224" s="510"/>
      <c r="U224" s="510"/>
      <c r="V224" s="510"/>
      <c r="W224" s="510"/>
      <c r="X224" s="510"/>
      <c r="Y224" s="510"/>
      <c r="Z224" s="510"/>
      <c r="AA224" s="510"/>
    </row>
    <row r="225" spans="1:27" s="21" customFormat="1" ht="15.75" outlineLevel="1" x14ac:dyDescent="0.25">
      <c r="A225" s="26"/>
      <c r="C225" s="570" t="s">
        <v>121</v>
      </c>
      <c r="D225" s="569">
        <f t="shared" si="63"/>
        <v>20.6</v>
      </c>
      <c r="E225" s="510"/>
      <c r="F225" s="569">
        <f t="shared" si="74"/>
        <v>20.6</v>
      </c>
      <c r="G225" s="569">
        <f t="shared" ca="1" si="64"/>
        <v>22.414155956292475</v>
      </c>
      <c r="H225" s="569">
        <f t="shared" ca="1" si="65"/>
        <v>26.664012692090704</v>
      </c>
      <c r="I225" s="569">
        <f t="shared" ca="1" si="66"/>
        <v>26.993512361068007</v>
      </c>
      <c r="J225" s="569">
        <f t="shared" ca="1" si="67"/>
        <v>30.533300648907751</v>
      </c>
      <c r="K225" s="569">
        <f t="shared" ca="1" si="68"/>
        <v>29.915479956894725</v>
      </c>
      <c r="L225" s="687"/>
      <c r="M225" s="687">
        <f t="shared" ca="1" si="69"/>
        <v>21.549475544179955</v>
      </c>
      <c r="N225" s="687">
        <f t="shared" ca="1" si="70"/>
        <v>24.598726920461345</v>
      </c>
      <c r="O225" s="687">
        <f t="shared" ca="1" si="71"/>
        <v>26.836463068489824</v>
      </c>
      <c r="P225" s="687">
        <f t="shared" ca="1" si="72"/>
        <v>28.81308398280817</v>
      </c>
      <c r="Q225" s="687">
        <f t="shared" ca="1" si="73"/>
        <v>30.209951580863166</v>
      </c>
      <c r="R225" s="687"/>
      <c r="S225" s="510"/>
      <c r="T225" s="510"/>
      <c r="U225" s="510"/>
      <c r="V225" s="510"/>
      <c r="W225" s="510"/>
      <c r="X225" s="510"/>
      <c r="Y225" s="510"/>
      <c r="Z225" s="510"/>
      <c r="AA225" s="510"/>
    </row>
    <row r="226" spans="1:27" s="21" customFormat="1" ht="15.75" outlineLevel="1" x14ac:dyDescent="0.25">
      <c r="A226" s="26"/>
      <c r="C226" s="570" t="s">
        <v>122</v>
      </c>
      <c r="D226" s="569">
        <f t="shared" si="63"/>
        <v>20.6</v>
      </c>
      <c r="E226" s="510"/>
      <c r="F226" s="569">
        <f t="shared" si="74"/>
        <v>20.6</v>
      </c>
      <c r="G226" s="569">
        <f t="shared" ca="1" si="64"/>
        <v>21.331921117669303</v>
      </c>
      <c r="H226" s="569">
        <f t="shared" ca="1" si="65"/>
        <v>25.041565679152921</v>
      </c>
      <c r="I226" s="569">
        <f t="shared" ca="1" si="66"/>
        <v>24.686055297927361</v>
      </c>
      <c r="J226" s="569">
        <f t="shared" ca="1" si="67"/>
        <v>27.875612615461883</v>
      </c>
      <c r="K226" s="569">
        <f t="shared" ca="1" si="68"/>
        <v>26.826240625400086</v>
      </c>
      <c r="L226" s="687"/>
      <c r="M226" s="687">
        <f t="shared" ca="1" si="69"/>
        <v>20.983065854446213</v>
      </c>
      <c r="N226" s="687">
        <f t="shared" ca="1" si="70"/>
        <v>23.238804643445835</v>
      </c>
      <c r="O226" s="687">
        <f t="shared" ca="1" si="71"/>
        <v>24.855502065655436</v>
      </c>
      <c r="P226" s="687">
        <f t="shared" ca="1" si="72"/>
        <v>26.325596284272997</v>
      </c>
      <c r="Q226" s="687">
        <f t="shared" ca="1" si="73"/>
        <v>27.326402368208754</v>
      </c>
      <c r="R226" s="687"/>
      <c r="S226" s="510"/>
      <c r="T226" s="510"/>
      <c r="U226" s="510"/>
      <c r="V226" s="510"/>
      <c r="W226" s="510"/>
      <c r="X226" s="510"/>
      <c r="Y226" s="510"/>
      <c r="Z226" s="510"/>
      <c r="AA226" s="510"/>
    </row>
    <row r="227" spans="1:27" s="21" customFormat="1" ht="15.75" outlineLevel="1" x14ac:dyDescent="0.25">
      <c r="A227" s="26"/>
      <c r="C227" s="570" t="s">
        <v>123</v>
      </c>
      <c r="D227" s="569">
        <f t="shared" si="63"/>
        <v>20.6</v>
      </c>
      <c r="E227" s="510"/>
      <c r="F227" s="569">
        <f t="shared" si="74"/>
        <v>20.6</v>
      </c>
      <c r="G227" s="569">
        <f t="shared" ca="1" si="64"/>
        <v>19.509443304326215</v>
      </c>
      <c r="H227" s="569">
        <f t="shared" ca="1" si="65"/>
        <v>21.910122479549926</v>
      </c>
      <c r="I227" s="569">
        <f t="shared" ca="1" si="66"/>
        <v>20.498807620069243</v>
      </c>
      <c r="J227" s="569">
        <f t="shared" ca="1" si="67"/>
        <v>22.746077380945437</v>
      </c>
      <c r="K227" s="569">
        <f t="shared" ca="1" si="68"/>
        <v>21.130095123276824</v>
      </c>
      <c r="L227" s="687"/>
      <c r="M227" s="687">
        <f t="shared" ca="1" si="69"/>
        <v>20.029234896541041</v>
      </c>
      <c r="N227" s="687">
        <f t="shared" ca="1" si="70"/>
        <v>20.743474083835196</v>
      </c>
      <c r="O227" s="687">
        <f t="shared" ca="1" si="71"/>
        <v>21.171482044825002</v>
      </c>
      <c r="P227" s="687">
        <f t="shared" ca="1" si="72"/>
        <v>21.653980740826867</v>
      </c>
      <c r="Q227" s="687">
        <f t="shared" ca="1" si="73"/>
        <v>21.900320086395784</v>
      </c>
      <c r="R227" s="687"/>
      <c r="S227" s="510"/>
      <c r="T227" s="510"/>
      <c r="U227" s="510"/>
      <c r="V227" s="510"/>
      <c r="W227" s="510"/>
      <c r="X227" s="510"/>
      <c r="Y227" s="510"/>
      <c r="Z227" s="510"/>
      <c r="AA227" s="510"/>
    </row>
    <row r="228" spans="1:27" s="21" customFormat="1" ht="15.75" outlineLevel="1" x14ac:dyDescent="0.25">
      <c r="A228" s="26"/>
      <c r="C228" s="570" t="s">
        <v>124</v>
      </c>
      <c r="D228" s="569">
        <f t="shared" si="63"/>
        <v>20.6</v>
      </c>
      <c r="E228" s="510"/>
      <c r="F228" s="569">
        <f t="shared" si="74"/>
        <v>20.6</v>
      </c>
      <c r="G228" s="569">
        <f t="shared" ca="1" si="64"/>
        <v>18.147425884611231</v>
      </c>
      <c r="H228" s="569">
        <f t="shared" ca="1" si="65"/>
        <v>18.792569561888769</v>
      </c>
      <c r="I228" s="569">
        <f t="shared" ca="1" si="66"/>
        <v>16.782509850753577</v>
      </c>
      <c r="J228" s="569">
        <f t="shared" ca="1" si="67"/>
        <v>17.639295454120173</v>
      </c>
      <c r="K228" s="569">
        <f t="shared" ca="1" si="68"/>
        <v>15.911592614917272</v>
      </c>
      <c r="L228" s="687"/>
      <c r="M228" s="687">
        <f t="shared" ca="1" si="69"/>
        <v>19.316395283011158</v>
      </c>
      <c r="N228" s="687">
        <f t="shared" ca="1" si="70"/>
        <v>18.479051685835547</v>
      </c>
      <c r="O228" s="687">
        <f t="shared" ca="1" si="71"/>
        <v>17.740563789482831</v>
      </c>
      <c r="P228" s="687">
        <f t="shared" ca="1" si="72"/>
        <v>17.222926803133742</v>
      </c>
      <c r="Q228" s="687">
        <f t="shared" ca="1" si="73"/>
        <v>16.735066913159514</v>
      </c>
      <c r="R228" s="687"/>
      <c r="S228" s="510"/>
      <c r="T228" s="510"/>
      <c r="U228" s="510"/>
      <c r="V228" s="510"/>
      <c r="W228" s="510"/>
      <c r="X228" s="510"/>
      <c r="Y228" s="510"/>
      <c r="Z228" s="510"/>
      <c r="AA228" s="510"/>
    </row>
    <row r="229" spans="1:27" s="21" customFormat="1" ht="15.75" outlineLevel="1" x14ac:dyDescent="0.25">
      <c r="A229" s="26"/>
      <c r="C229" s="570" t="s">
        <v>125</v>
      </c>
      <c r="D229" s="569">
        <f t="shared" si="63"/>
        <v>20.6</v>
      </c>
      <c r="E229" s="510"/>
      <c r="F229" s="569">
        <f t="shared" si="74"/>
        <v>20.6</v>
      </c>
      <c r="G229" s="569">
        <f t="shared" ca="1" si="64"/>
        <v>16.077832309483469</v>
      </c>
      <c r="H229" s="569">
        <f t="shared" ca="1" si="65"/>
        <v>15.598573253363583</v>
      </c>
      <c r="I229" s="569">
        <f t="shared" ca="1" si="66"/>
        <v>12.300908221725873</v>
      </c>
      <c r="J229" s="569">
        <f t="shared" ca="1" si="67"/>
        <v>12.40729360731275</v>
      </c>
      <c r="K229" s="569">
        <f t="shared" ca="1" si="68"/>
        <v>9.8909517080078651</v>
      </c>
      <c r="L229" s="687"/>
      <c r="M229" s="687">
        <f t="shared" ca="1" si="69"/>
        <v>18.233231247879559</v>
      </c>
      <c r="N229" s="687">
        <f t="shared" ca="1" si="70"/>
        <v>16.127966040099604</v>
      </c>
      <c r="O229" s="687">
        <f t="shared" ca="1" si="71"/>
        <v>14.571407183582348</v>
      </c>
      <c r="P229" s="687">
        <f t="shared" ca="1" si="72"/>
        <v>16.127966040099604</v>
      </c>
      <c r="Q229" s="687">
        <f t="shared" ca="1" si="73"/>
        <v>14.571407183582348</v>
      </c>
      <c r="R229" s="687"/>
      <c r="S229" s="510"/>
      <c r="T229" s="510"/>
      <c r="U229" s="702" t="s">
        <v>154</v>
      </c>
      <c r="V229" s="702" t="s">
        <v>155</v>
      </c>
      <c r="W229" s="510"/>
      <c r="X229" s="510" t="s">
        <v>156</v>
      </c>
      <c r="Y229" s="510"/>
      <c r="Z229" s="703" t="s">
        <v>944</v>
      </c>
      <c r="AA229" s="510"/>
    </row>
    <row r="230" spans="1:27" s="19" customFormat="1" ht="15.75" outlineLevel="1" x14ac:dyDescent="0.25">
      <c r="A230" s="55"/>
      <c r="C230" s="570"/>
      <c r="D230" s="569"/>
      <c r="E230" s="510"/>
      <c r="F230" s="569"/>
      <c r="G230" s="569"/>
      <c r="H230" s="569"/>
      <c r="I230" s="569"/>
      <c r="J230" s="569"/>
      <c r="K230" s="569"/>
      <c r="L230" s="687"/>
      <c r="M230" s="510"/>
      <c r="N230" s="510"/>
      <c r="O230" s="510"/>
      <c r="P230" s="510"/>
      <c r="Q230" s="510"/>
      <c r="R230" s="687"/>
      <c r="S230" s="700" t="s">
        <v>157</v>
      </c>
      <c r="T230" s="510"/>
      <c r="U230" s="510" t="s">
        <v>158</v>
      </c>
      <c r="V230" s="510" t="s">
        <v>159</v>
      </c>
      <c r="W230" s="510"/>
      <c r="X230" s="509" t="s">
        <v>160</v>
      </c>
      <c r="Y230" s="510"/>
      <c r="Z230" s="509" t="s">
        <v>161</v>
      </c>
      <c r="AA230" s="510"/>
    </row>
    <row r="231" spans="1:27" s="19" customFormat="1" ht="15.75" outlineLevel="1" x14ac:dyDescent="0.25">
      <c r="A231" s="55"/>
      <c r="C231" s="570"/>
      <c r="D231" s="569"/>
      <c r="E231" s="510"/>
      <c r="F231" s="569">
        <f t="shared" ref="F231:K242" si="75">IF(AND($G$205=1,F218&lt;=$E$205),$E$205,F218)</f>
        <v>20.6</v>
      </c>
      <c r="G231" s="569">
        <f t="shared" ca="1" si="75"/>
        <v>16.399999999999999</v>
      </c>
      <c r="H231" s="569">
        <f t="shared" ca="1" si="75"/>
        <v>16.399999999999999</v>
      </c>
      <c r="I231" s="569">
        <f t="shared" ca="1" si="75"/>
        <v>16.399999999999999</v>
      </c>
      <c r="J231" s="569">
        <f t="shared" ca="1" si="75"/>
        <v>16.399999999999999</v>
      </c>
      <c r="K231" s="569">
        <f t="shared" ca="1" si="75"/>
        <v>16.399999999999999</v>
      </c>
      <c r="L231" s="687"/>
      <c r="M231" s="569">
        <f t="shared" ref="M231:Q242" ca="1" si="76">IF(AND($G$205=1,M218&lt;=$E$205),$E$205,M218)</f>
        <v>18.122649737584069</v>
      </c>
      <c r="N231" s="569">
        <f t="shared" ca="1" si="76"/>
        <v>16.399999999999999</v>
      </c>
      <c r="O231" s="569">
        <f t="shared" ca="1" si="76"/>
        <v>16.399999999999999</v>
      </c>
      <c r="P231" s="569">
        <f t="shared" ca="1" si="76"/>
        <v>16.399999999999999</v>
      </c>
      <c r="Q231" s="569">
        <f t="shared" ca="1" si="76"/>
        <v>16.399999999999999</v>
      </c>
      <c r="R231" s="687"/>
      <c r="S231" s="687">
        <f ca="1">AVERAGE(M231:Q231)</f>
        <v>16.744529947516817</v>
      </c>
      <c r="T231" s="510"/>
      <c r="U231" s="570">
        <f ca="1">IF($G$205=1,M231,D218)</f>
        <v>18.122649737584069</v>
      </c>
      <c r="V231" s="570">
        <f t="shared" ref="V231:V242" ca="1" si="77">IF($G$205=1,S231,D218)</f>
        <v>16.744529947516817</v>
      </c>
      <c r="W231" s="510"/>
      <c r="X231" s="569">
        <f t="shared" ref="X231:X242" ca="1" si="78">D218*$E$18+U231*$F$18+V231*$I$18</f>
        <v>18.269430779455973</v>
      </c>
      <c r="Y231" s="510"/>
      <c r="Z231" s="704">
        <f ca="1">IF($D$205&gt;X231,X231,$D$205)</f>
        <v>18.269430779455973</v>
      </c>
      <c r="AA231" s="510"/>
    </row>
    <row r="232" spans="1:27" s="19" customFormat="1" ht="15.75" outlineLevel="1" x14ac:dyDescent="0.25">
      <c r="A232" s="55"/>
      <c r="C232" s="570"/>
      <c r="D232" s="569"/>
      <c r="E232" s="510"/>
      <c r="F232" s="569">
        <f t="shared" si="75"/>
        <v>20.6</v>
      </c>
      <c r="G232" s="569">
        <f t="shared" ca="1" si="75"/>
        <v>16.40992232443184</v>
      </c>
      <c r="H232" s="569">
        <f t="shared" ca="1" si="75"/>
        <v>16.71123588748717</v>
      </c>
      <c r="I232" s="569">
        <f t="shared" ca="1" si="75"/>
        <v>16.399999999999999</v>
      </c>
      <c r="J232" s="569">
        <f t="shared" ca="1" si="75"/>
        <v>16.399999999999999</v>
      </c>
      <c r="K232" s="569">
        <f t="shared" ca="1" si="75"/>
        <v>16.399999999999999</v>
      </c>
      <c r="L232" s="687"/>
      <c r="M232" s="569">
        <f t="shared" ca="1" si="76"/>
        <v>18.407037334708072</v>
      </c>
      <c r="N232" s="569">
        <f t="shared" ca="1" si="76"/>
        <v>16.564807748078316</v>
      </c>
      <c r="O232" s="569">
        <f t="shared" ca="1" si="76"/>
        <v>16.399999999999999</v>
      </c>
      <c r="P232" s="569">
        <f t="shared" ca="1" si="76"/>
        <v>16.555676286285866</v>
      </c>
      <c r="Q232" s="569">
        <f t="shared" ca="1" si="76"/>
        <v>16.399999999999999</v>
      </c>
      <c r="R232" s="687"/>
      <c r="S232" s="687">
        <f t="shared" ref="S232:S242" ca="1" si="79">AVERAGE(M232:Q232)</f>
        <v>16.865504273814452</v>
      </c>
      <c r="T232" s="510"/>
      <c r="U232" s="570">
        <f t="shared" ref="U232:U242" ca="1" si="80">IF($G$205=1,M232,D219)</f>
        <v>18.407037334708072</v>
      </c>
      <c r="V232" s="570">
        <f t="shared" ca="1" si="77"/>
        <v>16.865504273814452</v>
      </c>
      <c r="W232" s="510"/>
      <c r="X232" s="569">
        <f t="shared" ca="1" si="78"/>
        <v>18.416363150790446</v>
      </c>
      <c r="Y232" s="510"/>
      <c r="Z232" s="704">
        <f t="shared" ref="Z232:Z242" ca="1" si="81">IF($D$205&gt;X232,X232,$D$205)</f>
        <v>18.416363150790446</v>
      </c>
      <c r="AA232" s="510"/>
    </row>
    <row r="233" spans="1:27" s="19" customFormat="1" ht="15.75" outlineLevel="1" x14ac:dyDescent="0.25">
      <c r="A233" s="55"/>
      <c r="C233" s="570"/>
      <c r="D233" s="569"/>
      <c r="E233" s="510"/>
      <c r="F233" s="569">
        <f t="shared" si="75"/>
        <v>20.6</v>
      </c>
      <c r="G233" s="569">
        <f t="shared" ca="1" si="75"/>
        <v>17.945349635462261</v>
      </c>
      <c r="H233" s="569">
        <f t="shared" ca="1" si="75"/>
        <v>19.46306484155609</v>
      </c>
      <c r="I233" s="569">
        <f t="shared" ca="1" si="75"/>
        <v>17.086771073048407</v>
      </c>
      <c r="J233" s="569">
        <f t="shared" ca="1" si="75"/>
        <v>18.737616241821684</v>
      </c>
      <c r="K233" s="569">
        <f t="shared" ca="1" si="75"/>
        <v>16.538934539681286</v>
      </c>
      <c r="L233" s="687"/>
      <c r="M233" s="569">
        <f t="shared" ca="1" si="76"/>
        <v>19.210634553917792</v>
      </c>
      <c r="N233" s="569">
        <f t="shared" ca="1" si="76"/>
        <v>18.725506891866203</v>
      </c>
      <c r="O233" s="569">
        <f t="shared" ca="1" si="76"/>
        <v>18.219383000885536</v>
      </c>
      <c r="P233" s="569">
        <f t="shared" ca="1" si="76"/>
        <v>17.935361660035142</v>
      </c>
      <c r="Q233" s="569">
        <f t="shared" ca="1" si="76"/>
        <v>17.58689130090502</v>
      </c>
      <c r="R233" s="687"/>
      <c r="S233" s="687">
        <f t="shared" ca="1" si="79"/>
        <v>18.33555548152194</v>
      </c>
      <c r="T233" s="510"/>
      <c r="U233" s="570">
        <f t="shared" ca="1" si="80"/>
        <v>19.210634553917792</v>
      </c>
      <c r="V233" s="570">
        <f t="shared" ca="1" si="77"/>
        <v>18.33555548152194</v>
      </c>
      <c r="W233" s="510"/>
      <c r="X233" s="569">
        <f t="shared" ca="1" si="78"/>
        <v>19.254631360541367</v>
      </c>
      <c r="Y233" s="510"/>
      <c r="Z233" s="704">
        <f t="shared" ca="1" si="81"/>
        <v>19.254631360541367</v>
      </c>
      <c r="AA233" s="510"/>
    </row>
    <row r="234" spans="1:27" s="19" customFormat="1" ht="15.75" outlineLevel="1" x14ac:dyDescent="0.25">
      <c r="A234" s="55"/>
      <c r="C234" s="570"/>
      <c r="D234" s="569"/>
      <c r="E234" s="510"/>
      <c r="F234" s="569">
        <f t="shared" si="75"/>
        <v>20.6</v>
      </c>
      <c r="G234" s="569">
        <f t="shared" ca="1" si="75"/>
        <v>19.6011084566411</v>
      </c>
      <c r="H234" s="569">
        <f t="shared" ca="1" si="75"/>
        <v>21.927276676574991</v>
      </c>
      <c r="I234" s="569">
        <f t="shared" ca="1" si="75"/>
        <v>20.603427095866657</v>
      </c>
      <c r="J234" s="569">
        <f t="shared" ca="1" si="75"/>
        <v>22.774177222600255</v>
      </c>
      <c r="K234" s="569">
        <f t="shared" ca="1" si="75"/>
        <v>21.242980414201085</v>
      </c>
      <c r="L234" s="687"/>
      <c r="M234" s="569">
        <f t="shared" ca="1" si="76"/>
        <v>20.077209724766053</v>
      </c>
      <c r="N234" s="569">
        <f t="shared" ca="1" si="76"/>
        <v>20.79683806988546</v>
      </c>
      <c r="O234" s="569">
        <f t="shared" ca="1" si="76"/>
        <v>21.234412980542892</v>
      </c>
      <c r="P234" s="569">
        <f t="shared" ca="1" si="76"/>
        <v>21.719266521083757</v>
      </c>
      <c r="Q234" s="569">
        <f t="shared" ca="1" si="76"/>
        <v>21.972794123281403</v>
      </c>
      <c r="R234" s="687"/>
      <c r="S234" s="687">
        <f t="shared" ca="1" si="79"/>
        <v>21.160104283911913</v>
      </c>
      <c r="T234" s="510"/>
      <c r="U234" s="570">
        <f t="shared" ca="1" si="80"/>
        <v>20.077209724766053</v>
      </c>
      <c r="V234" s="570">
        <f t="shared" ca="1" si="77"/>
        <v>21.160104283911913</v>
      </c>
      <c r="W234" s="510"/>
      <c r="X234" s="569">
        <f t="shared" ca="1" si="78"/>
        <v>20.623328293883414</v>
      </c>
      <c r="Y234" s="510"/>
      <c r="Z234" s="704">
        <f t="shared" ca="1" si="81"/>
        <v>20.6</v>
      </c>
      <c r="AA234" s="510"/>
    </row>
    <row r="235" spans="1:27" s="19" customFormat="1" ht="15.75" outlineLevel="1" x14ac:dyDescent="0.25">
      <c r="A235" s="55"/>
      <c r="C235" s="570"/>
      <c r="D235" s="569"/>
      <c r="E235" s="510"/>
      <c r="F235" s="569">
        <f t="shared" si="75"/>
        <v>20.6</v>
      </c>
      <c r="G235" s="569">
        <f t="shared" ca="1" si="75"/>
        <v>20.737485744181818</v>
      </c>
      <c r="H235" s="569">
        <f t="shared" ca="1" si="75"/>
        <v>24.648327459208698</v>
      </c>
      <c r="I235" s="569">
        <f t="shared" ca="1" si="75"/>
        <v>23.794658481161097</v>
      </c>
      <c r="J235" s="569">
        <f t="shared" ca="1" si="75"/>
        <v>27.23145936848038</v>
      </c>
      <c r="K235" s="569">
        <f t="shared" ca="1" si="75"/>
        <v>25.745360475655929</v>
      </c>
      <c r="L235" s="687"/>
      <c r="M235" s="569">
        <f t="shared" ca="1" si="76"/>
        <v>20.671955970114499</v>
      </c>
      <c r="N235" s="569">
        <f t="shared" ca="1" si="76"/>
        <v>22.747791452640815</v>
      </c>
      <c r="O235" s="569">
        <f t="shared" ca="1" si="76"/>
        <v>24.201542377325353</v>
      </c>
      <c r="P235" s="569">
        <f t="shared" ca="1" si="76"/>
        <v>25.561291074873068</v>
      </c>
      <c r="Q235" s="569">
        <f t="shared" ca="1" si="76"/>
        <v>26.453679183664647</v>
      </c>
      <c r="R235" s="687"/>
      <c r="S235" s="687">
        <f t="shared" ca="1" si="79"/>
        <v>23.927252011723674</v>
      </c>
      <c r="T235" s="510"/>
      <c r="U235" s="570">
        <f t="shared" ca="1" si="80"/>
        <v>20.671955970114499</v>
      </c>
      <c r="V235" s="570">
        <f t="shared" ca="1" si="77"/>
        <v>23.927252011723674</v>
      </c>
      <c r="W235" s="510"/>
      <c r="X235" s="569">
        <f t="shared" ca="1" si="78"/>
        <v>21.873418065151554</v>
      </c>
      <c r="Y235" s="510"/>
      <c r="Z235" s="704">
        <f t="shared" ca="1" si="81"/>
        <v>20.6</v>
      </c>
      <c r="AA235" s="510"/>
    </row>
    <row r="236" spans="1:27" s="19" customFormat="1" ht="15.75" outlineLevel="1" x14ac:dyDescent="0.25">
      <c r="A236" s="55"/>
      <c r="C236" s="570"/>
      <c r="D236" s="569"/>
      <c r="E236" s="510"/>
      <c r="F236" s="569">
        <f t="shared" si="75"/>
        <v>20.6</v>
      </c>
      <c r="G236" s="569">
        <f t="shared" ca="1" si="75"/>
        <v>22.39645898703855</v>
      </c>
      <c r="H236" s="569">
        <f t="shared" ca="1" si="75"/>
        <v>26.818832151804067</v>
      </c>
      <c r="I236" s="569">
        <f t="shared" ca="1" si="75"/>
        <v>27.092730299552812</v>
      </c>
      <c r="J236" s="569">
        <f t="shared" ca="1" si="75"/>
        <v>30.786906358150432</v>
      </c>
      <c r="K236" s="569">
        <f t="shared" ca="1" si="75"/>
        <v>30.089298241298309</v>
      </c>
      <c r="L236" s="687"/>
      <c r="M236" s="569">
        <f t="shared" ca="1" si="76"/>
        <v>21.540213474149855</v>
      </c>
      <c r="N236" s="569">
        <f t="shared" ca="1" si="76"/>
        <v>24.669709265592179</v>
      </c>
      <c r="O236" s="569">
        <f t="shared" ca="1" si="76"/>
        <v>26.962182337316833</v>
      </c>
      <c r="P236" s="569">
        <f t="shared" ca="1" si="76"/>
        <v>28.991662488527972</v>
      </c>
      <c r="Q236" s="569">
        <f t="shared" ca="1" si="76"/>
        <v>30.421798912963546</v>
      </c>
      <c r="R236" s="687"/>
      <c r="S236" s="687">
        <f t="shared" ca="1" si="79"/>
        <v>26.517113295710072</v>
      </c>
      <c r="T236" s="510"/>
      <c r="U236" s="570">
        <f t="shared" ca="1" si="80"/>
        <v>21.540213474149855</v>
      </c>
      <c r="V236" s="570">
        <f t="shared" ca="1" si="77"/>
        <v>26.517113295710072</v>
      </c>
      <c r="W236" s="510"/>
      <c r="X236" s="569">
        <f t="shared" ca="1" si="78"/>
        <v>23.154708012373369</v>
      </c>
      <c r="Y236" s="510"/>
      <c r="Z236" s="704">
        <f t="shared" ca="1" si="81"/>
        <v>20.6</v>
      </c>
      <c r="AA236" s="510"/>
    </row>
    <row r="237" spans="1:27" s="19" customFormat="1" ht="15.75" outlineLevel="1" x14ac:dyDescent="0.25">
      <c r="A237" s="55"/>
      <c r="C237" s="570"/>
      <c r="D237" s="569"/>
      <c r="E237" s="510"/>
      <c r="F237" s="569">
        <f t="shared" si="75"/>
        <v>20.6</v>
      </c>
      <c r="G237" s="569">
        <f t="shared" ca="1" si="75"/>
        <v>23.1369386244669</v>
      </c>
      <c r="H237" s="569">
        <f t="shared" ca="1" si="75"/>
        <v>27.922569000327819</v>
      </c>
      <c r="I237" s="569">
        <f t="shared" ca="1" si="75"/>
        <v>28.666718153919177</v>
      </c>
      <c r="J237" s="569">
        <f t="shared" ca="1" si="75"/>
        <v>32.594908832809566</v>
      </c>
      <c r="K237" s="569">
        <f t="shared" ca="1" si="75"/>
        <v>32.195125897041216</v>
      </c>
      <c r="L237" s="687"/>
      <c r="M237" s="569">
        <f t="shared" ca="1" si="76"/>
        <v>21.927758604579708</v>
      </c>
      <c r="N237" s="569">
        <f t="shared" ca="1" si="76"/>
        <v>25.596915469400873</v>
      </c>
      <c r="O237" s="569">
        <f t="shared" ca="1" si="76"/>
        <v>28.312034646931416</v>
      </c>
      <c r="P237" s="569">
        <f t="shared" ca="1" si="76"/>
        <v>30.685941820104937</v>
      </c>
      <c r="Q237" s="569">
        <f t="shared" ca="1" si="76"/>
        <v>32.385674274349519</v>
      </c>
      <c r="R237" s="687"/>
      <c r="S237" s="687">
        <f t="shared" ca="1" si="79"/>
        <v>27.78166496307329</v>
      </c>
      <c r="T237" s="510"/>
      <c r="U237" s="570">
        <f t="shared" ca="1" si="80"/>
        <v>21.927758604579708</v>
      </c>
      <c r="V237" s="570">
        <f t="shared" ca="1" si="77"/>
        <v>27.78166496307329</v>
      </c>
      <c r="W237" s="510"/>
      <c r="X237" s="569">
        <f t="shared" ca="1" si="78"/>
        <v>23.767323862788093</v>
      </c>
      <c r="Y237" s="510"/>
      <c r="Z237" s="704">
        <f t="shared" ca="1" si="81"/>
        <v>20.6</v>
      </c>
      <c r="AA237" s="510"/>
    </row>
    <row r="238" spans="1:27" s="19" customFormat="1" ht="15.75" outlineLevel="1" x14ac:dyDescent="0.25">
      <c r="A238" s="55"/>
      <c r="C238" s="570"/>
      <c r="D238" s="569"/>
      <c r="E238" s="510"/>
      <c r="F238" s="569">
        <f t="shared" si="75"/>
        <v>20.6</v>
      </c>
      <c r="G238" s="569">
        <f t="shared" ca="1" si="75"/>
        <v>22.414155956292475</v>
      </c>
      <c r="H238" s="569">
        <f t="shared" ca="1" si="75"/>
        <v>26.664012692090704</v>
      </c>
      <c r="I238" s="569">
        <f t="shared" ca="1" si="75"/>
        <v>26.993512361068007</v>
      </c>
      <c r="J238" s="569">
        <f t="shared" ca="1" si="75"/>
        <v>30.533300648907751</v>
      </c>
      <c r="K238" s="569">
        <f t="shared" ca="1" si="75"/>
        <v>29.915479956894725</v>
      </c>
      <c r="L238" s="687"/>
      <c r="M238" s="569">
        <f t="shared" ca="1" si="76"/>
        <v>21.549475544179955</v>
      </c>
      <c r="N238" s="569">
        <f t="shared" ca="1" si="76"/>
        <v>24.598726920461345</v>
      </c>
      <c r="O238" s="569">
        <f t="shared" ca="1" si="76"/>
        <v>26.836463068489824</v>
      </c>
      <c r="P238" s="569">
        <f t="shared" ca="1" si="76"/>
        <v>28.81308398280817</v>
      </c>
      <c r="Q238" s="569">
        <f t="shared" ca="1" si="76"/>
        <v>30.209951580863166</v>
      </c>
      <c r="R238" s="687"/>
      <c r="S238" s="687">
        <f t="shared" ca="1" si="79"/>
        <v>26.401540219360491</v>
      </c>
      <c r="T238" s="510"/>
      <c r="U238" s="570">
        <f t="shared" ca="1" si="80"/>
        <v>21.549475544179955</v>
      </c>
      <c r="V238" s="570">
        <f t="shared" ca="1" si="77"/>
        <v>26.401540219360491</v>
      </c>
      <c r="W238" s="510"/>
      <c r="X238" s="569">
        <f t="shared" ca="1" si="78"/>
        <v>23.114675990895883</v>
      </c>
      <c r="Y238" s="510"/>
      <c r="Z238" s="704">
        <f t="shared" ca="1" si="81"/>
        <v>20.6</v>
      </c>
      <c r="AA238" s="510"/>
    </row>
    <row r="239" spans="1:27" s="19" customFormat="1" ht="15.75" outlineLevel="1" x14ac:dyDescent="0.25">
      <c r="A239" s="55"/>
      <c r="C239" s="570"/>
      <c r="D239" s="569"/>
      <c r="E239" s="510"/>
      <c r="F239" s="569">
        <f t="shared" si="75"/>
        <v>20.6</v>
      </c>
      <c r="G239" s="569">
        <f t="shared" ca="1" si="75"/>
        <v>21.331921117669303</v>
      </c>
      <c r="H239" s="569">
        <f t="shared" ca="1" si="75"/>
        <v>25.041565679152921</v>
      </c>
      <c r="I239" s="569">
        <f t="shared" ca="1" si="75"/>
        <v>24.686055297927361</v>
      </c>
      <c r="J239" s="569">
        <f t="shared" ca="1" si="75"/>
        <v>27.875612615461883</v>
      </c>
      <c r="K239" s="569">
        <f t="shared" ca="1" si="75"/>
        <v>26.826240625400086</v>
      </c>
      <c r="L239" s="687"/>
      <c r="M239" s="569">
        <f t="shared" ca="1" si="76"/>
        <v>20.983065854446213</v>
      </c>
      <c r="N239" s="569">
        <f t="shared" ca="1" si="76"/>
        <v>23.238804643445835</v>
      </c>
      <c r="O239" s="569">
        <f t="shared" ca="1" si="76"/>
        <v>24.855502065655436</v>
      </c>
      <c r="P239" s="569">
        <f t="shared" ca="1" si="76"/>
        <v>26.325596284272997</v>
      </c>
      <c r="Q239" s="569">
        <f t="shared" ca="1" si="76"/>
        <v>27.326402368208754</v>
      </c>
      <c r="R239" s="687"/>
      <c r="S239" s="687">
        <f t="shared" ca="1" si="79"/>
        <v>24.545874243205851</v>
      </c>
      <c r="T239" s="510"/>
      <c r="U239" s="570">
        <f t="shared" ca="1" si="80"/>
        <v>20.983065854446213</v>
      </c>
      <c r="V239" s="570">
        <f t="shared" ca="1" si="77"/>
        <v>24.545874243205851</v>
      </c>
      <c r="W239" s="510"/>
      <c r="X239" s="569">
        <f t="shared" ca="1" si="78"/>
        <v>22.216512074932986</v>
      </c>
      <c r="Y239" s="510"/>
      <c r="Z239" s="704">
        <f t="shared" ca="1" si="81"/>
        <v>20.6</v>
      </c>
      <c r="AA239" s="510"/>
    </row>
    <row r="240" spans="1:27" s="19" customFormat="1" ht="15.75" outlineLevel="1" x14ac:dyDescent="0.25">
      <c r="A240" s="55"/>
      <c r="C240" s="570"/>
      <c r="D240" s="569"/>
      <c r="E240" s="510"/>
      <c r="F240" s="569">
        <f t="shared" si="75"/>
        <v>20.6</v>
      </c>
      <c r="G240" s="569">
        <f t="shared" ca="1" si="75"/>
        <v>19.509443304326215</v>
      </c>
      <c r="H240" s="569">
        <f t="shared" ca="1" si="75"/>
        <v>21.910122479549926</v>
      </c>
      <c r="I240" s="569">
        <f t="shared" ca="1" si="75"/>
        <v>20.498807620069243</v>
      </c>
      <c r="J240" s="569">
        <f t="shared" ca="1" si="75"/>
        <v>22.746077380945437</v>
      </c>
      <c r="K240" s="569">
        <f t="shared" ca="1" si="75"/>
        <v>21.130095123276824</v>
      </c>
      <c r="L240" s="687"/>
      <c r="M240" s="569">
        <f t="shared" ca="1" si="76"/>
        <v>20.029234896541041</v>
      </c>
      <c r="N240" s="569">
        <f t="shared" ca="1" si="76"/>
        <v>20.743474083835196</v>
      </c>
      <c r="O240" s="569">
        <f t="shared" ca="1" si="76"/>
        <v>21.171482044825002</v>
      </c>
      <c r="P240" s="569">
        <f t="shared" ca="1" si="76"/>
        <v>21.653980740826867</v>
      </c>
      <c r="Q240" s="569">
        <f t="shared" ca="1" si="76"/>
        <v>21.900320086395784</v>
      </c>
      <c r="R240" s="687"/>
      <c r="S240" s="687">
        <f t="shared" ca="1" si="79"/>
        <v>21.099698370484777</v>
      </c>
      <c r="T240" s="510"/>
      <c r="U240" s="570">
        <f t="shared" ca="1" si="80"/>
        <v>20.029234896541041</v>
      </c>
      <c r="V240" s="570">
        <f t="shared" ca="1" si="77"/>
        <v>21.099698370484777</v>
      </c>
      <c r="W240" s="510"/>
      <c r="X240" s="569">
        <f t="shared" ca="1" si="78"/>
        <v>20.583542209125021</v>
      </c>
      <c r="Y240" s="510"/>
      <c r="Z240" s="704">
        <f t="shared" ca="1" si="81"/>
        <v>20.583542209125021</v>
      </c>
      <c r="AA240" s="510"/>
    </row>
    <row r="241" spans="1:27" s="19" customFormat="1" ht="15.75" outlineLevel="1" x14ac:dyDescent="0.25">
      <c r="A241" s="55"/>
      <c r="C241" s="570"/>
      <c r="D241" s="569"/>
      <c r="E241" s="510"/>
      <c r="F241" s="569">
        <f t="shared" si="75"/>
        <v>20.6</v>
      </c>
      <c r="G241" s="569">
        <f t="shared" ca="1" si="75"/>
        <v>18.147425884611231</v>
      </c>
      <c r="H241" s="569">
        <f t="shared" ca="1" si="75"/>
        <v>18.792569561888769</v>
      </c>
      <c r="I241" s="569">
        <f t="shared" ca="1" si="75"/>
        <v>16.782509850753577</v>
      </c>
      <c r="J241" s="569">
        <f t="shared" ca="1" si="75"/>
        <v>17.639295454120173</v>
      </c>
      <c r="K241" s="569">
        <f t="shared" ca="1" si="75"/>
        <v>16.399999999999999</v>
      </c>
      <c r="L241" s="687"/>
      <c r="M241" s="569">
        <f t="shared" ca="1" si="76"/>
        <v>19.316395283011158</v>
      </c>
      <c r="N241" s="569">
        <f t="shared" ca="1" si="76"/>
        <v>18.479051685835547</v>
      </c>
      <c r="O241" s="569">
        <f t="shared" ca="1" si="76"/>
        <v>17.740563789482831</v>
      </c>
      <c r="P241" s="569">
        <f t="shared" ca="1" si="76"/>
        <v>17.222926803133742</v>
      </c>
      <c r="Q241" s="569">
        <f t="shared" ca="1" si="76"/>
        <v>16.735066913159514</v>
      </c>
      <c r="R241" s="687"/>
      <c r="S241" s="687">
        <f t="shared" ca="1" si="79"/>
        <v>17.898800894924559</v>
      </c>
      <c r="T241" s="510"/>
      <c r="U241" s="570">
        <f t="shared" ca="1" si="80"/>
        <v>19.316395283011158</v>
      </c>
      <c r="V241" s="570">
        <f t="shared" ca="1" si="77"/>
        <v>17.898800894924559</v>
      </c>
      <c r="W241" s="510"/>
      <c r="X241" s="569">
        <f t="shared" ca="1" si="78"/>
        <v>19.128620079529263</v>
      </c>
      <c r="Y241" s="510"/>
      <c r="Z241" s="704">
        <f t="shared" ca="1" si="81"/>
        <v>19.128620079529263</v>
      </c>
      <c r="AA241" s="510"/>
    </row>
    <row r="242" spans="1:27" s="19" customFormat="1" ht="15.75" outlineLevel="1" x14ac:dyDescent="0.25">
      <c r="A242" s="55"/>
      <c r="C242" s="570"/>
      <c r="D242" s="569"/>
      <c r="E242" s="510"/>
      <c r="F242" s="569">
        <f t="shared" si="75"/>
        <v>20.6</v>
      </c>
      <c r="G242" s="569">
        <f t="shared" ca="1" si="75"/>
        <v>16.399999999999999</v>
      </c>
      <c r="H242" s="569">
        <f t="shared" ca="1" si="75"/>
        <v>16.399999999999999</v>
      </c>
      <c r="I242" s="569">
        <f t="shared" ca="1" si="75"/>
        <v>16.399999999999999</v>
      </c>
      <c r="J242" s="569">
        <f t="shared" ca="1" si="75"/>
        <v>16.399999999999999</v>
      </c>
      <c r="K242" s="569">
        <f t="shared" ca="1" si="75"/>
        <v>16.399999999999999</v>
      </c>
      <c r="L242" s="687"/>
      <c r="M242" s="569">
        <f t="shared" ca="1" si="76"/>
        <v>18.233231247879559</v>
      </c>
      <c r="N242" s="569">
        <f t="shared" ca="1" si="76"/>
        <v>16.399999999999999</v>
      </c>
      <c r="O242" s="569">
        <f t="shared" ca="1" si="76"/>
        <v>16.399999999999999</v>
      </c>
      <c r="P242" s="569">
        <f t="shared" ca="1" si="76"/>
        <v>16.399999999999999</v>
      </c>
      <c r="Q242" s="569">
        <f t="shared" ca="1" si="76"/>
        <v>16.399999999999999</v>
      </c>
      <c r="R242" s="687"/>
      <c r="S242" s="687">
        <f t="shared" ca="1" si="79"/>
        <v>16.76664624957591</v>
      </c>
      <c r="T242" s="510"/>
      <c r="U242" s="570">
        <f t="shared" ca="1" si="80"/>
        <v>18.233231247879559</v>
      </c>
      <c r="V242" s="570">
        <f t="shared" ca="1" si="77"/>
        <v>16.76664624957591</v>
      </c>
      <c r="W242" s="510"/>
      <c r="X242" s="569">
        <f t="shared" ca="1" si="78"/>
        <v>18.317217789262237</v>
      </c>
      <c r="Y242" s="510"/>
      <c r="Z242" s="704">
        <f t="shared" ca="1" si="81"/>
        <v>18.317217789262237</v>
      </c>
      <c r="AA242" s="510"/>
    </row>
    <row r="243" spans="1:27" s="19" customFormat="1" ht="15.75" outlineLevel="1" x14ac:dyDescent="0.25">
      <c r="A243" s="55"/>
      <c r="C243" s="570"/>
      <c r="D243" s="569"/>
      <c r="E243" s="510"/>
      <c r="F243" s="569"/>
      <c r="G243" s="570"/>
      <c r="H243" s="570"/>
      <c r="I243" s="510"/>
      <c r="J243" s="569"/>
      <c r="K243" s="569"/>
      <c r="L243" s="569"/>
      <c r="M243" s="569"/>
      <c r="N243" s="569"/>
      <c r="O243" s="569"/>
      <c r="P243" s="687"/>
      <c r="Q243" s="687"/>
      <c r="R243" s="687"/>
      <c r="S243" s="687"/>
      <c r="T243" s="687"/>
      <c r="U243" s="687"/>
      <c r="V243" s="687"/>
      <c r="W243" s="687"/>
      <c r="X243" s="510"/>
      <c r="Y243" s="510"/>
      <c r="Z243" s="510"/>
      <c r="AA243" s="510"/>
    </row>
    <row r="244" spans="1:27" s="21" customFormat="1" ht="15.75" outlineLevel="1" x14ac:dyDescent="0.25">
      <c r="A244" s="26"/>
      <c r="C244" s="510"/>
      <c r="D244" s="698" t="s">
        <v>142</v>
      </c>
      <c r="E244" s="510"/>
      <c r="F244" s="510"/>
      <c r="G244" s="510"/>
      <c r="H244" s="510"/>
      <c r="I244" s="509"/>
      <c r="J244" s="510"/>
      <c r="K244" s="510"/>
      <c r="L244" s="510"/>
      <c r="M244" s="510"/>
      <c r="N244" s="510"/>
      <c r="O244" s="510"/>
      <c r="P244" s="510"/>
      <c r="Q244" s="510"/>
      <c r="R244" s="510"/>
      <c r="S244" s="510"/>
      <c r="T244" s="510"/>
      <c r="U244" s="510"/>
      <c r="V244" s="510"/>
      <c r="W244" s="510"/>
      <c r="X244" s="510"/>
      <c r="Y244" s="510"/>
      <c r="Z244" s="510"/>
      <c r="AA244" s="510"/>
    </row>
    <row r="245" spans="1:27" s="21" customFormat="1" ht="15.75" outlineLevel="1" x14ac:dyDescent="0.25">
      <c r="A245" s="26"/>
      <c r="C245" s="510"/>
      <c r="D245" s="509" t="s">
        <v>162</v>
      </c>
      <c r="E245" s="510"/>
      <c r="F245" s="509" t="s">
        <v>162</v>
      </c>
      <c r="G245" s="700" t="s">
        <v>163</v>
      </c>
      <c r="H245" s="700" t="s">
        <v>164</v>
      </c>
      <c r="I245" s="700" t="s">
        <v>165</v>
      </c>
      <c r="J245" s="700" t="s">
        <v>166</v>
      </c>
      <c r="K245" s="700" t="s">
        <v>167</v>
      </c>
      <c r="L245" s="510"/>
      <c r="M245" s="701" t="s">
        <v>168</v>
      </c>
      <c r="N245" s="700" t="s">
        <v>169</v>
      </c>
      <c r="O245" s="700" t="s">
        <v>170</v>
      </c>
      <c r="P245" s="700" t="s">
        <v>171</v>
      </c>
      <c r="Q245" s="700" t="s">
        <v>172</v>
      </c>
      <c r="R245" s="510"/>
      <c r="S245" s="510"/>
      <c r="T245" s="510"/>
      <c r="U245" s="510"/>
      <c r="V245" s="700"/>
      <c r="W245" s="510"/>
      <c r="X245" s="510"/>
      <c r="Y245" s="510"/>
      <c r="Z245" s="510"/>
      <c r="AA245" s="510"/>
    </row>
    <row r="246" spans="1:27" s="21" customFormat="1" ht="15.75" outlineLevel="1" x14ac:dyDescent="0.25">
      <c r="A246" s="26"/>
      <c r="C246" s="570" t="s">
        <v>114</v>
      </c>
      <c r="D246" s="569">
        <f t="shared" ref="D246:D257" si="82">$D$206</f>
        <v>24.2</v>
      </c>
      <c r="E246" s="510"/>
      <c r="F246" s="569">
        <f t="shared" ref="F246:F257" si="83">D246</f>
        <v>24.2</v>
      </c>
      <c r="G246" s="569">
        <f t="shared" ref="G246:G257" ca="1" si="84">(F246-$CS5-$K188/$D$211)*EXP(-$D$211/$D$212*G$216)+$CS5+$K188/$D$211</f>
        <v>18.585154618827868</v>
      </c>
      <c r="H246" s="569">
        <f t="shared" ref="H246:H257" ca="1" si="85">(G246-$CR5-$L188/$D$211)*EXP(-$D$211/$D$212*H$216)+$CR5+$L188/$D$211</f>
        <v>17.748410431426187</v>
      </c>
      <c r="I246" s="569">
        <f t="shared" ref="I246:I257" ca="1" si="86">(H246-$CS5-$M188/$D$211)*EXP(-$D$211/$D$212*I$216)+$CS5+$M188/$D$211</f>
        <v>13.713112043724761</v>
      </c>
      <c r="J246" s="569">
        <f t="shared" ref="J246:J257" ca="1" si="87">(I246-$CR5-$L188/$D$211)*EXP(-$D$211/$D$212*J$216)+$CR5+$L188/$D$211</f>
        <v>13.631819802820072</v>
      </c>
      <c r="K246" s="569">
        <f t="shared" ref="K246:K257" ca="1" si="88">(J246-$CS5-$M188/$D$211)*EXP(-$D$211/$D$212*K$216)+$CS5+$M188/$D$211</f>
        <v>10.604389054814439</v>
      </c>
      <c r="L246" s="510"/>
      <c r="M246" s="687">
        <f t="shared" ref="M246:M257" ca="1" si="89">$D$212/G$216/$D$211*(F259-$CS5-$K188/$D$211)*(1-EXP(-$D$211/$D$212*G$216))+$CS5+$K188/$D$211</f>
        <v>21.261356078410245</v>
      </c>
      <c r="N246" s="687">
        <f t="shared" ref="N246:N257" ca="1" si="90">$D$212/H$216/$D$211*(G259-$CR5-$L188/$D$211)*(1-EXP(-$D$211/$D$212*H$216))+$CR5+$L188/$D$211</f>
        <v>18.155039636165647</v>
      </c>
      <c r="O246" s="687">
        <f t="shared" ref="O246:O257" ca="1" si="91">$D$212/I$216/$D$211*(H259-$CS5-$M188/$D$211)*(1-EXP(-$D$211/$D$212*I$216))+$CS5+$M188/$D$211</f>
        <v>15.636454665273952</v>
      </c>
      <c r="P246" s="687">
        <f t="shared" ref="P246:P257" ca="1" si="92">$D$212/J$216/$D$211*(I259-$CR5-$L188/$D$211)*(1-EXP(-$D$211/$D$212*J$216))+$CR5+$L188/$D$211</f>
        <v>13.671325065919909</v>
      </c>
      <c r="Q246" s="687">
        <f t="shared" ref="Q246:Q257" ca="1" si="93">$D$212/K$216/$D$211*(J259-$CS5-$M188/$D$211)*(1-EXP(-$D$211/$D$212*K$216))+$CS5+$M188/$D$211</f>
        <v>12.047352135109607</v>
      </c>
      <c r="R246" s="510"/>
      <c r="S246" s="510"/>
      <c r="T246" s="510"/>
      <c r="U246" s="510"/>
      <c r="V246" s="687"/>
      <c r="W246" s="510"/>
      <c r="X246" s="510"/>
      <c r="Y246" s="510"/>
      <c r="Z246" s="510"/>
      <c r="AA246" s="510"/>
    </row>
    <row r="247" spans="1:27" s="21" customFormat="1" ht="15.75" outlineLevel="1" x14ac:dyDescent="0.25">
      <c r="A247" s="26"/>
      <c r="C247" s="570" t="s">
        <v>115</v>
      </c>
      <c r="D247" s="569">
        <f t="shared" si="82"/>
        <v>24.2</v>
      </c>
      <c r="E247" s="510"/>
      <c r="F247" s="569">
        <f t="shared" si="83"/>
        <v>24.2</v>
      </c>
      <c r="G247" s="569">
        <f t="shared" ca="1" si="84"/>
        <v>19.128531914199716</v>
      </c>
      <c r="H247" s="569">
        <f t="shared" ca="1" si="85"/>
        <v>19.008301766440479</v>
      </c>
      <c r="I247" s="569">
        <f t="shared" ca="1" si="86"/>
        <v>15.207920635050865</v>
      </c>
      <c r="J247" s="569">
        <f t="shared" ca="1" si="87"/>
        <v>15.69561485918166</v>
      </c>
      <c r="K247" s="569">
        <f t="shared" ca="1" si="88"/>
        <v>12.706281081169664</v>
      </c>
      <c r="L247" s="510"/>
      <c r="M247" s="687">
        <f t="shared" ca="1" si="89"/>
        <v>21.545743675534251</v>
      </c>
      <c r="N247" s="687">
        <f t="shared" ca="1" si="90"/>
        <v>19.066729527403911</v>
      </c>
      <c r="O247" s="687">
        <f t="shared" ca="1" si="91"/>
        <v>17.019294740720547</v>
      </c>
      <c r="P247" s="687">
        <f t="shared" ca="1" si="92"/>
        <v>15.458612060118135</v>
      </c>
      <c r="Q247" s="687">
        <f t="shared" ca="1" si="93"/>
        <v>14.131086018224678</v>
      </c>
      <c r="R247" s="510"/>
      <c r="S247" s="510"/>
      <c r="T247" s="510"/>
      <c r="U247" s="510"/>
      <c r="V247" s="687"/>
      <c r="W247" s="510"/>
      <c r="X247" s="510"/>
      <c r="Y247" s="510"/>
      <c r="Z247" s="510"/>
      <c r="AA247" s="510"/>
    </row>
    <row r="248" spans="1:27" s="21" customFormat="1" ht="15.75" outlineLevel="1" x14ac:dyDescent="0.25">
      <c r="A248" s="26"/>
      <c r="C248" s="570" t="s">
        <v>116</v>
      </c>
      <c r="D248" s="569">
        <f t="shared" si="82"/>
        <v>24.2</v>
      </c>
      <c r="E248" s="510"/>
      <c r="F248" s="569">
        <f t="shared" si="83"/>
        <v>24.2</v>
      </c>
      <c r="G248" s="569">
        <f t="shared" ca="1" si="84"/>
        <v>20.663959225230141</v>
      </c>
      <c r="H248" s="569">
        <f t="shared" ca="1" si="85"/>
        <v>21.760130720509405</v>
      </c>
      <c r="I248" s="569">
        <f t="shared" ca="1" si="86"/>
        <v>18.82144477495148</v>
      </c>
      <c r="J248" s="569">
        <f t="shared" ca="1" si="87"/>
        <v>20.203313923002668</v>
      </c>
      <c r="K248" s="569">
        <f t="shared" ca="1" si="88"/>
        <v>17.645784476281055</v>
      </c>
      <c r="L248" s="510"/>
      <c r="M248" s="687">
        <f t="shared" ca="1" si="89"/>
        <v>22.349340894743968</v>
      </c>
      <c r="N248" s="687">
        <f t="shared" ca="1" si="90"/>
        <v>21.227428671191799</v>
      </c>
      <c r="O248" s="687">
        <f t="shared" ca="1" si="91"/>
        <v>20.222109456320602</v>
      </c>
      <c r="P248" s="687">
        <f t="shared" ca="1" si="92"/>
        <v>19.531772535340416</v>
      </c>
      <c r="Q248" s="687">
        <f t="shared" ca="1" si="93"/>
        <v>18.864778691365295</v>
      </c>
      <c r="R248" s="510"/>
      <c r="S248" s="510"/>
      <c r="T248" s="510"/>
      <c r="U248" s="510"/>
      <c r="V248" s="687"/>
      <c r="W248" s="510"/>
      <c r="X248" s="510"/>
      <c r="Y248" s="510"/>
      <c r="Z248" s="510"/>
      <c r="AA248" s="510"/>
    </row>
    <row r="249" spans="1:27" s="21" customFormat="1" ht="15.75" outlineLevel="1" x14ac:dyDescent="0.25">
      <c r="A249" s="26"/>
      <c r="C249" s="570" t="s">
        <v>117</v>
      </c>
      <c r="D249" s="569">
        <f t="shared" si="82"/>
        <v>24.2</v>
      </c>
      <c r="E249" s="510"/>
      <c r="F249" s="569">
        <f t="shared" si="83"/>
        <v>24.2</v>
      </c>
      <c r="G249" s="569">
        <f t="shared" ca="1" si="84"/>
        <v>22.31971804640898</v>
      </c>
      <c r="H249" s="569">
        <f t="shared" ca="1" si="85"/>
        <v>24.224342555528303</v>
      </c>
      <c r="I249" s="569">
        <f t="shared" ca="1" si="86"/>
        <v>22.33810079776973</v>
      </c>
      <c r="J249" s="569">
        <f t="shared" ca="1" si="87"/>
        <v>24.239874903781242</v>
      </c>
      <c r="K249" s="569">
        <f t="shared" ca="1" si="88"/>
        <v>22.349830350800858</v>
      </c>
      <c r="L249" s="510"/>
      <c r="M249" s="687">
        <f t="shared" ca="1" si="89"/>
        <v>23.215916065592232</v>
      </c>
      <c r="N249" s="687">
        <f t="shared" ca="1" si="90"/>
        <v>23.298759849211059</v>
      </c>
      <c r="O249" s="687">
        <f t="shared" ca="1" si="91"/>
        <v>23.237139435977952</v>
      </c>
      <c r="P249" s="687">
        <f t="shared" ca="1" si="92"/>
        <v>23.315677396389034</v>
      </c>
      <c r="Q249" s="687">
        <f t="shared" ca="1" si="93"/>
        <v>23.250681513741682</v>
      </c>
      <c r="R249" s="510"/>
      <c r="S249" s="510"/>
      <c r="T249" s="510"/>
      <c r="U249" s="510"/>
      <c r="V249" s="687"/>
      <c r="W249" s="510"/>
      <c r="X249" s="510"/>
      <c r="Y249" s="510"/>
      <c r="Z249" s="510"/>
      <c r="AA249" s="510"/>
    </row>
    <row r="250" spans="1:27" s="21" customFormat="1" ht="15.75" outlineLevel="1" x14ac:dyDescent="0.25">
      <c r="A250" s="26"/>
      <c r="C250" s="570" t="s">
        <v>118</v>
      </c>
      <c r="D250" s="569">
        <f t="shared" si="82"/>
        <v>24.2</v>
      </c>
      <c r="E250" s="510"/>
      <c r="F250" s="569">
        <f t="shared" si="83"/>
        <v>24.2</v>
      </c>
      <c r="G250" s="569">
        <f t="shared" ca="1" si="84"/>
        <v>23.456095333949698</v>
      </c>
      <c r="H250" s="569">
        <f t="shared" ca="1" si="85"/>
        <v>26.94539333816201</v>
      </c>
      <c r="I250" s="569">
        <f t="shared" ca="1" si="86"/>
        <v>25.52933218306417</v>
      </c>
      <c r="J250" s="569">
        <f t="shared" ca="1" si="87"/>
        <v>28.697157049661367</v>
      </c>
      <c r="K250" s="569">
        <f t="shared" ca="1" si="88"/>
        <v>26.852210412255701</v>
      </c>
      <c r="L250" s="510"/>
      <c r="M250" s="687">
        <f t="shared" ca="1" si="89"/>
        <v>23.810662310940678</v>
      </c>
      <c r="N250" s="687">
        <f t="shared" ca="1" si="90"/>
        <v>25.249713231966414</v>
      </c>
      <c r="O250" s="687">
        <f t="shared" ca="1" si="91"/>
        <v>25.641574343089282</v>
      </c>
      <c r="P250" s="687">
        <f t="shared" ca="1" si="92"/>
        <v>27.157701950178343</v>
      </c>
      <c r="Q250" s="687">
        <f t="shared" ca="1" si="93"/>
        <v>25.641574343089282</v>
      </c>
      <c r="R250" s="510"/>
      <c r="S250" s="510"/>
      <c r="T250" s="510"/>
      <c r="U250" s="510"/>
      <c r="V250" s="687"/>
      <c r="W250" s="510"/>
      <c r="X250" s="510"/>
      <c r="Y250" s="510"/>
      <c r="Z250" s="510"/>
      <c r="AA250" s="510"/>
    </row>
    <row r="251" spans="1:27" s="21" customFormat="1" ht="15.75" outlineLevel="1" x14ac:dyDescent="0.25">
      <c r="A251" s="26"/>
      <c r="C251" s="570" t="s">
        <v>119</v>
      </c>
      <c r="D251" s="569">
        <f t="shared" si="82"/>
        <v>24.2</v>
      </c>
      <c r="E251" s="510"/>
      <c r="F251" s="569">
        <f t="shared" si="83"/>
        <v>24.2</v>
      </c>
      <c r="G251" s="569">
        <f t="shared" ca="1" si="84"/>
        <v>25.115068576806422</v>
      </c>
      <c r="H251" s="569">
        <f t="shared" ca="1" si="85"/>
        <v>29.115898030757371</v>
      </c>
      <c r="I251" s="569">
        <f t="shared" ca="1" si="86"/>
        <v>28.827404001455875</v>
      </c>
      <c r="J251" s="569">
        <f t="shared" ca="1" si="87"/>
        <v>32.252604039331416</v>
      </c>
      <c r="K251" s="569">
        <f t="shared" ca="1" si="88"/>
        <v>31.196148177898081</v>
      </c>
      <c r="L251" s="510"/>
      <c r="M251" s="687">
        <f t="shared" ca="1" si="89"/>
        <v>24.678919814976034</v>
      </c>
      <c r="N251" s="687">
        <f t="shared" ca="1" si="90"/>
        <v>27.17163104491777</v>
      </c>
      <c r="O251" s="687">
        <f t="shared" ca="1" si="91"/>
        <v>26.509831847124637</v>
      </c>
      <c r="P251" s="687">
        <f t="shared" ca="1" si="92"/>
        <v>28.262117058743833</v>
      </c>
      <c r="Q251" s="687">
        <f t="shared" ca="1" si="93"/>
        <v>26.509831847124637</v>
      </c>
      <c r="R251" s="510"/>
      <c r="S251" s="510"/>
      <c r="T251" s="510"/>
      <c r="U251" s="510"/>
      <c r="V251" s="687"/>
      <c r="W251" s="510"/>
      <c r="X251" s="510"/>
      <c r="Y251" s="510"/>
      <c r="Z251" s="510"/>
      <c r="AA251" s="510"/>
    </row>
    <row r="252" spans="1:27" s="21" customFormat="1" ht="15.75" outlineLevel="1" x14ac:dyDescent="0.25">
      <c r="A252" s="26"/>
      <c r="C252" s="570" t="s">
        <v>120</v>
      </c>
      <c r="D252" s="569">
        <f t="shared" si="82"/>
        <v>24.2</v>
      </c>
      <c r="E252" s="510"/>
      <c r="F252" s="569">
        <f t="shared" si="83"/>
        <v>24.2</v>
      </c>
      <c r="G252" s="569">
        <f t="shared" ca="1" si="84"/>
        <v>25.85554821423478</v>
      </c>
      <c r="H252" s="569">
        <f t="shared" ca="1" si="85"/>
        <v>30.219634879281131</v>
      </c>
      <c r="I252" s="569">
        <f t="shared" ca="1" si="86"/>
        <v>30.401391855822247</v>
      </c>
      <c r="J252" s="569">
        <f t="shared" ca="1" si="87"/>
        <v>34.06060651399055</v>
      </c>
      <c r="K252" s="569">
        <f t="shared" ca="1" si="88"/>
        <v>33.301975833640981</v>
      </c>
      <c r="L252" s="510"/>
      <c r="M252" s="687">
        <f t="shared" ca="1" si="89"/>
        <v>25.066464945405883</v>
      </c>
      <c r="N252" s="687">
        <f t="shared" ca="1" si="90"/>
        <v>28.098837248726468</v>
      </c>
      <c r="O252" s="687">
        <f t="shared" ca="1" si="91"/>
        <v>26.897376977554494</v>
      </c>
      <c r="P252" s="687">
        <f t="shared" ca="1" si="92"/>
        <v>28.507863836012621</v>
      </c>
      <c r="Q252" s="687">
        <f t="shared" ca="1" si="93"/>
        <v>26.897376977554494</v>
      </c>
      <c r="R252" s="510"/>
      <c r="S252" s="510"/>
      <c r="T252" s="510"/>
      <c r="U252" s="510"/>
      <c r="V252" s="687"/>
      <c r="W252" s="510"/>
      <c r="X252" s="510"/>
      <c r="Y252" s="510"/>
      <c r="Z252" s="510"/>
      <c r="AA252" s="510"/>
    </row>
    <row r="253" spans="1:27" s="21" customFormat="1" ht="15.75" outlineLevel="1" x14ac:dyDescent="0.25">
      <c r="A253" s="26"/>
      <c r="C253" s="570" t="s">
        <v>121</v>
      </c>
      <c r="D253" s="569">
        <f t="shared" si="82"/>
        <v>24.2</v>
      </c>
      <c r="E253" s="510"/>
      <c r="F253" s="569">
        <f t="shared" si="83"/>
        <v>24.2</v>
      </c>
      <c r="G253" s="569">
        <f t="shared" ca="1" si="84"/>
        <v>25.132765546060352</v>
      </c>
      <c r="H253" s="569">
        <f t="shared" ca="1" si="85"/>
        <v>28.961078571044013</v>
      </c>
      <c r="I253" s="569">
        <f t="shared" ca="1" si="86"/>
        <v>28.728186062971076</v>
      </c>
      <c r="J253" s="569">
        <f t="shared" ca="1" si="87"/>
        <v>31.998998330088735</v>
      </c>
      <c r="K253" s="569">
        <f t="shared" ca="1" si="88"/>
        <v>31.022329893494494</v>
      </c>
      <c r="L253" s="510"/>
      <c r="M253" s="687">
        <f t="shared" ca="1" si="89"/>
        <v>24.688181885006134</v>
      </c>
      <c r="N253" s="687">
        <f t="shared" ca="1" si="90"/>
        <v>27.100648699786941</v>
      </c>
      <c r="O253" s="687">
        <f t="shared" ca="1" si="91"/>
        <v>26.519093917154741</v>
      </c>
      <c r="P253" s="687">
        <f t="shared" ca="1" si="92"/>
        <v>28.174848288018428</v>
      </c>
      <c r="Q253" s="687">
        <f t="shared" ca="1" si="93"/>
        <v>26.519093917154741</v>
      </c>
      <c r="R253" s="510"/>
      <c r="S253" s="510"/>
      <c r="T253" s="510"/>
      <c r="U253" s="510"/>
      <c r="V253" s="687"/>
      <c r="W253" s="510"/>
      <c r="X253" s="510"/>
      <c r="Y253" s="510"/>
      <c r="Z253" s="510"/>
      <c r="AA253" s="510"/>
    </row>
    <row r="254" spans="1:27" s="21" customFormat="1" ht="15.75" outlineLevel="1" x14ac:dyDescent="0.25">
      <c r="A254" s="26"/>
      <c r="C254" s="570" t="s">
        <v>122</v>
      </c>
      <c r="D254" s="569">
        <f t="shared" si="82"/>
        <v>24.2</v>
      </c>
      <c r="E254" s="510"/>
      <c r="F254" s="569">
        <f t="shared" si="83"/>
        <v>24.2</v>
      </c>
      <c r="G254" s="569">
        <f t="shared" ca="1" si="84"/>
        <v>24.050530707437179</v>
      </c>
      <c r="H254" s="569">
        <f t="shared" ca="1" si="85"/>
        <v>27.338631558106229</v>
      </c>
      <c r="I254" s="569">
        <f t="shared" ca="1" si="86"/>
        <v>26.420728999830427</v>
      </c>
      <c r="J254" s="569">
        <f t="shared" ca="1" si="87"/>
        <v>29.341310296642867</v>
      </c>
      <c r="K254" s="569">
        <f t="shared" ca="1" si="88"/>
        <v>27.933090561999858</v>
      </c>
      <c r="L254" s="510"/>
      <c r="M254" s="687">
        <f t="shared" ca="1" si="89"/>
        <v>24.121772195272392</v>
      </c>
      <c r="N254" s="687">
        <f t="shared" ca="1" si="90"/>
        <v>25.740726422771431</v>
      </c>
      <c r="O254" s="687">
        <f t="shared" ca="1" si="91"/>
        <v>25.952684227420995</v>
      </c>
      <c r="P254" s="687">
        <f t="shared" ca="1" si="92"/>
        <v>27.810900910557148</v>
      </c>
      <c r="Q254" s="687">
        <f t="shared" ca="1" si="93"/>
        <v>25.952684227420995</v>
      </c>
      <c r="R254" s="510"/>
      <c r="S254" s="510"/>
      <c r="T254" s="510"/>
      <c r="U254" s="510"/>
      <c r="V254" s="687"/>
      <c r="W254" s="510"/>
      <c r="X254" s="510"/>
      <c r="Y254" s="510"/>
      <c r="Z254" s="510"/>
      <c r="AA254" s="510"/>
    </row>
    <row r="255" spans="1:27" s="21" customFormat="1" ht="15.75" outlineLevel="1" x14ac:dyDescent="0.25">
      <c r="A255" s="26"/>
      <c r="C255" s="570" t="s">
        <v>123</v>
      </c>
      <c r="D255" s="569">
        <f t="shared" si="82"/>
        <v>24.2</v>
      </c>
      <c r="E255" s="510"/>
      <c r="F255" s="569">
        <f t="shared" si="83"/>
        <v>24.2</v>
      </c>
      <c r="G255" s="569">
        <f t="shared" ca="1" si="84"/>
        <v>22.228052894094091</v>
      </c>
      <c r="H255" s="569">
        <f t="shared" ca="1" si="85"/>
        <v>24.207188358503231</v>
      </c>
      <c r="I255" s="569">
        <f t="shared" ca="1" si="86"/>
        <v>22.23348132197231</v>
      </c>
      <c r="J255" s="569">
        <f t="shared" ca="1" si="87"/>
        <v>24.211775062126421</v>
      </c>
      <c r="K255" s="569">
        <f t="shared" ca="1" si="88"/>
        <v>22.236945059876593</v>
      </c>
      <c r="L255" s="510"/>
      <c r="M255" s="687">
        <f t="shared" ca="1" si="89"/>
        <v>23.16794123736722</v>
      </c>
      <c r="N255" s="687">
        <f t="shared" ca="1" si="90"/>
        <v>23.245395863160788</v>
      </c>
      <c r="O255" s="687">
        <f t="shared" ca="1" si="91"/>
        <v>23.174208500260058</v>
      </c>
      <c r="P255" s="687">
        <f t="shared" ca="1" si="92"/>
        <v>23.250391616132134</v>
      </c>
      <c r="Q255" s="687">
        <f t="shared" ca="1" si="93"/>
        <v>23.178207476856056</v>
      </c>
      <c r="R255" s="510"/>
      <c r="S255" s="510"/>
      <c r="T255" s="510"/>
      <c r="U255" s="510"/>
      <c r="V255" s="687"/>
      <c r="W255" s="510"/>
      <c r="X255" s="510"/>
      <c r="Y255" s="510"/>
      <c r="Z255" s="510"/>
      <c r="AA255" s="510"/>
    </row>
    <row r="256" spans="1:27" s="21" customFormat="1" ht="15.75" outlineLevel="1" x14ac:dyDescent="0.25">
      <c r="A256" s="26"/>
      <c r="C256" s="570" t="s">
        <v>124</v>
      </c>
      <c r="D256" s="569">
        <f t="shared" si="82"/>
        <v>24.2</v>
      </c>
      <c r="E256" s="510"/>
      <c r="F256" s="569">
        <f t="shared" si="83"/>
        <v>24.2</v>
      </c>
      <c r="G256" s="569">
        <f t="shared" ca="1" si="84"/>
        <v>20.86603547437911</v>
      </c>
      <c r="H256" s="569">
        <f t="shared" ca="1" si="85"/>
        <v>21.089635440842081</v>
      </c>
      <c r="I256" s="569">
        <f t="shared" ca="1" si="86"/>
        <v>18.51718355265665</v>
      </c>
      <c r="J256" s="569">
        <f t="shared" ca="1" si="87"/>
        <v>19.104993135301161</v>
      </c>
      <c r="K256" s="569">
        <f t="shared" ca="1" si="88"/>
        <v>17.01844255151704</v>
      </c>
      <c r="L256" s="510"/>
      <c r="M256" s="687">
        <f t="shared" ca="1" si="89"/>
        <v>22.455101623837336</v>
      </c>
      <c r="N256" s="687">
        <f t="shared" ca="1" si="90"/>
        <v>20.980973465161142</v>
      </c>
      <c r="O256" s="687">
        <f t="shared" ca="1" si="91"/>
        <v>19.743290244917898</v>
      </c>
      <c r="P256" s="687">
        <f t="shared" ca="1" si="92"/>
        <v>18.81933767843902</v>
      </c>
      <c r="Q256" s="687">
        <f t="shared" ca="1" si="93"/>
        <v>18.012954303619789</v>
      </c>
      <c r="R256" s="510"/>
      <c r="S256" s="510"/>
      <c r="T256" s="510"/>
      <c r="U256" s="510"/>
      <c r="V256" s="687"/>
      <c r="W256" s="510"/>
      <c r="X256" s="510"/>
      <c r="Y256" s="510"/>
      <c r="Z256" s="510"/>
      <c r="AA256" s="510"/>
    </row>
    <row r="257" spans="1:27" s="21" customFormat="1" ht="15.75" outlineLevel="1" x14ac:dyDescent="0.25">
      <c r="A257" s="26"/>
      <c r="C257" s="570" t="s">
        <v>125</v>
      </c>
      <c r="D257" s="569">
        <f t="shared" si="82"/>
        <v>24.2</v>
      </c>
      <c r="E257" s="510"/>
      <c r="F257" s="569">
        <f t="shared" si="83"/>
        <v>24.2</v>
      </c>
      <c r="G257" s="569">
        <f t="shared" ca="1" si="84"/>
        <v>18.796441899251345</v>
      </c>
      <c r="H257" s="569">
        <f t="shared" ca="1" si="85"/>
        <v>17.895639132316894</v>
      </c>
      <c r="I257" s="569">
        <f t="shared" ca="1" si="86"/>
        <v>14.035581923628946</v>
      </c>
      <c r="J257" s="569">
        <f t="shared" ca="1" si="87"/>
        <v>13.872991288493738</v>
      </c>
      <c r="K257" s="569">
        <f t="shared" ca="1" si="88"/>
        <v>10.997801644607637</v>
      </c>
      <c r="L257" s="510"/>
      <c r="M257" s="687">
        <f t="shared" ca="1" si="89"/>
        <v>21.371937588705737</v>
      </c>
      <c r="N257" s="687">
        <f t="shared" ca="1" si="90"/>
        <v>18.333398627107169</v>
      </c>
      <c r="O257" s="687">
        <f t="shared" ca="1" si="91"/>
        <v>15.87539941363535</v>
      </c>
      <c r="P257" s="687">
        <f t="shared" ca="1" si="92"/>
        <v>13.952004805000396</v>
      </c>
      <c r="Q257" s="687">
        <f t="shared" ca="1" si="93"/>
        <v>12.368202109657989</v>
      </c>
      <c r="R257" s="510"/>
      <c r="S257" s="510"/>
      <c r="T257" s="510"/>
      <c r="U257" s="702" t="s">
        <v>154</v>
      </c>
      <c r="V257" s="702" t="s">
        <v>155</v>
      </c>
      <c r="W257" s="510"/>
      <c r="X257" s="510"/>
      <c r="Y257" s="510"/>
      <c r="Z257" s="703" t="s">
        <v>945</v>
      </c>
      <c r="AA257" s="510"/>
    </row>
    <row r="258" spans="1:27" s="19" customFormat="1" ht="15.75" outlineLevel="1" x14ac:dyDescent="0.25">
      <c r="A258" s="55"/>
      <c r="C258" s="570"/>
      <c r="D258" s="569"/>
      <c r="E258" s="510"/>
      <c r="F258" s="569"/>
      <c r="G258" s="569"/>
      <c r="H258" s="569"/>
      <c r="I258" s="569"/>
      <c r="J258" s="569"/>
      <c r="K258" s="569"/>
      <c r="L258" s="510"/>
      <c r="M258" s="510"/>
      <c r="N258" s="510"/>
      <c r="O258" s="510"/>
      <c r="P258" s="510"/>
      <c r="Q258" s="510"/>
      <c r="R258" s="510"/>
      <c r="S258" s="700" t="s">
        <v>173</v>
      </c>
      <c r="T258" s="510"/>
      <c r="U258" s="510" t="s">
        <v>158</v>
      </c>
      <c r="V258" s="510" t="s">
        <v>159</v>
      </c>
      <c r="W258" s="510"/>
      <c r="X258" s="509" t="s">
        <v>160</v>
      </c>
      <c r="Y258" s="510"/>
      <c r="Z258" s="509" t="s">
        <v>174</v>
      </c>
      <c r="AA258" s="510"/>
    </row>
    <row r="259" spans="1:27" s="19" customFormat="1" ht="15.75" outlineLevel="1" x14ac:dyDescent="0.25">
      <c r="A259" s="55"/>
      <c r="C259" s="510"/>
      <c r="D259" s="510"/>
      <c r="E259" s="510"/>
      <c r="F259" s="569">
        <f t="shared" ref="F259:K270" si="94">IF(AND($G$206=1,F246&gt;=$E$206),$E$206,F246)</f>
        <v>24.2</v>
      </c>
      <c r="G259" s="569">
        <f t="shared" ca="1" si="94"/>
        <v>18.585154618827868</v>
      </c>
      <c r="H259" s="569">
        <f t="shared" ca="1" si="94"/>
        <v>17.748410431426187</v>
      </c>
      <c r="I259" s="569">
        <f t="shared" ca="1" si="94"/>
        <v>13.713112043724761</v>
      </c>
      <c r="J259" s="569">
        <f t="shared" ca="1" si="94"/>
        <v>13.631819802820072</v>
      </c>
      <c r="K259" s="569">
        <f t="shared" ca="1" si="94"/>
        <v>10.604389054814439</v>
      </c>
      <c r="L259" s="510"/>
      <c r="M259" s="705">
        <f t="shared" ref="M259:Q270" ca="1" si="95">IF(AND($G$206=1,M246&gt;=$E$206),$E$206,M246)</f>
        <v>21.261356078410245</v>
      </c>
      <c r="N259" s="569">
        <f t="shared" ca="1" si="95"/>
        <v>18.155039636165647</v>
      </c>
      <c r="O259" s="569">
        <f t="shared" ca="1" si="95"/>
        <v>15.636454665273952</v>
      </c>
      <c r="P259" s="569">
        <f t="shared" ca="1" si="95"/>
        <v>13.671325065919909</v>
      </c>
      <c r="Q259" s="569">
        <f t="shared" ca="1" si="95"/>
        <v>12.047352135109607</v>
      </c>
      <c r="R259" s="510"/>
      <c r="S259" s="687">
        <f t="shared" ref="S259:S270" ca="1" si="96">AVERAGE(M259:Q259)</f>
        <v>16.154305516175874</v>
      </c>
      <c r="T259" s="510"/>
      <c r="U259" s="570">
        <f t="shared" ref="U259:U270" ca="1" si="97">IF($G$206=1,M259,D246)</f>
        <v>21.261356078410245</v>
      </c>
      <c r="V259" s="570">
        <f t="shared" ref="V259:V270" ca="1" si="98">IF($G$206=1,S259,D246)</f>
        <v>16.154305516175874</v>
      </c>
      <c r="W259" s="510"/>
      <c r="X259" s="569">
        <f t="shared" ref="X259:X270" ca="1" si="99">D246*$E$18+U259*$F$18+V259*$I$18</f>
        <v>20.133348882283897</v>
      </c>
      <c r="Y259" s="510"/>
      <c r="Z259" s="706">
        <f ca="1">IF($D$206&lt;X259,X259,$D$206)</f>
        <v>24.2</v>
      </c>
      <c r="AA259" s="510"/>
    </row>
    <row r="260" spans="1:27" s="19" customFormat="1" ht="15.75" outlineLevel="1" x14ac:dyDescent="0.25">
      <c r="A260" s="55"/>
      <c r="C260" s="510"/>
      <c r="D260" s="510"/>
      <c r="E260" s="510"/>
      <c r="F260" s="569">
        <f t="shared" si="94"/>
        <v>24.2</v>
      </c>
      <c r="G260" s="569">
        <f t="shared" ca="1" si="94"/>
        <v>19.128531914199716</v>
      </c>
      <c r="H260" s="569">
        <f t="shared" ca="1" si="94"/>
        <v>19.008301766440479</v>
      </c>
      <c r="I260" s="569">
        <f t="shared" ca="1" si="94"/>
        <v>15.207920635050865</v>
      </c>
      <c r="J260" s="569">
        <f t="shared" ca="1" si="94"/>
        <v>15.69561485918166</v>
      </c>
      <c r="K260" s="569">
        <f t="shared" ca="1" si="94"/>
        <v>12.706281081169664</v>
      </c>
      <c r="L260" s="510"/>
      <c r="M260" s="705">
        <f t="shared" ca="1" si="95"/>
        <v>21.545743675534251</v>
      </c>
      <c r="N260" s="569">
        <f t="shared" ca="1" si="95"/>
        <v>19.066729527403911</v>
      </c>
      <c r="O260" s="569">
        <f t="shared" ca="1" si="95"/>
        <v>17.019294740720547</v>
      </c>
      <c r="P260" s="569">
        <f t="shared" ca="1" si="95"/>
        <v>15.458612060118135</v>
      </c>
      <c r="Q260" s="569">
        <f t="shared" ca="1" si="95"/>
        <v>14.131086018224678</v>
      </c>
      <c r="R260" s="510"/>
      <c r="S260" s="687">
        <f t="shared" ca="1" si="96"/>
        <v>17.444293204400303</v>
      </c>
      <c r="T260" s="510"/>
      <c r="U260" s="570">
        <f t="shared" ca="1" si="97"/>
        <v>21.545743675534251</v>
      </c>
      <c r="V260" s="570">
        <f t="shared" ca="1" si="98"/>
        <v>17.444293204400303</v>
      </c>
      <c r="W260" s="510"/>
      <c r="X260" s="569">
        <f t="shared" ca="1" si="99"/>
        <v>20.718661264340916</v>
      </c>
      <c r="Y260" s="510"/>
      <c r="Z260" s="706">
        <f t="shared" ref="Z260:Z270" ca="1" si="100">IF($D$206&lt;X260,X260,$D$206)</f>
        <v>24.2</v>
      </c>
      <c r="AA260" s="510"/>
    </row>
    <row r="261" spans="1:27" s="19" customFormat="1" ht="15.75" outlineLevel="1" x14ac:dyDescent="0.25">
      <c r="A261" s="55"/>
      <c r="C261" s="570"/>
      <c r="D261" s="510"/>
      <c r="E261" s="510"/>
      <c r="F261" s="569">
        <f t="shared" si="94"/>
        <v>24.2</v>
      </c>
      <c r="G261" s="569">
        <f t="shared" ca="1" si="94"/>
        <v>20.663959225230141</v>
      </c>
      <c r="H261" s="569">
        <f t="shared" ca="1" si="94"/>
        <v>21.760130720509405</v>
      </c>
      <c r="I261" s="569">
        <f t="shared" ca="1" si="94"/>
        <v>18.82144477495148</v>
      </c>
      <c r="J261" s="569">
        <f t="shared" ca="1" si="94"/>
        <v>20.203313923002668</v>
      </c>
      <c r="K261" s="569">
        <f t="shared" ca="1" si="94"/>
        <v>17.645784476281055</v>
      </c>
      <c r="L261" s="510"/>
      <c r="M261" s="705">
        <f t="shared" ca="1" si="95"/>
        <v>22.349340894743968</v>
      </c>
      <c r="N261" s="569">
        <f t="shared" ca="1" si="95"/>
        <v>21.227428671191799</v>
      </c>
      <c r="O261" s="569">
        <f t="shared" ca="1" si="95"/>
        <v>20.222109456320602</v>
      </c>
      <c r="P261" s="569">
        <f t="shared" ca="1" si="95"/>
        <v>19.531772535340416</v>
      </c>
      <c r="Q261" s="569">
        <f t="shared" ca="1" si="95"/>
        <v>18.864778691365295</v>
      </c>
      <c r="R261" s="510"/>
      <c r="S261" s="687">
        <f t="shared" ca="1" si="96"/>
        <v>20.439086049792415</v>
      </c>
      <c r="T261" s="510"/>
      <c r="U261" s="570">
        <f t="shared" ca="1" si="97"/>
        <v>22.349340894743968</v>
      </c>
      <c r="V261" s="570">
        <f t="shared" ca="1" si="98"/>
        <v>20.439086049792415</v>
      </c>
      <c r="W261" s="510"/>
      <c r="X261" s="569">
        <f t="shared" ca="1" si="99"/>
        <v>22.128707588223573</v>
      </c>
      <c r="Y261" s="510"/>
      <c r="Z261" s="706">
        <f t="shared" ca="1" si="100"/>
        <v>24.2</v>
      </c>
      <c r="AA261" s="510"/>
    </row>
    <row r="262" spans="1:27" s="19" customFormat="1" ht="15.75" outlineLevel="1" x14ac:dyDescent="0.25">
      <c r="A262" s="55"/>
      <c r="C262" s="570"/>
      <c r="D262" s="510"/>
      <c r="E262" s="510"/>
      <c r="F262" s="569">
        <f t="shared" si="94"/>
        <v>24.2</v>
      </c>
      <c r="G262" s="569">
        <f t="shared" ca="1" si="94"/>
        <v>22.31971804640898</v>
      </c>
      <c r="H262" s="569">
        <f t="shared" ca="1" si="94"/>
        <v>24.224342555528303</v>
      </c>
      <c r="I262" s="569">
        <f t="shared" ca="1" si="94"/>
        <v>22.33810079776973</v>
      </c>
      <c r="J262" s="569">
        <f t="shared" ca="1" si="94"/>
        <v>24.239874903781242</v>
      </c>
      <c r="K262" s="569">
        <f t="shared" ca="1" si="94"/>
        <v>22.349830350800858</v>
      </c>
      <c r="L262" s="510"/>
      <c r="M262" s="705">
        <f t="shared" ca="1" si="95"/>
        <v>23.215916065592232</v>
      </c>
      <c r="N262" s="569">
        <f t="shared" ca="1" si="95"/>
        <v>23.298759849211059</v>
      </c>
      <c r="O262" s="569">
        <f t="shared" ca="1" si="95"/>
        <v>23.237139435977952</v>
      </c>
      <c r="P262" s="569">
        <f t="shared" ca="1" si="95"/>
        <v>23.315677396389034</v>
      </c>
      <c r="Q262" s="569">
        <f t="shared" ca="1" si="95"/>
        <v>23.250681513741682</v>
      </c>
      <c r="R262" s="510"/>
      <c r="S262" s="687">
        <f t="shared" ca="1" si="96"/>
        <v>23.263634852182392</v>
      </c>
      <c r="T262" s="510"/>
      <c r="U262" s="570">
        <f t="shared" ca="1" si="97"/>
        <v>23.215916065592232</v>
      </c>
      <c r="V262" s="570">
        <f t="shared" ca="1" si="98"/>
        <v>23.263634852182392</v>
      </c>
      <c r="W262" s="510"/>
      <c r="X262" s="569">
        <f t="shared" ca="1" si="99"/>
        <v>23.49740452156562</v>
      </c>
      <c r="Y262" s="510"/>
      <c r="Z262" s="706">
        <f t="shared" ca="1" si="100"/>
        <v>24.2</v>
      </c>
      <c r="AA262" s="510"/>
    </row>
    <row r="263" spans="1:27" s="19" customFormat="1" ht="15.75" outlineLevel="1" x14ac:dyDescent="0.25">
      <c r="A263" s="55"/>
      <c r="C263" s="570"/>
      <c r="D263" s="510"/>
      <c r="E263" s="510"/>
      <c r="F263" s="569">
        <f t="shared" si="94"/>
        <v>24.2</v>
      </c>
      <c r="G263" s="569">
        <f t="shared" ca="1" si="94"/>
        <v>23.456095333949698</v>
      </c>
      <c r="H263" s="569">
        <f t="shared" ca="1" si="94"/>
        <v>26.3</v>
      </c>
      <c r="I263" s="569">
        <f t="shared" ca="1" si="94"/>
        <v>25.52933218306417</v>
      </c>
      <c r="J263" s="569">
        <f t="shared" ca="1" si="94"/>
        <v>26.3</v>
      </c>
      <c r="K263" s="569">
        <f t="shared" ca="1" si="94"/>
        <v>26.3</v>
      </c>
      <c r="L263" s="510"/>
      <c r="M263" s="705">
        <f t="shared" ca="1" si="95"/>
        <v>23.810662310940678</v>
      </c>
      <c r="N263" s="569">
        <f t="shared" ca="1" si="95"/>
        <v>25.249713231966414</v>
      </c>
      <c r="O263" s="569">
        <f t="shared" ca="1" si="95"/>
        <v>25.641574343089282</v>
      </c>
      <c r="P263" s="569">
        <f t="shared" ca="1" si="95"/>
        <v>26.3</v>
      </c>
      <c r="Q263" s="569">
        <f t="shared" ca="1" si="95"/>
        <v>25.641574343089282</v>
      </c>
      <c r="R263" s="510"/>
      <c r="S263" s="687">
        <f t="shared" ca="1" si="96"/>
        <v>25.328704845817136</v>
      </c>
      <c r="T263" s="510"/>
      <c r="U263" s="570">
        <f t="shared" ca="1" si="97"/>
        <v>23.810662310940678</v>
      </c>
      <c r="V263" s="570">
        <f t="shared" ca="1" si="98"/>
        <v>25.328704845817136</v>
      </c>
      <c r="W263" s="510"/>
      <c r="X263" s="569">
        <f t="shared" ca="1" si="99"/>
        <v>24.484215142517382</v>
      </c>
      <c r="Y263" s="510"/>
      <c r="Z263" s="706">
        <f t="shared" ca="1" si="100"/>
        <v>24.484215142517382</v>
      </c>
      <c r="AA263" s="510"/>
    </row>
    <row r="264" spans="1:27" s="19" customFormat="1" ht="15.75" outlineLevel="1" x14ac:dyDescent="0.25">
      <c r="A264" s="55"/>
      <c r="C264" s="570"/>
      <c r="D264" s="510"/>
      <c r="E264" s="510"/>
      <c r="F264" s="569">
        <f t="shared" si="94"/>
        <v>24.2</v>
      </c>
      <c r="G264" s="569">
        <f t="shared" ca="1" si="94"/>
        <v>25.115068576806422</v>
      </c>
      <c r="H264" s="569">
        <f t="shared" ca="1" si="94"/>
        <v>26.3</v>
      </c>
      <c r="I264" s="569">
        <f t="shared" ca="1" si="94"/>
        <v>26.3</v>
      </c>
      <c r="J264" s="569">
        <f t="shared" ca="1" si="94"/>
        <v>26.3</v>
      </c>
      <c r="K264" s="569">
        <f t="shared" ca="1" si="94"/>
        <v>26.3</v>
      </c>
      <c r="L264" s="510"/>
      <c r="M264" s="705">
        <f t="shared" ca="1" si="95"/>
        <v>24.678919814976034</v>
      </c>
      <c r="N264" s="569">
        <f t="shared" ca="1" si="95"/>
        <v>26.3</v>
      </c>
      <c r="O264" s="569">
        <f t="shared" ca="1" si="95"/>
        <v>26.3</v>
      </c>
      <c r="P264" s="569">
        <f t="shared" ca="1" si="95"/>
        <v>26.3</v>
      </c>
      <c r="Q264" s="569">
        <f t="shared" ca="1" si="95"/>
        <v>26.3</v>
      </c>
      <c r="R264" s="510"/>
      <c r="S264" s="687">
        <f t="shared" ca="1" si="96"/>
        <v>25.975783962995205</v>
      </c>
      <c r="T264" s="510"/>
      <c r="U264" s="570">
        <f t="shared" ca="1" si="97"/>
        <v>24.678919814976034</v>
      </c>
      <c r="V264" s="570">
        <f t="shared" ca="1" si="98"/>
        <v>25.975783962995205</v>
      </c>
      <c r="W264" s="510"/>
      <c r="X264" s="569">
        <f t="shared" ca="1" si="99"/>
        <v>25.036961777186072</v>
      </c>
      <c r="Y264" s="510"/>
      <c r="Z264" s="706">
        <f t="shared" ca="1" si="100"/>
        <v>25.036961777186072</v>
      </c>
      <c r="AA264" s="510"/>
    </row>
    <row r="265" spans="1:27" s="19" customFormat="1" ht="15.75" outlineLevel="1" x14ac:dyDescent="0.25">
      <c r="A265" s="55"/>
      <c r="C265" s="570"/>
      <c r="D265" s="510"/>
      <c r="E265" s="510"/>
      <c r="F265" s="569">
        <f t="shared" si="94"/>
        <v>24.2</v>
      </c>
      <c r="G265" s="569">
        <f t="shared" ca="1" si="94"/>
        <v>25.85554821423478</v>
      </c>
      <c r="H265" s="569">
        <f t="shared" ca="1" si="94"/>
        <v>26.3</v>
      </c>
      <c r="I265" s="569">
        <f t="shared" ca="1" si="94"/>
        <v>26.3</v>
      </c>
      <c r="J265" s="569">
        <f t="shared" ca="1" si="94"/>
        <v>26.3</v>
      </c>
      <c r="K265" s="569">
        <f t="shared" ca="1" si="94"/>
        <v>26.3</v>
      </c>
      <c r="L265" s="510"/>
      <c r="M265" s="705">
        <f t="shared" ca="1" si="95"/>
        <v>25.066464945405883</v>
      </c>
      <c r="N265" s="569">
        <f t="shared" ca="1" si="95"/>
        <v>26.3</v>
      </c>
      <c r="O265" s="569">
        <f t="shared" ca="1" si="95"/>
        <v>26.3</v>
      </c>
      <c r="P265" s="569">
        <f t="shared" ca="1" si="95"/>
        <v>26.3</v>
      </c>
      <c r="Q265" s="569">
        <f t="shared" ca="1" si="95"/>
        <v>26.3</v>
      </c>
      <c r="R265" s="510"/>
      <c r="S265" s="687">
        <f t="shared" ca="1" si="96"/>
        <v>26.053292989081179</v>
      </c>
      <c r="T265" s="510"/>
      <c r="U265" s="570">
        <f t="shared" ca="1" si="97"/>
        <v>25.066464945405883</v>
      </c>
      <c r="V265" s="570">
        <f t="shared" ca="1" si="98"/>
        <v>26.053292989081179</v>
      </c>
      <c r="W265" s="510"/>
      <c r="X265" s="569">
        <f t="shared" ca="1" si="99"/>
        <v>25.20443663712183</v>
      </c>
      <c r="Y265" s="510"/>
      <c r="Z265" s="706">
        <f t="shared" ca="1" si="100"/>
        <v>25.20443663712183</v>
      </c>
      <c r="AA265" s="510"/>
    </row>
    <row r="266" spans="1:27" s="19" customFormat="1" ht="15.75" outlineLevel="1" x14ac:dyDescent="0.25">
      <c r="A266" s="55"/>
      <c r="C266" s="570"/>
      <c r="D266" s="510"/>
      <c r="E266" s="510"/>
      <c r="F266" s="569">
        <f t="shared" si="94"/>
        <v>24.2</v>
      </c>
      <c r="G266" s="569">
        <f t="shared" ca="1" si="94"/>
        <v>25.132765546060352</v>
      </c>
      <c r="H266" s="569">
        <f t="shared" ca="1" si="94"/>
        <v>26.3</v>
      </c>
      <c r="I266" s="569">
        <f t="shared" ca="1" si="94"/>
        <v>26.3</v>
      </c>
      <c r="J266" s="569">
        <f t="shared" ca="1" si="94"/>
        <v>26.3</v>
      </c>
      <c r="K266" s="569">
        <f t="shared" ca="1" si="94"/>
        <v>26.3</v>
      </c>
      <c r="L266" s="510"/>
      <c r="M266" s="705">
        <f t="shared" ca="1" si="95"/>
        <v>24.688181885006134</v>
      </c>
      <c r="N266" s="569">
        <f t="shared" ca="1" si="95"/>
        <v>26.3</v>
      </c>
      <c r="O266" s="569">
        <f t="shared" ca="1" si="95"/>
        <v>26.3</v>
      </c>
      <c r="P266" s="569">
        <f t="shared" ca="1" si="95"/>
        <v>26.3</v>
      </c>
      <c r="Q266" s="569">
        <f t="shared" ca="1" si="95"/>
        <v>26.3</v>
      </c>
      <c r="R266" s="510"/>
      <c r="S266" s="687">
        <f t="shared" ca="1" si="96"/>
        <v>25.977636377001225</v>
      </c>
      <c r="T266" s="510"/>
      <c r="U266" s="570">
        <f t="shared" ca="1" si="97"/>
        <v>24.688181885006134</v>
      </c>
      <c r="V266" s="570">
        <f t="shared" ca="1" si="98"/>
        <v>25.977636377001225</v>
      </c>
      <c r="W266" s="510"/>
      <c r="X266" s="569">
        <f t="shared" ca="1" si="99"/>
        <v>25.040964314591935</v>
      </c>
      <c r="Y266" s="510"/>
      <c r="Z266" s="706">
        <f t="shared" ca="1" si="100"/>
        <v>25.040964314591935</v>
      </c>
      <c r="AA266" s="510"/>
    </row>
    <row r="267" spans="1:27" s="19" customFormat="1" ht="15.75" outlineLevel="1" x14ac:dyDescent="0.25">
      <c r="A267" s="55"/>
      <c r="C267" s="510"/>
      <c r="D267" s="510"/>
      <c r="E267" s="510"/>
      <c r="F267" s="569">
        <f t="shared" si="94"/>
        <v>24.2</v>
      </c>
      <c r="G267" s="569">
        <f t="shared" ca="1" si="94"/>
        <v>24.050530707437179</v>
      </c>
      <c r="H267" s="569">
        <f t="shared" ca="1" si="94"/>
        <v>26.3</v>
      </c>
      <c r="I267" s="569">
        <f t="shared" ca="1" si="94"/>
        <v>26.3</v>
      </c>
      <c r="J267" s="569">
        <f t="shared" ca="1" si="94"/>
        <v>26.3</v>
      </c>
      <c r="K267" s="569">
        <f t="shared" ca="1" si="94"/>
        <v>26.3</v>
      </c>
      <c r="L267" s="510"/>
      <c r="M267" s="705">
        <f t="shared" ca="1" si="95"/>
        <v>24.121772195272392</v>
      </c>
      <c r="N267" s="569">
        <f t="shared" ca="1" si="95"/>
        <v>25.740726422771431</v>
      </c>
      <c r="O267" s="569">
        <f t="shared" ca="1" si="95"/>
        <v>25.952684227420995</v>
      </c>
      <c r="P267" s="569">
        <f t="shared" ca="1" si="95"/>
        <v>26.3</v>
      </c>
      <c r="Q267" s="569">
        <f t="shared" ca="1" si="95"/>
        <v>25.952684227420995</v>
      </c>
      <c r="R267" s="510"/>
      <c r="S267" s="687">
        <f t="shared" ca="1" si="96"/>
        <v>25.613573414577161</v>
      </c>
      <c r="T267" s="510"/>
      <c r="U267" s="570">
        <f t="shared" ca="1" si="97"/>
        <v>24.121772195272392</v>
      </c>
      <c r="V267" s="570">
        <f t="shared" ca="1" si="98"/>
        <v>25.613573414577161</v>
      </c>
      <c r="W267" s="510"/>
      <c r="X267" s="569">
        <f t="shared" ca="1" si="99"/>
        <v>24.702151528778003</v>
      </c>
      <c r="Y267" s="510"/>
      <c r="Z267" s="706">
        <f t="shared" ca="1" si="100"/>
        <v>24.702151528778003</v>
      </c>
      <c r="AA267" s="510"/>
    </row>
    <row r="268" spans="1:27" s="19" customFormat="1" ht="15.75" outlineLevel="1" x14ac:dyDescent="0.25">
      <c r="A268" s="55"/>
      <c r="C268" s="510"/>
      <c r="D268" s="510"/>
      <c r="E268" s="510"/>
      <c r="F268" s="569">
        <f t="shared" si="94"/>
        <v>24.2</v>
      </c>
      <c r="G268" s="569">
        <f t="shared" ca="1" si="94"/>
        <v>22.228052894094091</v>
      </c>
      <c r="H268" s="569">
        <f t="shared" ca="1" si="94"/>
        <v>24.207188358503231</v>
      </c>
      <c r="I268" s="569">
        <f t="shared" ca="1" si="94"/>
        <v>22.23348132197231</v>
      </c>
      <c r="J268" s="569">
        <f t="shared" ca="1" si="94"/>
        <v>24.211775062126421</v>
      </c>
      <c r="K268" s="569">
        <f t="shared" ca="1" si="94"/>
        <v>22.236945059876593</v>
      </c>
      <c r="L268" s="510"/>
      <c r="M268" s="705">
        <f t="shared" ca="1" si="95"/>
        <v>23.16794123736722</v>
      </c>
      <c r="N268" s="569">
        <f t="shared" ca="1" si="95"/>
        <v>23.245395863160788</v>
      </c>
      <c r="O268" s="569">
        <f t="shared" ca="1" si="95"/>
        <v>23.174208500260058</v>
      </c>
      <c r="P268" s="569">
        <f t="shared" ca="1" si="95"/>
        <v>23.250391616132134</v>
      </c>
      <c r="Q268" s="569">
        <f t="shared" ca="1" si="95"/>
        <v>23.178207476856056</v>
      </c>
      <c r="R268" s="510"/>
      <c r="S268" s="687">
        <f t="shared" ca="1" si="96"/>
        <v>23.203228938755252</v>
      </c>
      <c r="T268" s="510"/>
      <c r="U268" s="570">
        <f t="shared" ca="1" si="97"/>
        <v>23.16794123736722</v>
      </c>
      <c r="V268" s="570">
        <f t="shared" ca="1" si="98"/>
        <v>23.203228938755252</v>
      </c>
      <c r="W268" s="510"/>
      <c r="X268" s="569">
        <f t="shared" ca="1" si="99"/>
        <v>23.457618436807227</v>
      </c>
      <c r="Y268" s="510"/>
      <c r="Z268" s="706">
        <f t="shared" ca="1" si="100"/>
        <v>24.2</v>
      </c>
      <c r="AA268" s="510"/>
    </row>
    <row r="269" spans="1:27" s="19" customFormat="1" ht="15.75" outlineLevel="1" x14ac:dyDescent="0.25">
      <c r="A269" s="55"/>
      <c r="C269" s="510"/>
      <c r="D269" s="510"/>
      <c r="E269" s="510"/>
      <c r="F269" s="569">
        <f t="shared" si="94"/>
        <v>24.2</v>
      </c>
      <c r="G269" s="569">
        <f t="shared" ca="1" si="94"/>
        <v>20.86603547437911</v>
      </c>
      <c r="H269" s="569">
        <f t="shared" ca="1" si="94"/>
        <v>21.089635440842081</v>
      </c>
      <c r="I269" s="569">
        <f t="shared" ca="1" si="94"/>
        <v>18.51718355265665</v>
      </c>
      <c r="J269" s="569">
        <f t="shared" ca="1" si="94"/>
        <v>19.104993135301161</v>
      </c>
      <c r="K269" s="569">
        <f t="shared" ca="1" si="94"/>
        <v>17.01844255151704</v>
      </c>
      <c r="L269" s="510"/>
      <c r="M269" s="705">
        <f t="shared" ca="1" si="95"/>
        <v>22.455101623837336</v>
      </c>
      <c r="N269" s="569">
        <f t="shared" ca="1" si="95"/>
        <v>20.980973465161142</v>
      </c>
      <c r="O269" s="569">
        <f t="shared" ca="1" si="95"/>
        <v>19.743290244917898</v>
      </c>
      <c r="P269" s="569">
        <f t="shared" ca="1" si="95"/>
        <v>18.81933767843902</v>
      </c>
      <c r="Q269" s="569">
        <f t="shared" ca="1" si="95"/>
        <v>18.012954303619789</v>
      </c>
      <c r="R269" s="510"/>
      <c r="S269" s="687">
        <f t="shared" ca="1" si="96"/>
        <v>20.002331463195041</v>
      </c>
      <c r="T269" s="510"/>
      <c r="U269" s="570">
        <f t="shared" ca="1" si="97"/>
        <v>22.455101623837336</v>
      </c>
      <c r="V269" s="570">
        <f t="shared" ca="1" si="98"/>
        <v>20.002331463195041</v>
      </c>
      <c r="W269" s="510"/>
      <c r="X269" s="569">
        <f t="shared" ca="1" si="99"/>
        <v>22.002696307211473</v>
      </c>
      <c r="Y269" s="510"/>
      <c r="Z269" s="706">
        <f t="shared" ca="1" si="100"/>
        <v>24.2</v>
      </c>
      <c r="AA269" s="510"/>
    </row>
    <row r="270" spans="1:27" s="19" customFormat="1" ht="15.75" outlineLevel="1" x14ac:dyDescent="0.25">
      <c r="A270" s="55"/>
      <c r="C270" s="510"/>
      <c r="D270" s="510"/>
      <c r="E270" s="510"/>
      <c r="F270" s="569">
        <f t="shared" si="94"/>
        <v>24.2</v>
      </c>
      <c r="G270" s="569">
        <f t="shared" ca="1" si="94"/>
        <v>18.796441899251345</v>
      </c>
      <c r="H270" s="569">
        <f t="shared" ca="1" si="94"/>
        <v>17.895639132316894</v>
      </c>
      <c r="I270" s="569">
        <f t="shared" ca="1" si="94"/>
        <v>14.035581923628946</v>
      </c>
      <c r="J270" s="569">
        <f t="shared" ca="1" si="94"/>
        <v>13.872991288493738</v>
      </c>
      <c r="K270" s="569">
        <f t="shared" ca="1" si="94"/>
        <v>10.997801644607637</v>
      </c>
      <c r="L270" s="510"/>
      <c r="M270" s="705">
        <f t="shared" ca="1" si="95"/>
        <v>21.371937588705737</v>
      </c>
      <c r="N270" s="569">
        <f t="shared" ca="1" si="95"/>
        <v>18.333398627107169</v>
      </c>
      <c r="O270" s="569">
        <f t="shared" ca="1" si="95"/>
        <v>15.87539941363535</v>
      </c>
      <c r="P270" s="569">
        <f t="shared" ca="1" si="95"/>
        <v>13.952004805000396</v>
      </c>
      <c r="Q270" s="569">
        <f t="shared" ca="1" si="95"/>
        <v>12.368202109657989</v>
      </c>
      <c r="R270" s="510"/>
      <c r="S270" s="687">
        <f t="shared" ca="1" si="96"/>
        <v>16.380188508821327</v>
      </c>
      <c r="T270" s="510"/>
      <c r="U270" s="570">
        <f t="shared" ca="1" si="97"/>
        <v>21.371937588705737</v>
      </c>
      <c r="V270" s="570">
        <f t="shared" ca="1" si="98"/>
        <v>16.380188508821327</v>
      </c>
      <c r="W270" s="510"/>
      <c r="X270" s="569">
        <f t="shared" ca="1" si="99"/>
        <v>20.257548401060046</v>
      </c>
      <c r="Y270" s="510"/>
      <c r="Z270" s="706">
        <f t="shared" ca="1" si="100"/>
        <v>24.2</v>
      </c>
      <c r="AA270" s="510"/>
    </row>
    <row r="271" spans="1:27" s="19" customFormat="1" ht="15.75" outlineLevel="1" x14ac:dyDescent="0.25">
      <c r="A271" s="55"/>
      <c r="C271" s="48"/>
      <c r="F271" s="43"/>
      <c r="G271" s="48"/>
      <c r="H271" s="48"/>
      <c r="J271" s="43"/>
      <c r="K271" s="43"/>
      <c r="L271" s="43"/>
      <c r="M271" s="43"/>
      <c r="N271" s="43"/>
      <c r="O271" s="43"/>
      <c r="P271" s="53"/>
      <c r="Q271" s="53"/>
      <c r="R271" s="53"/>
      <c r="S271" s="53"/>
      <c r="T271" s="53"/>
      <c r="U271" s="53"/>
      <c r="V271" s="53"/>
      <c r="W271" s="53"/>
    </row>
    <row r="272" spans="1:27" s="19" customFormat="1" ht="15.75" outlineLevel="1" x14ac:dyDescent="0.25">
      <c r="A272" s="55"/>
      <c r="F272" s="43"/>
      <c r="G272" s="48"/>
      <c r="H272" s="48"/>
      <c r="J272" s="43"/>
      <c r="K272" s="43"/>
      <c r="L272" s="43"/>
      <c r="M272" s="43"/>
      <c r="N272" s="43"/>
      <c r="O272" s="43"/>
      <c r="P272" s="53"/>
      <c r="Q272" s="53"/>
      <c r="R272" s="53"/>
      <c r="S272" s="53"/>
      <c r="T272" s="53"/>
      <c r="U272" s="53"/>
      <c r="V272" s="53"/>
      <c r="W272" s="53"/>
    </row>
    <row r="273" spans="1:62" s="19" customFormat="1" ht="15.75" outlineLevel="1" x14ac:dyDescent="0.25">
      <c r="A273" s="55"/>
      <c r="F273" s="43"/>
      <c r="G273" s="48"/>
      <c r="H273" s="48"/>
      <c r="J273" s="43"/>
      <c r="K273" s="43"/>
      <c r="L273" s="43"/>
      <c r="M273" s="43"/>
      <c r="N273" s="43"/>
      <c r="O273" s="43"/>
      <c r="P273" s="53"/>
      <c r="Q273" s="53"/>
      <c r="R273" s="53"/>
      <c r="S273" s="53"/>
      <c r="T273" s="53"/>
      <c r="U273" s="53"/>
      <c r="V273" s="53"/>
      <c r="W273" s="53"/>
    </row>
    <row r="274" spans="1:62" s="19" customFormat="1" ht="15.75" outlineLevel="1" x14ac:dyDescent="0.25">
      <c r="A274" s="55"/>
      <c r="C274" s="16"/>
      <c r="D274" s="56"/>
      <c r="E274" s="56"/>
      <c r="F274" s="43"/>
      <c r="G274" s="48"/>
      <c r="H274" s="48"/>
      <c r="J274" s="43"/>
      <c r="K274" s="43"/>
      <c r="L274" s="43"/>
      <c r="M274" s="43"/>
      <c r="N274" s="43"/>
      <c r="O274" s="43"/>
      <c r="P274" s="53"/>
      <c r="Q274" s="53"/>
      <c r="R274" s="53"/>
      <c r="S274" s="53"/>
      <c r="T274" s="53"/>
      <c r="U274" s="53"/>
      <c r="V274" s="53"/>
      <c r="W274" s="53"/>
    </row>
    <row r="275" spans="1:62" s="39" customFormat="1" ht="13.5" thickBot="1" x14ac:dyDescent="0.3">
      <c r="C275" s="57"/>
      <c r="D275" s="57"/>
      <c r="E275" s="58"/>
      <c r="I275" s="58"/>
      <c r="J275" s="59"/>
      <c r="AA275" s="60"/>
      <c r="AB275" s="60"/>
    </row>
    <row r="277" spans="1:62" s="91" customFormat="1" x14ac:dyDescent="0.25">
      <c r="A277" s="63" t="s">
        <v>661</v>
      </c>
      <c r="B277" s="66"/>
      <c r="C277" s="23"/>
      <c r="D277" s="89"/>
      <c r="E277" s="15"/>
      <c r="J277" s="728" t="s">
        <v>999</v>
      </c>
      <c r="N277" s="281"/>
      <c r="O277" s="93"/>
      <c r="P277" s="94"/>
      <c r="Q277" s="95"/>
      <c r="R277" s="90"/>
    </row>
    <row r="278" spans="1:62" s="91" customFormat="1" outlineLevel="1" x14ac:dyDescent="0.25">
      <c r="A278" s="63"/>
      <c r="B278" s="540"/>
      <c r="C278" s="507"/>
      <c r="D278" s="712"/>
      <c r="E278" s="15"/>
      <c r="J278" s="91">
        <f ca="1">ABS(AG5-Z231)</f>
        <v>22.914383673130256</v>
      </c>
      <c r="N278" s="281"/>
      <c r="O278" s="93"/>
      <c r="P278" s="94"/>
      <c r="Q278" s="95"/>
      <c r="R278" s="90"/>
    </row>
    <row r="279" spans="1:62" s="91" customFormat="1" outlineLevel="1" x14ac:dyDescent="0.25">
      <c r="A279" s="14"/>
      <c r="B279" s="541"/>
      <c r="C279" s="541" t="s">
        <v>218</v>
      </c>
      <c r="D279" s="713">
        <f>Inputs!C10</f>
        <v>4</v>
      </c>
      <c r="E279" s="15"/>
      <c r="F279" s="15"/>
      <c r="G279" s="15"/>
      <c r="H279" s="15"/>
      <c r="I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90"/>
      <c r="AZ279" s="90"/>
      <c r="BA279" s="90"/>
      <c r="BB279" s="90"/>
      <c r="BC279" s="92"/>
      <c r="BD279" s="90"/>
      <c r="BE279" s="90"/>
      <c r="BF279" s="93"/>
      <c r="BG279" s="94"/>
      <c r="BH279" s="95"/>
      <c r="BI279" s="90"/>
    </row>
    <row r="280" spans="1:62" s="91" customFormat="1" outlineLevel="1" x14ac:dyDescent="0.25">
      <c r="A280" s="14"/>
      <c r="B280" s="552"/>
      <c r="C280" s="541"/>
      <c r="D280" s="714"/>
      <c r="E280" s="15"/>
      <c r="F280" s="15" t="s">
        <v>219</v>
      </c>
      <c r="J280" s="82"/>
      <c r="K280" s="82"/>
      <c r="L280" s="82"/>
      <c r="M280" s="82"/>
      <c r="N280" s="82"/>
      <c r="O280" s="82"/>
      <c r="P280" s="82"/>
      <c r="Q280" s="82"/>
      <c r="R280" s="52" t="s">
        <v>220</v>
      </c>
      <c r="S280" s="10"/>
      <c r="T280" s="10"/>
      <c r="U280" s="10"/>
      <c r="V280" s="10"/>
      <c r="X280" s="10"/>
      <c r="Y280" s="10"/>
      <c r="AA280" s="10"/>
      <c r="AB280" s="10"/>
      <c r="AD280" s="10"/>
      <c r="AE280" s="15"/>
      <c r="AF280" s="18"/>
      <c r="AG280" s="66"/>
      <c r="AI280" s="18"/>
      <c r="AV280" s="90"/>
      <c r="AW280" s="96"/>
      <c r="AX280" s="97"/>
      <c r="AY280" s="90"/>
      <c r="AZ280" s="93"/>
      <c r="BA280" s="98"/>
      <c r="BB280" s="99"/>
      <c r="BC280" s="97"/>
      <c r="BD280" s="97"/>
      <c r="BE280" s="97"/>
      <c r="BF280" s="97"/>
      <c r="BG280" s="100"/>
      <c r="BH280" s="100"/>
      <c r="BI280" s="100"/>
      <c r="BJ280" s="100"/>
    </row>
    <row r="281" spans="1:62" s="91" customFormat="1" ht="15" outlineLevel="1" x14ac:dyDescent="0.25">
      <c r="A281" s="66"/>
      <c r="B281" s="552"/>
      <c r="C281" s="541" t="s">
        <v>103</v>
      </c>
      <c r="D281" s="714">
        <f>D11</f>
        <v>1101.1217948717949</v>
      </c>
      <c r="E281" s="66"/>
      <c r="F281" s="15"/>
      <c r="G281" s="18" t="s">
        <v>221</v>
      </c>
      <c r="H281" s="18" t="s">
        <v>222</v>
      </c>
      <c r="J281" s="101" t="s">
        <v>223</v>
      </c>
      <c r="K281" s="101" t="s">
        <v>224</v>
      </c>
      <c r="L281" s="101" t="s">
        <v>225</v>
      </c>
      <c r="M281" s="101" t="s">
        <v>226</v>
      </c>
      <c r="N281" s="15"/>
      <c r="O281" s="101" t="s">
        <v>227</v>
      </c>
      <c r="P281" s="15" t="s">
        <v>228</v>
      </c>
      <c r="Q281"/>
      <c r="R281" s="10" t="s">
        <v>229</v>
      </c>
      <c r="T281" s="10" t="s">
        <v>230</v>
      </c>
      <c r="U281" s="10"/>
      <c r="V281" s="10"/>
      <c r="W281" s="10"/>
      <c r="X281" s="10"/>
      <c r="Y281" s="10"/>
      <c r="Z281" s="10"/>
      <c r="AA281" s="74"/>
      <c r="AB281" s="96" t="s">
        <v>198</v>
      </c>
      <c r="AC281" s="100"/>
      <c r="AD281" s="100"/>
      <c r="AG281" s="66"/>
      <c r="AH281" s="15"/>
      <c r="AI281" s="85"/>
      <c r="AK281" s="52"/>
      <c r="AN281" s="36"/>
      <c r="AO281" s="36"/>
      <c r="AP281" s="103"/>
      <c r="AV281" s="66"/>
      <c r="AW281" s="104"/>
      <c r="AX281" s="82"/>
      <c r="AY281" s="66"/>
      <c r="AZ281" s="36"/>
      <c r="BA281" s="97"/>
      <c r="BB281" s="97"/>
      <c r="BD281" s="36"/>
      <c r="BE281" s="97"/>
      <c r="BF281" s="97"/>
      <c r="BI281" s="105"/>
      <c r="BJ281" s="97"/>
    </row>
    <row r="282" spans="1:62" s="91" customFormat="1" ht="15" outlineLevel="1" x14ac:dyDescent="0.25">
      <c r="A282" s="14"/>
      <c r="B282" s="540"/>
      <c r="C282" s="541" t="s">
        <v>231</v>
      </c>
      <c r="D282" s="714">
        <f>Inputs!$C$49</f>
        <v>1</v>
      </c>
      <c r="F282" s="541" t="s">
        <v>114</v>
      </c>
      <c r="G282" s="727">
        <f t="shared" ref="G282:G293" si="101">$D$288*$D$295</f>
        <v>0.49507592296123804</v>
      </c>
      <c r="H282" s="726">
        <f t="shared" ref="H282:H293" si="102">IF($D$282=3,0,$D$291*G282*(1-$D$293))</f>
        <v>0.13260962222176018</v>
      </c>
      <c r="J282" s="707">
        <f t="shared" ref="J282:J293" ca="1" si="103">MAX(0.0146*$D$303*(0.7*$D$304*ABS(AG5-Z231))^0.667,0.001)</f>
        <v>0.25755909007521305</v>
      </c>
      <c r="K282" s="707">
        <f t="shared" ref="K282:K293" ca="1" si="104">0.0769*$D$303*($D$305*$D$301*AH5^2)^0.667</f>
        <v>0.49822357254179206</v>
      </c>
      <c r="L282" s="729">
        <f t="shared" ref="L282:L293" ca="1" si="105">MAX(J282,K282)+0.14*J282*K282/$D$303</f>
        <v>0.51456732313575948</v>
      </c>
      <c r="M282" s="729">
        <f t="shared" ref="M282:M293" ca="1" si="106">MAX(0,-$D$290)+L282</f>
        <v>0.51456732313575948</v>
      </c>
      <c r="N282" s="541"/>
      <c r="O282" s="729">
        <f ca="1">H282+M282</f>
        <v>0.64717694535751968</v>
      </c>
      <c r="P282" s="718">
        <f ca="1">O282/3.6*1.2</f>
        <v>0.21572564845250655</v>
      </c>
      <c r="Q282"/>
      <c r="R282" s="10" t="s">
        <v>232</v>
      </c>
      <c r="T282" s="106" t="s">
        <v>233</v>
      </c>
      <c r="U282" s="107" t="s">
        <v>234</v>
      </c>
      <c r="V282" s="108"/>
      <c r="W282" s="108"/>
      <c r="X282" s="108"/>
      <c r="Y282" s="108"/>
      <c r="Z282" s="109"/>
      <c r="AA282" s="74"/>
      <c r="AB282" s="25" t="s">
        <v>21</v>
      </c>
      <c r="AC282" s="25"/>
      <c r="AD282" s="25"/>
      <c r="AJ282" s="85"/>
      <c r="AK282" s="10"/>
      <c r="AL282" s="85"/>
      <c r="AM282" s="85"/>
      <c r="AN282" s="36"/>
      <c r="AO282" s="36"/>
      <c r="AP282" s="103"/>
      <c r="AV282" s="66"/>
      <c r="AW282" s="104"/>
      <c r="AX282" s="82"/>
      <c r="AY282" s="66"/>
      <c r="AZ282" s="36"/>
      <c r="BA282" s="97"/>
      <c r="BB282" s="97"/>
      <c r="BD282" s="110"/>
      <c r="BE282" s="97"/>
      <c r="BF282" s="97"/>
      <c r="BI282" s="105"/>
      <c r="BJ282" s="97"/>
    </row>
    <row r="283" spans="1:62" s="91" customFormat="1" ht="15" outlineLevel="1" x14ac:dyDescent="0.25">
      <c r="A283" s="66"/>
      <c r="B283" s="708" t="s">
        <v>235</v>
      </c>
      <c r="C283" s="709" t="s">
        <v>236</v>
      </c>
      <c r="D283" s="710">
        <f>30*D281/$C$2</f>
        <v>4.8076923076923075</v>
      </c>
      <c r="F283" s="541" t="s">
        <v>115</v>
      </c>
      <c r="G283" s="724">
        <f t="shared" si="101"/>
        <v>0.49507592296123804</v>
      </c>
      <c r="H283" s="598">
        <f t="shared" si="102"/>
        <v>0.13260962222176018</v>
      </c>
      <c r="J283" s="707">
        <f t="shared" ca="1" si="103"/>
        <v>0.24257869556079548</v>
      </c>
      <c r="K283" s="707">
        <f t="shared" ca="1" si="104"/>
        <v>0.52427061256094887</v>
      </c>
      <c r="L283" s="729">
        <f t="shared" ca="1" si="105"/>
        <v>0.54046851368157356</v>
      </c>
      <c r="M283" s="729">
        <f t="shared" ca="1" si="106"/>
        <v>0.54046851368157356</v>
      </c>
      <c r="N283" s="541"/>
      <c r="O283" s="729">
        <f t="shared" ref="O283:O293" ca="1" si="107">H283+M283</f>
        <v>0.67307813590333376</v>
      </c>
      <c r="P283" s="718">
        <f t="shared" ref="P283:P293" ca="1" si="108">O283/3.6*1.2</f>
        <v>0.22435937863444458</v>
      </c>
      <c r="Q283"/>
      <c r="R283" s="52"/>
      <c r="T283" s="111"/>
      <c r="U283" s="107" t="s">
        <v>237</v>
      </c>
      <c r="V283" s="108"/>
      <c r="W283" s="109"/>
      <c r="X283" s="107" t="s">
        <v>238</v>
      </c>
      <c r="Y283" s="108"/>
      <c r="Z283" s="109"/>
      <c r="AA283" s="74"/>
      <c r="AB283" s="25" t="s">
        <v>22</v>
      </c>
      <c r="AC283" s="25"/>
      <c r="AD283" s="25"/>
      <c r="AK283" s="10"/>
      <c r="AL283" s="18"/>
      <c r="AM283" s="18"/>
      <c r="AN283" s="69"/>
      <c r="AO283" s="69"/>
      <c r="AP283" s="112"/>
      <c r="AV283" s="113"/>
      <c r="AW283" s="104"/>
      <c r="AX283" s="114"/>
      <c r="AY283" s="18"/>
      <c r="AZ283" s="36"/>
      <c r="BA283" s="36"/>
      <c r="BB283" s="36"/>
      <c r="BD283" s="115"/>
      <c r="BE283" s="116"/>
      <c r="BF283" s="116"/>
      <c r="BI283" s="97"/>
      <c r="BJ283" s="100"/>
    </row>
    <row r="284" spans="1:62" s="91" customFormat="1" ht="15" outlineLevel="1" x14ac:dyDescent="0.25">
      <c r="A284" s="66"/>
      <c r="B284" s="711" t="s">
        <v>239</v>
      </c>
      <c r="C284" s="709"/>
      <c r="D284" s="710"/>
      <c r="F284" s="541" t="s">
        <v>116</v>
      </c>
      <c r="G284" s="724">
        <f t="shared" si="101"/>
        <v>0.49507592296123804</v>
      </c>
      <c r="H284" s="598">
        <f t="shared" si="102"/>
        <v>0.13260962222176018</v>
      </c>
      <c r="J284" s="707">
        <f t="shared" ca="1" si="103"/>
        <v>0.1978417193661178</v>
      </c>
      <c r="K284" s="707">
        <f t="shared" ca="1" si="104"/>
        <v>0.58233354808674032</v>
      </c>
      <c r="L284" s="729">
        <f t="shared" ca="1" si="105"/>
        <v>0.59700726920270553</v>
      </c>
      <c r="M284" s="729">
        <f t="shared" ca="1" si="106"/>
        <v>0.59700726920270553</v>
      </c>
      <c r="N284" s="541"/>
      <c r="O284" s="729">
        <f t="shared" ca="1" si="107"/>
        <v>0.72961689142446573</v>
      </c>
      <c r="P284" s="718">
        <f t="shared" ca="1" si="108"/>
        <v>0.24320563047482191</v>
      </c>
      <c r="Q284"/>
      <c r="R284" s="52" t="s">
        <v>240</v>
      </c>
      <c r="S284" s="10"/>
      <c r="T284" s="111"/>
      <c r="U284" s="107" t="s">
        <v>241</v>
      </c>
      <c r="V284" s="108"/>
      <c r="W284" s="108"/>
      <c r="X284" s="108"/>
      <c r="Y284" s="108"/>
      <c r="Z284" s="109"/>
      <c r="AA284" s="74"/>
      <c r="AB284" s="117" t="s">
        <v>23</v>
      </c>
      <c r="AC284" s="118" t="s">
        <v>242</v>
      </c>
      <c r="AD284" s="104"/>
      <c r="AG284" s="119"/>
      <c r="AH284" s="74"/>
      <c r="AI284" s="120"/>
      <c r="AK284" s="18"/>
      <c r="AL284" s="18"/>
      <c r="AM284" s="18"/>
      <c r="AN284" s="62"/>
      <c r="AO284" s="28"/>
      <c r="AP284" s="121"/>
      <c r="AV284" s="66"/>
      <c r="AW284" s="67"/>
      <c r="AX284" s="122"/>
      <c r="AY284" s="18"/>
      <c r="AZ284" s="69"/>
      <c r="BA284" s="36"/>
      <c r="BB284" s="36"/>
      <c r="BD284" s="19"/>
      <c r="BE284" s="123"/>
      <c r="BF284" s="123"/>
    </row>
    <row r="285" spans="1:62" s="91" customFormat="1" ht="15" outlineLevel="1" x14ac:dyDescent="0.25">
      <c r="A285" s="66"/>
      <c r="B285" s="25"/>
      <c r="C285"/>
      <c r="D285"/>
      <c r="E285" s="74"/>
      <c r="F285" s="541" t="s">
        <v>117</v>
      </c>
      <c r="G285" s="724">
        <f t="shared" si="101"/>
        <v>0.49507592296123804</v>
      </c>
      <c r="H285" s="598">
        <f t="shared" si="102"/>
        <v>0.13260962222176018</v>
      </c>
      <c r="J285" s="707">
        <f t="shared" ca="1" si="103"/>
        <v>0.15460962271088272</v>
      </c>
      <c r="K285" s="707">
        <f t="shared" ca="1" si="104"/>
        <v>0.49277384460697632</v>
      </c>
      <c r="L285" s="729">
        <f t="shared" ca="1" si="105"/>
        <v>0.50247748606663012</v>
      </c>
      <c r="M285" s="729">
        <f t="shared" ca="1" si="106"/>
        <v>0.50247748606663012</v>
      </c>
      <c r="N285" s="541"/>
      <c r="O285" s="729">
        <f t="shared" ca="1" si="107"/>
        <v>0.63508710828839032</v>
      </c>
      <c r="P285" s="718">
        <f t="shared" ca="1" si="108"/>
        <v>0.21169570276279676</v>
      </c>
      <c r="Q285"/>
      <c r="R285" s="10" t="str">
        <f>T304</f>
        <v>Low (Q4Pa 0.6 m3/h/m2)</v>
      </c>
      <c r="S285" s="10"/>
      <c r="T285" s="124"/>
      <c r="U285" s="125" t="s">
        <v>243</v>
      </c>
      <c r="V285" s="125" t="s">
        <v>244</v>
      </c>
      <c r="W285" s="125" t="s">
        <v>245</v>
      </c>
      <c r="X285" s="125" t="s">
        <v>243</v>
      </c>
      <c r="Y285" s="125" t="s">
        <v>244</v>
      </c>
      <c r="Z285" s="125" t="s">
        <v>245</v>
      </c>
      <c r="AA285" s="74"/>
      <c r="AB285" s="86" t="s">
        <v>24</v>
      </c>
      <c r="AC285" s="86">
        <v>0</v>
      </c>
      <c r="AD285" s="25"/>
      <c r="AG285" s="119"/>
      <c r="AH285" s="74"/>
      <c r="AI285" s="120"/>
      <c r="AK285" s="18"/>
      <c r="AL285" s="18"/>
      <c r="AM285" s="18"/>
      <c r="AN285" s="62"/>
      <c r="AO285" s="28"/>
      <c r="AP285" s="121"/>
      <c r="AV285" s="66"/>
      <c r="AW285" s="67"/>
      <c r="AX285" s="122"/>
      <c r="AY285" s="18"/>
      <c r="AZ285" s="69"/>
      <c r="BA285" s="36"/>
      <c r="BB285" s="36"/>
      <c r="BD285" s="19"/>
      <c r="BE285" s="123"/>
      <c r="BF285" s="123"/>
    </row>
    <row r="286" spans="1:62" s="91" customFormat="1" ht="15" outlineLevel="1" x14ac:dyDescent="0.25">
      <c r="A286" s="66"/>
      <c r="B286" s="593"/>
      <c r="C286" s="541"/>
      <c r="D286" s="714"/>
      <c r="E286" s="541"/>
      <c r="F286" s="541" t="s">
        <v>118</v>
      </c>
      <c r="G286" s="724">
        <f t="shared" si="101"/>
        <v>0.49507592296123804</v>
      </c>
      <c r="H286" s="598">
        <f t="shared" si="102"/>
        <v>0.13260962222176018</v>
      </c>
      <c r="J286" s="707">
        <f t="shared" ca="1" si="103"/>
        <v>9.7035569562482049E-2</v>
      </c>
      <c r="K286" s="707">
        <f t="shared" ca="1" si="104"/>
        <v>0.3497766471188884</v>
      </c>
      <c r="L286" s="729">
        <f t="shared" ca="1" si="105"/>
        <v>0.3540995187816971</v>
      </c>
      <c r="M286" s="729">
        <f t="shared" ca="1" si="106"/>
        <v>0.3540995187816971</v>
      </c>
      <c r="N286" s="541"/>
      <c r="O286" s="729">
        <f t="shared" ca="1" si="107"/>
        <v>0.4867091410034573</v>
      </c>
      <c r="P286" s="718">
        <f t="shared" ca="1" si="108"/>
        <v>0.16223638033448576</v>
      </c>
      <c r="Q286"/>
      <c r="R286" s="10" t="str">
        <f>T305</f>
        <v>Medium (Q4Pa 1.1 m3/h/m2)</v>
      </c>
      <c r="T286" s="125" t="s">
        <v>246</v>
      </c>
      <c r="U286" s="125">
        <v>0.5</v>
      </c>
      <c r="V286" s="125">
        <v>0.7</v>
      </c>
      <c r="W286" s="125">
        <v>1.2</v>
      </c>
      <c r="X286" s="125">
        <v>0.5</v>
      </c>
      <c r="Y286" s="125">
        <v>0.6</v>
      </c>
      <c r="Z286" s="125">
        <v>1</v>
      </c>
      <c r="AA286" s="74"/>
      <c r="AB286" s="86" t="s">
        <v>25</v>
      </c>
      <c r="AC286" s="86">
        <v>0.65</v>
      </c>
      <c r="AD286" s="25"/>
      <c r="AG286" s="119"/>
      <c r="AH286" s="74"/>
      <c r="AI286" s="120"/>
      <c r="AK286" s="18"/>
      <c r="AL286" s="18"/>
      <c r="AM286" s="18"/>
      <c r="AN286" s="62"/>
      <c r="AO286" s="28"/>
      <c r="AP286" s="121"/>
      <c r="AV286" s="66"/>
      <c r="AW286" s="67"/>
      <c r="AX286" s="122"/>
      <c r="AY286" s="18"/>
      <c r="AZ286" s="69"/>
      <c r="BA286" s="36"/>
      <c r="BB286" s="36"/>
      <c r="BD286" s="19"/>
      <c r="BE286" s="123"/>
      <c r="BF286" s="123"/>
    </row>
    <row r="287" spans="1:62" s="91" customFormat="1" ht="15" outlineLevel="1" x14ac:dyDescent="0.25">
      <c r="A287" s="66"/>
      <c r="B287" s="552" t="s">
        <v>247</v>
      </c>
      <c r="C287" s="717"/>
      <c r="D287" s="717"/>
      <c r="E287" s="541"/>
      <c r="F287" s="541" t="s">
        <v>119</v>
      </c>
      <c r="G287" s="724">
        <f t="shared" si="101"/>
        <v>0.49507592296123804</v>
      </c>
      <c r="H287" s="598">
        <f t="shared" si="102"/>
        <v>0.13260962222176018</v>
      </c>
      <c r="J287" s="707">
        <f t="shared" ca="1" si="103"/>
        <v>2.0353262468696478E-2</v>
      </c>
      <c r="K287" s="707">
        <f t="shared" ca="1" si="104"/>
        <v>0.49906507991350502</v>
      </c>
      <c r="L287" s="729">
        <f t="shared" ca="1" si="105"/>
        <v>0.50035880437186742</v>
      </c>
      <c r="M287" s="729">
        <f t="shared" ca="1" si="106"/>
        <v>0.50035880437186742</v>
      </c>
      <c r="N287" s="541"/>
      <c r="O287" s="729">
        <f t="shared" ca="1" si="107"/>
        <v>0.63296842659362762</v>
      </c>
      <c r="P287" s="718">
        <f t="shared" ca="1" si="108"/>
        <v>0.2109894755312092</v>
      </c>
      <c r="Q287"/>
      <c r="R287" s="10" t="str">
        <f>T306</f>
        <v>High (Q4Pa 2.2 m3/h/m2)</v>
      </c>
      <c r="T287" s="125" t="s">
        <v>248</v>
      </c>
      <c r="U287" s="125">
        <v>0.5</v>
      </c>
      <c r="V287" s="125">
        <v>0.6</v>
      </c>
      <c r="W287" s="125">
        <v>0.9</v>
      </c>
      <c r="X287" s="125">
        <v>0.5</v>
      </c>
      <c r="Y287" s="125">
        <v>0.5</v>
      </c>
      <c r="Z287" s="125">
        <v>0.7</v>
      </c>
      <c r="AA287" s="74"/>
      <c r="AB287" s="86" t="s">
        <v>26</v>
      </c>
      <c r="AC287" s="86">
        <v>0.6</v>
      </c>
      <c r="AD287" s="25"/>
      <c r="AG287" s="119"/>
      <c r="AH287" s="74"/>
      <c r="AI287" s="120"/>
      <c r="AK287" s="18"/>
      <c r="AL287" s="18"/>
      <c r="AM287" s="18"/>
      <c r="AN287" s="62"/>
      <c r="AO287" s="28"/>
      <c r="AP287" s="121"/>
      <c r="AV287" s="66"/>
      <c r="AW287" s="67"/>
      <c r="AX287" s="122"/>
      <c r="AY287" s="18"/>
      <c r="AZ287" s="69"/>
      <c r="BA287" s="36"/>
      <c r="BB287" s="36"/>
      <c r="BD287" s="19"/>
      <c r="BE287" s="123"/>
      <c r="BF287" s="123"/>
    </row>
    <row r="288" spans="1:62" s="91" customFormat="1" ht="15" outlineLevel="1" x14ac:dyDescent="0.25">
      <c r="A288" s="66"/>
      <c r="B288" s="593" t="s">
        <v>249</v>
      </c>
      <c r="C288" s="541" t="s">
        <v>250</v>
      </c>
      <c r="D288" s="718">
        <f>Inputs!C50/3.6/C2</f>
        <v>0.49507592296123804</v>
      </c>
      <c r="E288" s="541"/>
      <c r="F288" s="541" t="s">
        <v>120</v>
      </c>
      <c r="G288" s="724">
        <f t="shared" si="101"/>
        <v>0.49507592296123804</v>
      </c>
      <c r="H288" s="598">
        <f t="shared" si="102"/>
        <v>0.13260962222176018</v>
      </c>
      <c r="J288" s="707">
        <f t="shared" ca="1" si="103"/>
        <v>7.3963108809663627E-2</v>
      </c>
      <c r="K288" s="707">
        <f t="shared" ca="1" si="104"/>
        <v>0.41280222847017928</v>
      </c>
      <c r="L288" s="729">
        <f t="shared" ca="1" si="105"/>
        <v>0.41669095822278557</v>
      </c>
      <c r="M288" s="729">
        <f t="shared" ca="1" si="106"/>
        <v>0.41669095822278557</v>
      </c>
      <c r="N288" s="541"/>
      <c r="O288" s="729">
        <f t="shared" ca="1" si="107"/>
        <v>0.54930058044454577</v>
      </c>
      <c r="P288" s="718">
        <f t="shared" ca="1" si="108"/>
        <v>0.18310019348151527</v>
      </c>
      <c r="Q288"/>
      <c r="R288" s="10"/>
      <c r="T288" s="125" t="s">
        <v>251</v>
      </c>
      <c r="U288" s="125">
        <v>0.5</v>
      </c>
      <c r="V288" s="125">
        <v>0.5</v>
      </c>
      <c r="W288" s="125">
        <v>0.6</v>
      </c>
      <c r="X288" s="125">
        <v>0.5</v>
      </c>
      <c r="Y288" s="125">
        <v>0.5</v>
      </c>
      <c r="Z288" s="125">
        <v>0.5</v>
      </c>
      <c r="AA288" s="74"/>
      <c r="AB288" s="86" t="s">
        <v>27</v>
      </c>
      <c r="AC288" s="86">
        <v>0.4</v>
      </c>
      <c r="AD288" s="25"/>
      <c r="AG288" s="119"/>
      <c r="AH288" s="74"/>
      <c r="AI288" s="120"/>
      <c r="AK288" s="18"/>
      <c r="AL288" s="18"/>
      <c r="AM288" s="18"/>
      <c r="AN288" s="62"/>
      <c r="AO288" s="28"/>
      <c r="AP288" s="121"/>
      <c r="AV288" s="66"/>
      <c r="AW288" s="67"/>
      <c r="AX288" s="122"/>
      <c r="AY288" s="18"/>
      <c r="AZ288" s="69"/>
      <c r="BA288" s="36"/>
      <c r="BB288" s="36"/>
      <c r="BD288" s="19"/>
      <c r="BE288" s="123"/>
      <c r="BF288" s="123"/>
    </row>
    <row r="289" spans="1:62" s="91" customFormat="1" ht="15" outlineLevel="1" x14ac:dyDescent="0.25">
      <c r="A289" s="66"/>
      <c r="B289" s="719"/>
      <c r="C289" s="541" t="s">
        <v>252</v>
      </c>
      <c r="D289" s="718">
        <f>Inputs!C52/3.6/C2</f>
        <v>0.49507592296123804</v>
      </c>
      <c r="E289" s="541"/>
      <c r="F289" s="541" t="s">
        <v>121</v>
      </c>
      <c r="G289" s="724">
        <f t="shared" si="101"/>
        <v>0.49507592296123804</v>
      </c>
      <c r="H289" s="598">
        <f t="shared" si="102"/>
        <v>0.13260962222176018</v>
      </c>
      <c r="J289" s="707">
        <f t="shared" ca="1" si="103"/>
        <v>3.5622336132876735E-2</v>
      </c>
      <c r="K289" s="707">
        <f t="shared" ca="1" si="104"/>
        <v>0.36224538640738918</v>
      </c>
      <c r="L289" s="729">
        <f t="shared" ca="1" si="105"/>
        <v>0.36388890958471343</v>
      </c>
      <c r="M289" s="729">
        <f t="shared" ca="1" si="106"/>
        <v>0.36388890958471343</v>
      </c>
      <c r="N289" s="541"/>
      <c r="O289" s="729">
        <f t="shared" ca="1" si="107"/>
        <v>0.49649853180647363</v>
      </c>
      <c r="P289" s="718">
        <f t="shared" ca="1" si="108"/>
        <v>0.16549951060215787</v>
      </c>
      <c r="Q289"/>
      <c r="T289" s="10"/>
      <c r="U289" s="10"/>
      <c r="V289" s="10"/>
      <c r="W289" s="10"/>
      <c r="X289" s="10"/>
      <c r="Y289" s="10"/>
      <c r="Z289" s="10"/>
      <c r="AA289" s="74"/>
      <c r="AB289" s="86" t="s">
        <v>28</v>
      </c>
      <c r="AC289" s="86">
        <v>0.6</v>
      </c>
      <c r="AD289" s="25"/>
      <c r="AE289" s="25"/>
      <c r="AF289" s="25"/>
      <c r="AG289" s="119"/>
      <c r="AH289" s="74"/>
      <c r="AI289" s="120"/>
      <c r="AK289" s="18"/>
      <c r="AL289" s="18"/>
      <c r="AM289" s="18"/>
      <c r="AN289" s="62"/>
      <c r="AO289" s="28"/>
      <c r="AP289" s="121"/>
      <c r="AV289" s="66"/>
      <c r="AW289" s="67"/>
      <c r="AX289" s="122"/>
      <c r="AY289" s="18"/>
      <c r="AZ289" s="69"/>
      <c r="BA289" s="36"/>
      <c r="BB289" s="36"/>
      <c r="BD289" s="19"/>
      <c r="BE289" s="123"/>
      <c r="BF289" s="123"/>
    </row>
    <row r="290" spans="1:62" s="91" customFormat="1" ht="15" outlineLevel="1" x14ac:dyDescent="0.25">
      <c r="A290" s="66"/>
      <c r="B290" s="540"/>
      <c r="C290" s="541" t="s">
        <v>253</v>
      </c>
      <c r="D290" s="707">
        <f>D288-D289</f>
        <v>0</v>
      </c>
      <c r="E290" s="539"/>
      <c r="F290" s="541" t="s">
        <v>122</v>
      </c>
      <c r="G290" s="724">
        <f t="shared" si="101"/>
        <v>0.49507592296123804</v>
      </c>
      <c r="H290" s="598">
        <f t="shared" si="102"/>
        <v>0.13260962222176018</v>
      </c>
      <c r="J290" s="707">
        <f t="shared" ca="1" si="103"/>
        <v>5.8102258965761197E-2</v>
      </c>
      <c r="K290" s="707">
        <f t="shared" ca="1" si="104"/>
        <v>0.30977398663497346</v>
      </c>
      <c r="L290" s="729">
        <f t="shared" ca="1" si="105"/>
        <v>0.31206637679358629</v>
      </c>
      <c r="M290" s="729">
        <f t="shared" ca="1" si="106"/>
        <v>0.31206637679358629</v>
      </c>
      <c r="N290" s="541"/>
      <c r="O290" s="729">
        <f t="shared" ca="1" si="107"/>
        <v>0.44467599901534649</v>
      </c>
      <c r="P290" s="718">
        <f t="shared" ca="1" si="108"/>
        <v>0.14822533300511548</v>
      </c>
      <c r="Q290"/>
      <c r="S290" s="10"/>
      <c r="T290" s="10" t="s">
        <v>254</v>
      </c>
      <c r="U290" s="10"/>
      <c r="V290" s="10"/>
      <c r="W290" s="10"/>
      <c r="X290" s="21"/>
      <c r="Y290" s="21"/>
      <c r="Z290" s="21"/>
      <c r="AA290" s="74"/>
      <c r="AB290" s="86" t="s">
        <v>29</v>
      </c>
      <c r="AC290" s="86">
        <v>0.7</v>
      </c>
      <c r="AD290" s="25"/>
      <c r="AE290" s="25"/>
      <c r="AF290" s="25"/>
      <c r="AG290" s="119"/>
      <c r="AH290" s="74"/>
      <c r="AI290" s="120"/>
      <c r="AK290" s="18"/>
      <c r="AL290" s="18"/>
      <c r="AM290" s="18"/>
      <c r="AN290" s="62"/>
      <c r="AO290" s="28"/>
      <c r="AP290" s="121"/>
      <c r="AQ290" s="25"/>
      <c r="AR290" s="25"/>
      <c r="AS290" s="25"/>
      <c r="AT290" s="25"/>
      <c r="AU290" s="25"/>
      <c r="AV290" s="66"/>
      <c r="AW290" s="67"/>
      <c r="AX290" s="122"/>
      <c r="AY290" s="18"/>
      <c r="AZ290" s="69"/>
      <c r="BA290" s="36"/>
      <c r="BB290" s="36"/>
      <c r="BD290" s="19"/>
      <c r="BE290" s="123"/>
      <c r="BF290" s="123"/>
    </row>
    <row r="291" spans="1:62" s="91" customFormat="1" ht="15" outlineLevel="1" x14ac:dyDescent="0.25">
      <c r="A291" s="66"/>
      <c r="B291" s="540"/>
      <c r="C291" s="720" t="s">
        <v>255</v>
      </c>
      <c r="D291" s="721">
        <f>E18</f>
        <v>0.26785714285714285</v>
      </c>
      <c r="E291" s="539"/>
      <c r="F291" s="541" t="s">
        <v>123</v>
      </c>
      <c r="G291" s="724">
        <f t="shared" si="101"/>
        <v>0.49507592296123804</v>
      </c>
      <c r="H291" s="598">
        <f t="shared" si="102"/>
        <v>0.13260962222176018</v>
      </c>
      <c r="J291" s="707">
        <f t="shared" ca="1" si="103"/>
        <v>0.1441683726879226</v>
      </c>
      <c r="K291" s="707">
        <f t="shared" ca="1" si="104"/>
        <v>0.48543728949283738</v>
      </c>
      <c r="L291" s="729">
        <f t="shared" ca="1" si="105"/>
        <v>0.494350901029178</v>
      </c>
      <c r="M291" s="729">
        <f t="shared" ca="1" si="106"/>
        <v>0.494350901029178</v>
      </c>
      <c r="N291" s="541"/>
      <c r="O291" s="729">
        <f t="shared" ca="1" si="107"/>
        <v>0.62696052325093821</v>
      </c>
      <c r="P291" s="718">
        <f t="shared" ca="1" si="108"/>
        <v>0.20898684108364607</v>
      </c>
      <c r="Q291"/>
      <c r="T291" s="106" t="s">
        <v>233</v>
      </c>
      <c r="U291" s="125" t="s">
        <v>256</v>
      </c>
      <c r="V291" s="125"/>
      <c r="W291" s="125"/>
      <c r="X291" s="21"/>
      <c r="Y291" s="21"/>
      <c r="Z291" s="21"/>
      <c r="AA291" s="74"/>
      <c r="AE291" s="74"/>
      <c r="AF291" s="90"/>
      <c r="AG291" s="119"/>
      <c r="AH291" s="74"/>
      <c r="AI291" s="120"/>
      <c r="AK291" s="18"/>
      <c r="AL291" s="18"/>
      <c r="AM291" s="18"/>
      <c r="AN291" s="62"/>
      <c r="AO291" s="28"/>
      <c r="AP291" s="121"/>
      <c r="AQ291" s="25"/>
      <c r="AR291" s="25"/>
      <c r="AS291" s="25"/>
      <c r="AT291" s="25"/>
      <c r="AU291" s="25"/>
      <c r="AV291" s="66"/>
      <c r="AW291" s="67"/>
      <c r="AX291" s="122"/>
      <c r="AY291" s="18"/>
      <c r="AZ291" s="69"/>
      <c r="BA291" s="36"/>
      <c r="BB291" s="36"/>
      <c r="BD291" s="19"/>
      <c r="BE291" s="123"/>
      <c r="BF291" s="123"/>
    </row>
    <row r="292" spans="1:62" s="91" customFormat="1" ht="15" outlineLevel="1" x14ac:dyDescent="0.25">
      <c r="A292" s="66"/>
      <c r="B292" s="540"/>
      <c r="C292" s="541"/>
      <c r="D292" s="541"/>
      <c r="E292" s="539"/>
      <c r="F292" s="541" t="s">
        <v>124</v>
      </c>
      <c r="G292" s="724">
        <f t="shared" si="101"/>
        <v>0.49507592296123804</v>
      </c>
      <c r="H292" s="598">
        <f t="shared" si="102"/>
        <v>0.13260962222176018</v>
      </c>
      <c r="J292" s="707">
        <f t="shared" ca="1" si="103"/>
        <v>0.18884151507123917</v>
      </c>
      <c r="K292" s="707">
        <f t="shared" ca="1" si="104"/>
        <v>0.55549874180722802</v>
      </c>
      <c r="L292" s="729">
        <f t="shared" ca="1" si="105"/>
        <v>0.56885950074844771</v>
      </c>
      <c r="M292" s="729">
        <f t="shared" ca="1" si="106"/>
        <v>0.56885950074844771</v>
      </c>
      <c r="N292" s="541"/>
      <c r="O292" s="729">
        <f t="shared" ca="1" si="107"/>
        <v>0.70146912297020791</v>
      </c>
      <c r="P292" s="718">
        <f t="shared" ca="1" si="108"/>
        <v>0.23382304099006929</v>
      </c>
      <c r="Q292"/>
      <c r="T292" s="111"/>
      <c r="U292" s="125" t="s">
        <v>237</v>
      </c>
      <c r="V292" s="125"/>
      <c r="W292" s="125"/>
      <c r="X292" s="21"/>
      <c r="Y292" s="21"/>
      <c r="Z292" s="21"/>
      <c r="AA292" s="74"/>
      <c r="AB292" s="96" t="s">
        <v>198</v>
      </c>
      <c r="AC292" s="97"/>
      <c r="AE292" s="74"/>
      <c r="AF292" s="90"/>
      <c r="AG292" s="119"/>
      <c r="AH292" s="74"/>
      <c r="AI292" s="120"/>
      <c r="AK292" s="18"/>
      <c r="AL292" s="18"/>
      <c r="AM292" s="18"/>
      <c r="AN292" s="62"/>
      <c r="AO292" s="28"/>
      <c r="AP292" s="121"/>
      <c r="AQ292" s="25"/>
      <c r="AR292" s="25"/>
      <c r="AS292" s="25"/>
      <c r="AT292" s="25"/>
      <c r="AU292" s="25"/>
      <c r="AV292" s="66"/>
      <c r="AW292" s="67"/>
      <c r="AX292" s="122"/>
      <c r="AY292" s="18"/>
      <c r="AZ292" s="69"/>
      <c r="BA292" s="36"/>
      <c r="BB292" s="36"/>
      <c r="BD292" s="19"/>
      <c r="BE292" s="123"/>
      <c r="BF292" s="123"/>
    </row>
    <row r="293" spans="1:62" s="91" customFormat="1" ht="15" outlineLevel="1" x14ac:dyDescent="0.25">
      <c r="A293" s="66"/>
      <c r="B293" s="540"/>
      <c r="C293" s="720" t="s">
        <v>242</v>
      </c>
      <c r="D293" s="541">
        <f>Inputs!C54</f>
        <v>0</v>
      </c>
      <c r="E293" s="539" t="s">
        <v>257</v>
      </c>
      <c r="F293" s="541" t="s">
        <v>125</v>
      </c>
      <c r="G293" s="724">
        <f t="shared" si="101"/>
        <v>0.49507592296123804</v>
      </c>
      <c r="H293" s="598">
        <f t="shared" si="102"/>
        <v>0.13260962222176018</v>
      </c>
      <c r="J293" s="707">
        <f t="shared" ca="1" si="103"/>
        <v>0.25061388448292088</v>
      </c>
      <c r="K293" s="707">
        <f t="shared" ca="1" si="104"/>
        <v>0.42008352732846616</v>
      </c>
      <c r="L293" s="729">
        <f t="shared" ca="1" si="105"/>
        <v>0.43349237177647526</v>
      </c>
      <c r="M293" s="729">
        <f t="shared" ca="1" si="106"/>
        <v>0.43349237177647526</v>
      </c>
      <c r="N293" s="541"/>
      <c r="O293" s="729">
        <f t="shared" ca="1" si="107"/>
        <v>0.56610199399823546</v>
      </c>
      <c r="P293" s="718">
        <f t="shared" ca="1" si="108"/>
        <v>0.18870066466607846</v>
      </c>
      <c r="Q293"/>
      <c r="T293" s="111"/>
      <c r="U293" s="107" t="s">
        <v>241</v>
      </c>
      <c r="V293" s="125"/>
      <c r="W293" s="125"/>
      <c r="X293" s="21"/>
      <c r="Y293" s="21"/>
      <c r="Z293" s="21"/>
      <c r="AB293" s="25" t="s">
        <v>258</v>
      </c>
      <c r="AC293" s="25"/>
      <c r="AE293" s="74"/>
      <c r="AF293" s="90"/>
      <c r="AG293" s="119"/>
      <c r="AH293" s="74"/>
      <c r="AI293" s="120"/>
      <c r="AK293" s="18"/>
      <c r="AL293" s="18"/>
      <c r="AM293" s="18"/>
      <c r="AN293" s="62"/>
      <c r="AO293" s="28"/>
      <c r="AP293" s="121"/>
      <c r="AQ293" s="25"/>
      <c r="AR293" s="25"/>
      <c r="AS293" s="25"/>
      <c r="AT293" s="25"/>
      <c r="AU293" s="25"/>
      <c r="AV293" s="66"/>
      <c r="AW293" s="67"/>
      <c r="AX293" s="122"/>
      <c r="AY293" s="18"/>
      <c r="AZ293" s="69"/>
      <c r="BA293" s="36"/>
      <c r="BB293" s="36"/>
      <c r="BD293" s="19"/>
      <c r="BE293" s="123"/>
      <c r="BF293" s="123"/>
    </row>
    <row r="294" spans="1:62" s="91" customFormat="1" ht="15" outlineLevel="1" x14ac:dyDescent="0.25">
      <c r="A294" s="66"/>
      <c r="B294" s="722"/>
      <c r="C294" s="541"/>
      <c r="D294" s="541">
        <f>Inputs!$C$55</f>
        <v>0</v>
      </c>
      <c r="E294" s="539" t="s">
        <v>259</v>
      </c>
      <c r="F294" s="709" t="s">
        <v>260</v>
      </c>
      <c r="G294" s="710">
        <f>AVERAGE(G282:G293)</f>
        <v>0.49507592296123804</v>
      </c>
      <c r="H294" s="716">
        <f>AVERAGE(H282:H293)</f>
        <v>0.13260962222176015</v>
      </c>
      <c r="J294" s="710">
        <f ca="1">AVERAGE(J282:J293)</f>
        <v>0.14344078632454765</v>
      </c>
      <c r="K294" s="710">
        <f ca="1">AVERAGE(K282:K293)</f>
        <v>0.45769037208082713</v>
      </c>
      <c r="L294" s="710">
        <f ca="1">AVERAGE(L282:L293)</f>
        <v>0.46652732778295164</v>
      </c>
      <c r="M294" s="710">
        <f ca="1">AVERAGE(M282:M293)</f>
        <v>0.46652732778295164</v>
      </c>
      <c r="N294" s="710"/>
      <c r="O294" s="710">
        <f t="shared" ref="O294:P294" ca="1" si="109">AVERAGE(O282:O293)</f>
        <v>0.59913695000471179</v>
      </c>
      <c r="P294" s="710">
        <f t="shared" ca="1" si="109"/>
        <v>0.19971231666823727</v>
      </c>
      <c r="Q294"/>
      <c r="R294" s="52" t="s">
        <v>54</v>
      </c>
      <c r="S294" s="10"/>
      <c r="T294" s="124"/>
      <c r="U294" s="125" t="s">
        <v>243</v>
      </c>
      <c r="V294" s="125" t="s">
        <v>244</v>
      </c>
      <c r="W294" s="125" t="s">
        <v>245</v>
      </c>
      <c r="X294" s="21"/>
      <c r="Y294" s="21"/>
      <c r="Z294" s="21"/>
      <c r="AA294" s="66"/>
      <c r="AB294" s="25" t="s">
        <v>261</v>
      </c>
      <c r="AC294" s="25"/>
      <c r="AE294" s="74"/>
      <c r="AF294" s="90"/>
      <c r="AG294" s="119"/>
      <c r="AH294" s="74"/>
      <c r="AI294" s="120"/>
      <c r="AK294" s="18"/>
      <c r="AL294" s="18"/>
      <c r="AM294" s="18"/>
      <c r="AN294" s="62"/>
      <c r="AO294" s="28"/>
      <c r="AP294" s="121"/>
      <c r="AQ294" s="25"/>
      <c r="AR294" s="25"/>
      <c r="AS294" s="25"/>
      <c r="AT294" s="25"/>
      <c r="AU294" s="25"/>
      <c r="AV294" s="66"/>
      <c r="AW294" s="67"/>
      <c r="AX294" s="122"/>
      <c r="AY294" s="18"/>
      <c r="AZ294" s="69"/>
      <c r="BA294" s="36"/>
      <c r="BB294" s="36"/>
      <c r="BD294" s="19"/>
      <c r="BE294" s="123"/>
      <c r="BF294" s="123"/>
    </row>
    <row r="295" spans="1:62" s="91" customFormat="1" ht="15" outlineLevel="1" x14ac:dyDescent="0.25">
      <c r="A295" s="66"/>
      <c r="B295" s="559"/>
      <c r="C295" s="541" t="s">
        <v>644</v>
      </c>
      <c r="D295" s="541">
        <f>1-D294</f>
        <v>1</v>
      </c>
      <c r="E295" s="539"/>
      <c r="F295" s="541" t="s">
        <v>262</v>
      </c>
      <c r="G295" s="540"/>
      <c r="H295" s="598"/>
      <c r="I295" s="90"/>
      <c r="J295" s="15"/>
      <c r="K295" s="15"/>
      <c r="L295" s="15"/>
      <c r="M295" s="15"/>
      <c r="N295" s="15"/>
      <c r="O295" s="15"/>
      <c r="P295" s="15"/>
      <c r="Q295"/>
      <c r="R295" s="66" t="s">
        <v>263</v>
      </c>
      <c r="S295" s="10"/>
      <c r="T295" s="125" t="s">
        <v>246</v>
      </c>
      <c r="U295" s="125">
        <v>0.5</v>
      </c>
      <c r="V295" s="125">
        <v>0.8</v>
      </c>
      <c r="W295" s="125">
        <v>1.5</v>
      </c>
      <c r="X295" s="21"/>
      <c r="Z295" s="21"/>
      <c r="AA295" s="66"/>
      <c r="AB295" s="117" t="s">
        <v>264</v>
      </c>
      <c r="AC295" s="117" t="s">
        <v>265</v>
      </c>
      <c r="AE295" s="74"/>
      <c r="AF295" s="90"/>
      <c r="AG295" s="119"/>
      <c r="AH295" s="74"/>
      <c r="AI295" s="120"/>
      <c r="AK295" s="18"/>
      <c r="AL295" s="18"/>
      <c r="AM295" s="18"/>
      <c r="AN295" s="62"/>
      <c r="AO295" s="28"/>
      <c r="AP295" s="121"/>
      <c r="AQ295" s="25"/>
      <c r="AR295" s="25"/>
      <c r="AS295" s="25"/>
      <c r="AT295" s="25"/>
      <c r="AU295" s="25"/>
      <c r="AV295" s="66"/>
      <c r="AW295" s="67"/>
      <c r="AX295" s="122"/>
      <c r="AY295" s="18"/>
      <c r="AZ295" s="69"/>
      <c r="BA295" s="36"/>
      <c r="BB295" s="36"/>
      <c r="BD295" s="19"/>
      <c r="BE295" s="123"/>
      <c r="BF295" s="123"/>
    </row>
    <row r="296" spans="1:62" s="91" customFormat="1" ht="15" outlineLevel="1" x14ac:dyDescent="0.25">
      <c r="A296" s="66"/>
      <c r="B296" s="717"/>
      <c r="C296" s="717"/>
      <c r="D296" s="717"/>
      <c r="E296" s="541"/>
      <c r="F296" s="541" t="s">
        <v>114</v>
      </c>
      <c r="G296" s="724">
        <f t="shared" ref="G296:G307" si="110">$D$288*$D$295</f>
        <v>0.49507592296123804</v>
      </c>
      <c r="H296" s="598">
        <f t="shared" ref="H296:H307" si="111">IF($D$282=3,0,$D$291*G296*(1-$D$293))</f>
        <v>0.13260962222176018</v>
      </c>
      <c r="J296" s="707">
        <f t="shared" ref="J296:J307" ca="1" si="112">MAX(0.0146*$D$303*(0.7*$D$304*ABS(AG5-Z259))^0.667,0.001)</f>
        <v>0.30029721534369946</v>
      </c>
      <c r="K296" s="707">
        <f t="shared" ref="K296:K307" ca="1" si="113">0.0769*$D$303*($D$305*$D$301*AH5^2)^0.667</f>
        <v>0.49822357254179206</v>
      </c>
      <c r="L296" s="729">
        <f t="shared" ref="L296:L307" ca="1" si="114">MAX(J296,K296)+0.14*J296*K296/$D$303</f>
        <v>0.51727932704926105</v>
      </c>
      <c r="M296" s="729">
        <f t="shared" ref="M296:M307" ca="1" si="115">MAX(0,-$D$290)+L296</f>
        <v>0.51727932704926105</v>
      </c>
      <c r="N296" s="541"/>
      <c r="O296" s="729">
        <f ca="1">H296+M296</f>
        <v>0.64988894927102125</v>
      </c>
      <c r="P296" s="718">
        <f ca="1">O296/3.6*1.2</f>
        <v>0.21662964975700708</v>
      </c>
      <c r="Q296"/>
      <c r="R296" s="66" t="s">
        <v>266</v>
      </c>
      <c r="T296" s="125" t="s">
        <v>248</v>
      </c>
      <c r="U296" s="125">
        <v>0.5</v>
      </c>
      <c r="V296" s="125">
        <v>0.6</v>
      </c>
      <c r="W296" s="125">
        <v>1.1000000000000001</v>
      </c>
      <c r="X296" s="21"/>
      <c r="Z296" s="21"/>
      <c r="AB296" s="86" t="s">
        <v>267</v>
      </c>
      <c r="AC296" s="86">
        <v>1</v>
      </c>
      <c r="AE296" s="74"/>
      <c r="AF296" s="90"/>
      <c r="AG296" s="119"/>
      <c r="AH296" s="74"/>
      <c r="AI296" s="120"/>
      <c r="AK296" s="17"/>
      <c r="AL296" s="17"/>
      <c r="AM296" s="17"/>
      <c r="AN296" s="62"/>
      <c r="AO296" s="28"/>
      <c r="AP296" s="121"/>
      <c r="AS296" s="66"/>
      <c r="AV296" s="66"/>
      <c r="AW296" s="67"/>
      <c r="AX296" s="122"/>
      <c r="AY296" s="18"/>
      <c r="AZ296" s="69"/>
      <c r="BA296" s="126"/>
      <c r="BB296" s="126"/>
      <c r="BD296" s="19"/>
      <c r="BE296" s="123"/>
      <c r="BF296" s="123"/>
    </row>
    <row r="297" spans="1:62" s="91" customFormat="1" ht="15" outlineLevel="1" x14ac:dyDescent="0.25">
      <c r="A297" s="66"/>
      <c r="B297" s="717"/>
      <c r="C297" s="717"/>
      <c r="D297" s="717"/>
      <c r="E297" s="717"/>
      <c r="F297" s="541" t="s">
        <v>115</v>
      </c>
      <c r="G297" s="724">
        <f t="shared" si="110"/>
        <v>0.49507592296123804</v>
      </c>
      <c r="H297" s="598">
        <f t="shared" si="111"/>
        <v>0.13260962222176018</v>
      </c>
      <c r="J297" s="707">
        <f t="shared" ca="1" si="112"/>
        <v>0.28541973604053256</v>
      </c>
      <c r="K297" s="707">
        <f t="shared" ca="1" si="113"/>
        <v>0.52427061256094887</v>
      </c>
      <c r="L297" s="729">
        <f t="shared" ca="1" si="114"/>
        <v>0.54332917271839132</v>
      </c>
      <c r="M297" s="729">
        <f t="shared" ca="1" si="115"/>
        <v>0.54332917271839132</v>
      </c>
      <c r="N297" s="541"/>
      <c r="O297" s="729">
        <f t="shared" ref="O297:O307" ca="1" si="116">H297+M297</f>
        <v>0.67593879494015152</v>
      </c>
      <c r="P297" s="718">
        <f t="shared" ref="P297:P307" ca="1" si="117">O297/3.6*1.2</f>
        <v>0.22531293164671715</v>
      </c>
      <c r="Q297"/>
      <c r="R297" s="66" t="s">
        <v>268</v>
      </c>
      <c r="S297" s="100"/>
      <c r="T297" s="125" t="s">
        <v>251</v>
      </c>
      <c r="U297" s="125">
        <v>0.5</v>
      </c>
      <c r="V297" s="125">
        <v>0.5</v>
      </c>
      <c r="W297" s="125">
        <v>0.7</v>
      </c>
      <c r="X297" s="10"/>
      <c r="Z297" s="10"/>
      <c r="AB297" s="86" t="s">
        <v>269</v>
      </c>
      <c r="AC297" s="86">
        <v>0.8</v>
      </c>
      <c r="AF297" s="90"/>
      <c r="AG297" s="90"/>
      <c r="AH297" s="90"/>
      <c r="AI297" s="79"/>
      <c r="AJ297" s="10"/>
      <c r="AK297" s="52"/>
      <c r="AL297" s="18"/>
      <c r="AM297" s="18"/>
      <c r="AN297" s="62"/>
      <c r="AO297" s="28"/>
      <c r="AP297" s="121"/>
      <c r="AS297" s="66"/>
      <c r="AV297" s="66"/>
      <c r="AW297" s="67"/>
      <c r="AX297" s="122"/>
      <c r="AY297" s="18"/>
      <c r="AZ297" s="69"/>
      <c r="BA297" s="36"/>
      <c r="BB297" s="36"/>
      <c r="BD297" s="19"/>
      <c r="BE297" s="123"/>
      <c r="BF297" s="123"/>
    </row>
    <row r="298" spans="1:62" s="91" customFormat="1" ht="15" outlineLevel="1" x14ac:dyDescent="0.25">
      <c r="A298" s="66"/>
      <c r="B298" s="717"/>
      <c r="C298" s="717"/>
      <c r="D298" s="717"/>
      <c r="E298" s="540"/>
      <c r="F298" s="541" t="s">
        <v>116</v>
      </c>
      <c r="G298" s="724">
        <f t="shared" si="110"/>
        <v>0.49507592296123804</v>
      </c>
      <c r="H298" s="598">
        <f t="shared" si="111"/>
        <v>0.13260962222176018</v>
      </c>
      <c r="J298" s="707">
        <f t="shared" ca="1" si="112"/>
        <v>0.23815123417481363</v>
      </c>
      <c r="K298" s="707">
        <f t="shared" ca="1" si="113"/>
        <v>0.58233354808674032</v>
      </c>
      <c r="L298" s="729">
        <f t="shared" ca="1" si="114"/>
        <v>0.59999698532788781</v>
      </c>
      <c r="M298" s="729">
        <f t="shared" ca="1" si="115"/>
        <v>0.59999698532788781</v>
      </c>
      <c r="N298" s="541"/>
      <c r="O298" s="729">
        <f t="shared" ca="1" si="116"/>
        <v>0.73260660754964801</v>
      </c>
      <c r="P298" s="718">
        <f t="shared" ca="1" si="117"/>
        <v>0.24420220251654931</v>
      </c>
      <c r="Q298"/>
      <c r="S298" s="25"/>
      <c r="T298" s="21"/>
      <c r="U298" s="21"/>
      <c r="V298" s="21"/>
      <c r="W298" s="21"/>
      <c r="X298" s="10"/>
      <c r="Y298" s="10"/>
      <c r="Z298" s="10"/>
      <c r="AB298" s="86" t="s">
        <v>270</v>
      </c>
      <c r="AC298" s="86">
        <v>0.6</v>
      </c>
      <c r="AE298" s="66"/>
      <c r="AF298" s="90"/>
      <c r="AG298" s="90"/>
      <c r="AH298" s="74"/>
      <c r="AI298" s="18"/>
      <c r="AJ298" s="10"/>
      <c r="AK298" s="10"/>
      <c r="AL298" s="18"/>
      <c r="AM298" s="18"/>
      <c r="AN298" s="62"/>
      <c r="AO298" s="28"/>
      <c r="AP298" s="121"/>
      <c r="AS298" s="66"/>
      <c r="AV298" s="66"/>
      <c r="AW298" s="67"/>
      <c r="AX298" s="67"/>
      <c r="AY298" s="18"/>
      <c r="AZ298" s="69"/>
      <c r="BA298" s="126"/>
      <c r="BB298" s="126"/>
      <c r="BD298" s="19"/>
      <c r="BE298" s="123"/>
      <c r="BF298" s="123"/>
    </row>
    <row r="299" spans="1:62" s="91" customFormat="1" ht="15" outlineLevel="1" x14ac:dyDescent="0.25">
      <c r="A299" s="66"/>
      <c r="B299" s="722" t="s">
        <v>271</v>
      </c>
      <c r="C299" s="717"/>
      <c r="D299" s="717"/>
      <c r="E299" s="540"/>
      <c r="F299" s="541" t="s">
        <v>117</v>
      </c>
      <c r="G299" s="724">
        <f t="shared" si="110"/>
        <v>0.49507592296123804</v>
      </c>
      <c r="H299" s="598">
        <f t="shared" si="111"/>
        <v>0.13260962222176018</v>
      </c>
      <c r="J299" s="707">
        <f t="shared" ca="1" si="112"/>
        <v>0.18772005008404832</v>
      </c>
      <c r="K299" s="707">
        <f t="shared" ca="1" si="113"/>
        <v>0.49277384460697632</v>
      </c>
      <c r="L299" s="729">
        <f t="shared" ca="1" si="114"/>
        <v>0.50455556963071657</v>
      </c>
      <c r="M299" s="729">
        <f t="shared" ca="1" si="115"/>
        <v>0.50455556963071657</v>
      </c>
      <c r="N299" s="541"/>
      <c r="O299" s="729">
        <f t="shared" ca="1" si="116"/>
        <v>0.63716519185247678</v>
      </c>
      <c r="P299" s="718">
        <f t="shared" ca="1" si="117"/>
        <v>0.2123883972841589</v>
      </c>
      <c r="Q299"/>
      <c r="S299" s="25"/>
      <c r="X299" s="10"/>
      <c r="Y299" s="10"/>
      <c r="Z299" s="10"/>
      <c r="AB299" s="86" t="s">
        <v>272</v>
      </c>
      <c r="AC299" s="86">
        <v>0.4</v>
      </c>
      <c r="AE299" s="66"/>
      <c r="AF299" s="90"/>
      <c r="AG299" s="90"/>
      <c r="AH299" s="74"/>
      <c r="AI299" s="18"/>
      <c r="AJ299" s="10"/>
      <c r="AK299" s="10"/>
      <c r="AL299" s="18"/>
      <c r="AM299" s="18"/>
      <c r="AN299" s="62"/>
      <c r="AO299" s="28"/>
      <c r="AP299" s="121"/>
      <c r="AS299" s="66"/>
      <c r="AV299" s="66"/>
      <c r="AY299" s="18"/>
      <c r="AZ299" s="69"/>
      <c r="BA299" s="126"/>
      <c r="BB299" s="126"/>
      <c r="BD299" s="19"/>
      <c r="BE299" s="123"/>
      <c r="BF299" s="123"/>
    </row>
    <row r="300" spans="1:62" s="91" customFormat="1" ht="15" outlineLevel="1" x14ac:dyDescent="0.25">
      <c r="A300" s="14"/>
      <c r="B300" s="559" t="s">
        <v>658</v>
      </c>
      <c r="C300" s="541" t="s">
        <v>4</v>
      </c>
      <c r="D300" s="540">
        <v>3</v>
      </c>
      <c r="E300" s="717"/>
      <c r="F300" s="541" t="s">
        <v>118</v>
      </c>
      <c r="G300" s="724">
        <f t="shared" si="110"/>
        <v>0.49507592296123804</v>
      </c>
      <c r="H300" s="598">
        <f t="shared" si="111"/>
        <v>0.13260962222176018</v>
      </c>
      <c r="J300" s="707">
        <f t="shared" ca="1" si="112"/>
        <v>0.1399983070549779</v>
      </c>
      <c r="K300" s="707">
        <f t="shared" ca="1" si="113"/>
        <v>0.3497766471188884</v>
      </c>
      <c r="L300" s="729">
        <f t="shared" ca="1" si="114"/>
        <v>0.3560134808607614</v>
      </c>
      <c r="M300" s="729">
        <f t="shared" ca="1" si="115"/>
        <v>0.3560134808607614</v>
      </c>
      <c r="N300" s="541"/>
      <c r="O300" s="729">
        <f t="shared" ca="1" si="116"/>
        <v>0.48862310308252155</v>
      </c>
      <c r="P300" s="718">
        <f t="shared" ca="1" si="117"/>
        <v>0.16287436769417385</v>
      </c>
      <c r="Q300"/>
      <c r="S300" s="127"/>
      <c r="X300" s="10"/>
      <c r="Y300" s="10"/>
      <c r="Z300" s="10"/>
      <c r="AA300" s="15"/>
      <c r="AF300" s="90"/>
      <c r="AG300" s="90"/>
      <c r="AH300" s="90"/>
      <c r="AI300" s="90"/>
      <c r="AJ300" s="18"/>
      <c r="AK300" s="10"/>
      <c r="AL300" s="18"/>
      <c r="AM300" s="18"/>
      <c r="AN300" s="62"/>
      <c r="AO300" s="28"/>
      <c r="AP300" s="121"/>
      <c r="AS300" s="66"/>
      <c r="AY300" s="18"/>
      <c r="AZ300" s="69"/>
      <c r="BA300" s="126"/>
      <c r="BB300" s="126"/>
      <c r="BD300" s="19"/>
      <c r="BE300" s="123"/>
      <c r="BF300" s="123"/>
      <c r="BI300" s="97"/>
      <c r="BJ300" s="100"/>
    </row>
    <row r="301" spans="1:62" s="91" customFormat="1" ht="15" outlineLevel="1" x14ac:dyDescent="0.25">
      <c r="A301" s="66"/>
      <c r="B301" s="540"/>
      <c r="C301" s="541" t="s">
        <v>273</v>
      </c>
      <c r="D301" s="540">
        <f>Inputs!C9</f>
        <v>0.8</v>
      </c>
      <c r="E301" s="723"/>
      <c r="F301" s="541" t="s">
        <v>119</v>
      </c>
      <c r="G301" s="724">
        <f t="shared" si="110"/>
        <v>0.49507592296123804</v>
      </c>
      <c r="H301" s="598">
        <f t="shared" si="111"/>
        <v>0.13260962222176018</v>
      </c>
      <c r="J301" s="707">
        <f t="shared" ca="1" si="112"/>
        <v>7.9418289183769197E-2</v>
      </c>
      <c r="K301" s="707">
        <f t="shared" ca="1" si="113"/>
        <v>0.49906507991350502</v>
      </c>
      <c r="L301" s="729">
        <f t="shared" ca="1" si="114"/>
        <v>0.5041131837895475</v>
      </c>
      <c r="M301" s="729">
        <f t="shared" ca="1" si="115"/>
        <v>0.5041131837895475</v>
      </c>
      <c r="N301" s="541"/>
      <c r="O301" s="729">
        <f t="shared" ca="1" si="116"/>
        <v>0.63672280601130771</v>
      </c>
      <c r="P301" s="718">
        <f t="shared" ca="1" si="117"/>
        <v>0.21224093533710256</v>
      </c>
      <c r="Q301"/>
      <c r="S301" s="25"/>
      <c r="T301" s="19" t="s">
        <v>274</v>
      </c>
      <c r="U301" s="21"/>
      <c r="V301" s="21"/>
      <c r="X301" s="10"/>
      <c r="Z301" s="25" t="s">
        <v>275</v>
      </c>
      <c r="AA301" s="18">
        <v>50</v>
      </c>
      <c r="AB301" s="66"/>
      <c r="AC301" s="10"/>
      <c r="AF301" s="90"/>
      <c r="AG301" s="90"/>
      <c r="AH301" s="90"/>
      <c r="AI301" s="90"/>
      <c r="AJ301" s="17"/>
      <c r="AK301" s="18"/>
      <c r="AL301" s="18"/>
      <c r="AM301" s="18"/>
      <c r="AN301" s="62"/>
      <c r="AO301" s="28"/>
      <c r="AP301" s="121"/>
      <c r="AQ301" s="25"/>
      <c r="AR301" s="25"/>
      <c r="AS301" s="66"/>
      <c r="AX301" s="100"/>
      <c r="AY301" s="36"/>
      <c r="AZ301" s="69"/>
      <c r="BA301" s="126"/>
      <c r="BB301" s="126"/>
      <c r="BD301" s="19"/>
      <c r="BE301" s="123"/>
      <c r="BF301" s="123"/>
      <c r="BI301" s="97"/>
      <c r="BJ301" s="100"/>
    </row>
    <row r="302" spans="1:62" s="91" customFormat="1" ht="15" outlineLevel="1" x14ac:dyDescent="0.25">
      <c r="A302" s="66"/>
      <c r="B302" s="717"/>
      <c r="C302" s="541" t="s">
        <v>845</v>
      </c>
      <c r="D302" s="707">
        <f>Inputs!C75</f>
        <v>5.41</v>
      </c>
      <c r="E302" s="717" t="s">
        <v>842</v>
      </c>
      <c r="F302" s="541" t="s">
        <v>120</v>
      </c>
      <c r="G302" s="724">
        <f t="shared" si="110"/>
        <v>0.49507592296123804</v>
      </c>
      <c r="H302" s="598">
        <f t="shared" si="111"/>
        <v>0.13260962222176018</v>
      </c>
      <c r="J302" s="707">
        <f t="shared" ca="1" si="112"/>
        <v>3.3465572699381753E-2</v>
      </c>
      <c r="K302" s="707">
        <f t="shared" ca="1" si="113"/>
        <v>0.41280222847017928</v>
      </c>
      <c r="L302" s="729">
        <f t="shared" ca="1" si="114"/>
        <v>0.41456173493682863</v>
      </c>
      <c r="M302" s="729">
        <f t="shared" ca="1" si="115"/>
        <v>0.41456173493682863</v>
      </c>
      <c r="N302" s="541"/>
      <c r="O302" s="729">
        <f t="shared" ca="1" si="116"/>
        <v>0.54717135715858878</v>
      </c>
      <c r="P302" s="718">
        <f t="shared" ca="1" si="117"/>
        <v>0.18239045238619625</v>
      </c>
      <c r="Q302"/>
      <c r="S302" s="25"/>
      <c r="T302" s="86" t="s">
        <v>240</v>
      </c>
      <c r="U302" s="86" t="s">
        <v>276</v>
      </c>
      <c r="V302" s="86" t="s">
        <v>277</v>
      </c>
      <c r="W302" s="86" t="s">
        <v>278</v>
      </c>
      <c r="X302" s="10"/>
      <c r="Z302" s="128" t="s">
        <v>279</v>
      </c>
      <c r="AA302" s="128" t="s">
        <v>280</v>
      </c>
      <c r="AB302" s="128" t="s">
        <v>281</v>
      </c>
      <c r="AC302" s="128" t="s">
        <v>282</v>
      </c>
      <c r="AE302" s="19" t="s">
        <v>294</v>
      </c>
      <c r="AG302" s="18"/>
      <c r="AH302" s="129"/>
      <c r="AI302" s="130"/>
      <c r="AJ302" s="25"/>
      <c r="AK302" s="52"/>
      <c r="AL302" s="18"/>
      <c r="AM302" s="18"/>
      <c r="AN302" s="62"/>
      <c r="AO302" s="28"/>
      <c r="AP302" s="121"/>
      <c r="AQ302" s="25"/>
      <c r="AR302" s="25"/>
      <c r="AS302" s="66"/>
      <c r="AX302" s="100"/>
      <c r="AY302" s="36"/>
      <c r="AZ302" s="69"/>
      <c r="BA302" s="36"/>
      <c r="BB302" s="36"/>
      <c r="BD302" s="97"/>
      <c r="BE302" s="97"/>
      <c r="BF302" s="97"/>
      <c r="BI302" s="97"/>
      <c r="BJ302" s="100"/>
    </row>
    <row r="303" spans="1:62" s="91" customFormat="1" ht="15" outlineLevel="1" x14ac:dyDescent="0.25">
      <c r="A303" s="66"/>
      <c r="B303" s="552"/>
      <c r="C303" s="541" t="s">
        <v>844</v>
      </c>
      <c r="D303" s="725">
        <f>D302*Inputs!C92/Inputs!C11*((4/75)^0.65)</f>
        <v>1.0992018812582149</v>
      </c>
      <c r="E303" s="593" t="s">
        <v>846</v>
      </c>
      <c r="F303" s="541" t="s">
        <v>121</v>
      </c>
      <c r="G303" s="724">
        <f t="shared" si="110"/>
        <v>0.49507592296123804</v>
      </c>
      <c r="H303" s="598">
        <f t="shared" si="111"/>
        <v>0.13260962222176018</v>
      </c>
      <c r="J303" s="707">
        <f t="shared" ca="1" si="112"/>
        <v>7.0154107777844726E-2</v>
      </c>
      <c r="K303" s="707">
        <f t="shared" ca="1" si="113"/>
        <v>0.36224538640738918</v>
      </c>
      <c r="L303" s="729">
        <f t="shared" ca="1" si="114"/>
        <v>0.36548211691510507</v>
      </c>
      <c r="M303" s="729">
        <f t="shared" ca="1" si="115"/>
        <v>0.36548211691510507</v>
      </c>
      <c r="N303" s="541"/>
      <c r="O303" s="729">
        <f t="shared" ca="1" si="116"/>
        <v>0.49809173913686522</v>
      </c>
      <c r="P303" s="718">
        <f t="shared" ca="1" si="117"/>
        <v>0.16603057971228841</v>
      </c>
      <c r="Q303"/>
      <c r="S303" s="25"/>
      <c r="T303" s="66" t="s">
        <v>283</v>
      </c>
      <c r="U303" s="131" t="s">
        <v>284</v>
      </c>
      <c r="V303" s="86"/>
      <c r="W303" s="86"/>
      <c r="X303" s="10"/>
      <c r="Z303" s="128" t="s">
        <v>285</v>
      </c>
      <c r="AA303" s="128">
        <v>2.7E-2</v>
      </c>
      <c r="AB303" s="128">
        <f>AA303*AA301^0.65</f>
        <v>0.34331617635748451</v>
      </c>
      <c r="AC303" s="128">
        <f>AB303*3.6</f>
        <v>1.2359382348869443</v>
      </c>
      <c r="AE303" s="86" t="s">
        <v>295</v>
      </c>
      <c r="AF303" s="86" t="s">
        <v>273</v>
      </c>
      <c r="AG303" s="90"/>
      <c r="AH303" s="90"/>
      <c r="AI303" s="90"/>
      <c r="AJ303" s="18"/>
      <c r="AK303" s="10"/>
      <c r="AL303" s="18"/>
      <c r="AM303" s="18"/>
      <c r="AN303" s="62"/>
      <c r="AO303" s="28"/>
      <c r="AP303" s="121"/>
      <c r="AQ303" s="25"/>
      <c r="AR303" s="25"/>
      <c r="AS303" s="66"/>
      <c r="AY303" s="36"/>
      <c r="AZ303" s="69"/>
      <c r="BA303" s="126"/>
      <c r="BB303" s="126"/>
      <c r="BD303" s="19"/>
      <c r="BE303" s="123"/>
      <c r="BF303" s="123"/>
      <c r="BI303" s="97"/>
      <c r="BJ303" s="100"/>
    </row>
    <row r="304" spans="1:62" s="91" customFormat="1" ht="15" outlineLevel="1" x14ac:dyDescent="0.25">
      <c r="A304" s="66"/>
      <c r="B304" s="552"/>
      <c r="C304" s="541" t="s">
        <v>286</v>
      </c>
      <c r="D304" s="713">
        <f>MAX(0.1,Calcs!D279)</f>
        <v>4</v>
      </c>
      <c r="E304" s="541"/>
      <c r="F304" s="541" t="s">
        <v>122</v>
      </c>
      <c r="G304" s="724">
        <f t="shared" si="110"/>
        <v>0.49507592296123804</v>
      </c>
      <c r="H304" s="598">
        <f t="shared" si="111"/>
        <v>0.13260962222176018</v>
      </c>
      <c r="J304" s="707">
        <f t="shared" ca="1" si="112"/>
        <v>0.11183110029297198</v>
      </c>
      <c r="K304" s="707">
        <f t="shared" ca="1" si="113"/>
        <v>0.30977398663497346</v>
      </c>
      <c r="L304" s="729">
        <f t="shared" ca="1" si="114"/>
        <v>0.31418621635377869</v>
      </c>
      <c r="M304" s="729">
        <f t="shared" ca="1" si="115"/>
        <v>0.31418621635377869</v>
      </c>
      <c r="N304" s="541"/>
      <c r="O304" s="729">
        <f t="shared" ca="1" si="116"/>
        <v>0.44679583857553884</v>
      </c>
      <c r="P304" s="718">
        <f t="shared" ca="1" si="117"/>
        <v>0.14893194619184627</v>
      </c>
      <c r="Q304"/>
      <c r="S304" s="25"/>
      <c r="T304" s="86" t="s">
        <v>287</v>
      </c>
      <c r="U304" s="86">
        <v>0.6</v>
      </c>
      <c r="V304" s="86">
        <v>1.1000000000000001</v>
      </c>
      <c r="W304" s="86">
        <v>2.8</v>
      </c>
      <c r="X304" s="10"/>
      <c r="Z304" s="128" t="s">
        <v>288</v>
      </c>
      <c r="AA304" s="128">
        <v>8.9999999999999993E-3</v>
      </c>
      <c r="AB304" s="128">
        <f>AA304*AA301^0.65</f>
        <v>0.11443872545249482</v>
      </c>
      <c r="AC304" s="128">
        <f>AB304*3.6</f>
        <v>0.41197941162898138</v>
      </c>
      <c r="AE304" s="86" t="s">
        <v>297</v>
      </c>
      <c r="AF304" s="86">
        <v>1</v>
      </c>
      <c r="AG304" s="132"/>
      <c r="AH304" s="18"/>
      <c r="AI304" s="18"/>
      <c r="AJ304" s="18"/>
      <c r="AK304" s="10"/>
      <c r="AL304" s="18"/>
      <c r="AM304" s="18"/>
      <c r="AN304" s="62"/>
      <c r="AO304" s="28"/>
      <c r="AP304" s="121"/>
      <c r="AQ304" s="25"/>
      <c r="AR304" s="25"/>
      <c r="AS304" s="66"/>
      <c r="AY304" s="36"/>
      <c r="AZ304" s="69"/>
      <c r="BA304" s="126"/>
      <c r="BB304" s="126"/>
      <c r="BD304" s="19"/>
      <c r="BE304" s="123"/>
      <c r="BF304" s="123"/>
      <c r="BI304" s="97"/>
      <c r="BJ304" s="100"/>
    </row>
    <row r="305" spans="1:62" s="91" customFormat="1" ht="15" outlineLevel="1" x14ac:dyDescent="0.25">
      <c r="A305" s="66"/>
      <c r="B305" s="540"/>
      <c r="C305" s="601" t="s">
        <v>289</v>
      </c>
      <c r="D305" s="601">
        <v>0.75</v>
      </c>
      <c r="E305" s="540"/>
      <c r="F305" s="541" t="s">
        <v>123</v>
      </c>
      <c r="G305" s="724">
        <f t="shared" si="110"/>
        <v>0.49507592296123804</v>
      </c>
      <c r="H305" s="598">
        <f t="shared" si="111"/>
        <v>0.13260962222176018</v>
      </c>
      <c r="J305" s="707">
        <f t="shared" ca="1" si="112"/>
        <v>0.17843333942566622</v>
      </c>
      <c r="K305" s="707">
        <f t="shared" ca="1" si="113"/>
        <v>0.48543728949283738</v>
      </c>
      <c r="L305" s="729">
        <f t="shared" ca="1" si="114"/>
        <v>0.49646942811741135</v>
      </c>
      <c r="M305" s="729">
        <f t="shared" ca="1" si="115"/>
        <v>0.49646942811741135</v>
      </c>
      <c r="N305" s="541"/>
      <c r="O305" s="729">
        <f t="shared" ca="1" si="116"/>
        <v>0.62907905033917155</v>
      </c>
      <c r="P305" s="718">
        <f t="shared" ca="1" si="117"/>
        <v>0.20969301677972385</v>
      </c>
      <c r="Q305"/>
      <c r="S305" s="25"/>
      <c r="T305" s="86" t="s">
        <v>290</v>
      </c>
      <c r="U305" s="86">
        <v>1.1000000000000001</v>
      </c>
      <c r="V305" s="86">
        <v>2.2000000000000002</v>
      </c>
      <c r="W305" s="86">
        <v>5.5</v>
      </c>
      <c r="X305" s="10"/>
      <c r="Z305" s="128" t="s">
        <v>291</v>
      </c>
      <c r="AA305" s="128">
        <v>3.0000000000000001E-3</v>
      </c>
      <c r="AB305" s="128">
        <f>AA305*AA301^0.65</f>
        <v>3.8146241817498275E-2</v>
      </c>
      <c r="AC305" s="128">
        <f>AB305*3.6</f>
        <v>0.13732647054299379</v>
      </c>
      <c r="AE305" s="86" t="s">
        <v>298</v>
      </c>
      <c r="AF305" s="86">
        <v>0.9</v>
      </c>
      <c r="AG305" s="133"/>
      <c r="AH305" s="90"/>
      <c r="AI305" s="17"/>
      <c r="AJ305" s="18"/>
      <c r="AK305" s="10"/>
      <c r="AL305" s="18"/>
      <c r="AM305" s="18"/>
      <c r="AN305" s="97"/>
      <c r="AO305" s="97"/>
      <c r="AP305" s="121"/>
      <c r="AQ305" s="36"/>
      <c r="AR305" s="36"/>
      <c r="AS305" s="36"/>
      <c r="AT305" s="97"/>
      <c r="AU305" s="97"/>
      <c r="AV305" s="97"/>
      <c r="AW305" s="97"/>
      <c r="AX305" s="97"/>
      <c r="AY305" s="36"/>
      <c r="AZ305" s="97"/>
      <c r="BA305" s="97"/>
      <c r="BB305" s="97"/>
      <c r="BC305" s="97"/>
      <c r="BD305" s="97"/>
      <c r="BE305" s="97"/>
      <c r="BF305" s="97"/>
      <c r="BG305" s="97"/>
      <c r="BH305" s="97"/>
      <c r="BI305" s="97"/>
      <c r="BJ305" s="97"/>
    </row>
    <row r="306" spans="1:62" s="91" customFormat="1" ht="15" outlineLevel="1" x14ac:dyDescent="0.25">
      <c r="A306" s="66"/>
      <c r="B306" s="540"/>
      <c r="C306" s="540"/>
      <c r="D306" s="540"/>
      <c r="E306" s="540"/>
      <c r="F306" s="541" t="s">
        <v>124</v>
      </c>
      <c r="G306" s="724">
        <f t="shared" si="110"/>
        <v>0.49507592296123804</v>
      </c>
      <c r="H306" s="598">
        <f t="shared" si="111"/>
        <v>0.13260962222176018</v>
      </c>
      <c r="J306" s="707">
        <f t="shared" ca="1" si="112"/>
        <v>0.23096880869202191</v>
      </c>
      <c r="K306" s="707">
        <f t="shared" ca="1" si="113"/>
        <v>0.55549874180722802</v>
      </c>
      <c r="L306" s="729">
        <f t="shared" ca="1" si="114"/>
        <v>0.57184005624071288</v>
      </c>
      <c r="M306" s="729">
        <f t="shared" ca="1" si="115"/>
        <v>0.57184005624071288</v>
      </c>
      <c r="N306" s="541"/>
      <c r="O306" s="729">
        <f t="shared" ca="1" si="116"/>
        <v>0.70444967846247308</v>
      </c>
      <c r="P306" s="718">
        <f t="shared" ca="1" si="117"/>
        <v>0.23481655948749103</v>
      </c>
      <c r="Q306"/>
      <c r="S306" s="25"/>
      <c r="T306" s="86" t="s">
        <v>292</v>
      </c>
      <c r="U306" s="86">
        <v>2.2000000000000002</v>
      </c>
      <c r="V306" s="86">
        <v>3.9</v>
      </c>
      <c r="W306" s="86">
        <v>11</v>
      </c>
      <c r="X306" s="10"/>
      <c r="Z306" s="128" t="s">
        <v>293</v>
      </c>
      <c r="AA306" s="128">
        <v>1E-3</v>
      </c>
      <c r="AB306" s="128">
        <f>AA306*AA301^0.65</f>
        <v>1.2715413939166092E-2</v>
      </c>
      <c r="AC306" s="128">
        <f>AB306*3.6</f>
        <v>4.5775490180997934E-2</v>
      </c>
      <c r="AE306" s="86" t="s">
        <v>299</v>
      </c>
      <c r="AF306" s="86">
        <v>0.8</v>
      </c>
      <c r="AG306" s="133"/>
      <c r="AH306" s="90"/>
      <c r="AI306" s="18"/>
      <c r="AJ306" s="18"/>
      <c r="AK306" s="18"/>
      <c r="AL306" s="18"/>
      <c r="AM306" s="18"/>
      <c r="AN306" s="19"/>
      <c r="AO306" s="19"/>
      <c r="AP306" s="19"/>
      <c r="AQ306" s="19"/>
      <c r="AR306" s="19"/>
      <c r="AS306" s="19"/>
      <c r="AT306" s="19"/>
      <c r="AU306" s="97"/>
      <c r="AV306" s="19"/>
      <c r="AW306" s="19"/>
      <c r="AX306" s="19"/>
      <c r="AY306" s="19"/>
      <c r="AZ306" s="36"/>
      <c r="BA306" s="19"/>
      <c r="BB306" s="19"/>
      <c r="BC306" s="97"/>
      <c r="BD306" s="19"/>
      <c r="BE306" s="19"/>
      <c r="BF306" s="19"/>
      <c r="BG306" s="19"/>
      <c r="BH306" s="97"/>
      <c r="BI306" s="97"/>
      <c r="BJ306" s="97"/>
    </row>
    <row r="307" spans="1:62" s="91" customFormat="1" ht="15" outlineLevel="1" x14ac:dyDescent="0.25">
      <c r="A307" s="66"/>
      <c r="B307" s="690"/>
      <c r="C307" s="690"/>
      <c r="D307" s="690"/>
      <c r="E307" s="690"/>
      <c r="F307" s="541" t="s">
        <v>125</v>
      </c>
      <c r="G307" s="724">
        <f t="shared" si="110"/>
        <v>0.49507592296123804</v>
      </c>
      <c r="H307" s="598">
        <f t="shared" si="111"/>
        <v>0.13260962222176018</v>
      </c>
      <c r="J307" s="707">
        <f t="shared" ca="1" si="112"/>
        <v>0.29353799215463217</v>
      </c>
      <c r="K307" s="707">
        <f t="shared" ca="1" si="113"/>
        <v>0.42008352732846616</v>
      </c>
      <c r="L307" s="729">
        <f t="shared" ca="1" si="114"/>
        <v>0.43578898309163483</v>
      </c>
      <c r="M307" s="729">
        <f t="shared" ca="1" si="115"/>
        <v>0.43578898309163483</v>
      </c>
      <c r="N307" s="541"/>
      <c r="O307" s="729">
        <f t="shared" ca="1" si="116"/>
        <v>0.56839860531339503</v>
      </c>
      <c r="P307" s="718">
        <f t="shared" ca="1" si="117"/>
        <v>0.18946620177113166</v>
      </c>
      <c r="Q307"/>
      <c r="S307" s="100"/>
      <c r="X307" s="10"/>
      <c r="Y307" s="10"/>
      <c r="Z307" s="10"/>
      <c r="AA307" s="134"/>
      <c r="AE307" s="18"/>
      <c r="AF307" s="90"/>
      <c r="AG307" s="18"/>
      <c r="AH307" s="74"/>
      <c r="AI307" s="18"/>
      <c r="AJ307" s="18"/>
      <c r="AK307" s="18"/>
      <c r="AL307" s="18"/>
      <c r="AM307" s="18"/>
      <c r="AN307" s="19"/>
      <c r="AO307" s="19"/>
      <c r="AP307" s="19"/>
      <c r="AQ307" s="19"/>
      <c r="AR307" s="19"/>
      <c r="AS307" s="19"/>
      <c r="AT307" s="19"/>
      <c r="AU307" s="97"/>
      <c r="AV307" s="19"/>
      <c r="AW307" s="19"/>
      <c r="AX307" s="19"/>
      <c r="AY307" s="19"/>
      <c r="AZ307" s="36"/>
      <c r="BA307" s="19"/>
      <c r="BB307" s="19"/>
      <c r="BC307" s="97"/>
      <c r="BD307" s="19"/>
      <c r="BE307" s="19"/>
      <c r="BF307" s="19"/>
      <c r="BG307" s="19"/>
      <c r="BH307" s="97"/>
      <c r="BI307" s="97"/>
      <c r="BJ307" s="97"/>
    </row>
    <row r="308" spans="1:62" s="736" customFormat="1" ht="15.75" outlineLevel="1" thickBot="1" x14ac:dyDescent="0.3">
      <c r="A308" s="136"/>
      <c r="B308" s="732"/>
      <c r="C308" s="732"/>
      <c r="D308" s="732"/>
      <c r="E308" s="732"/>
      <c r="F308" s="733" t="s">
        <v>260</v>
      </c>
      <c r="G308" s="734">
        <f>AVERAGE(G296:G307)</f>
        <v>0.49507592296123804</v>
      </c>
      <c r="H308" s="735">
        <f>AVERAGE(H296:H307)</f>
        <v>0.13260962222176015</v>
      </c>
      <c r="J308" s="734">
        <f t="shared" ref="J308:P308" ca="1" si="118">AVERAGE(J296:J307)</f>
        <v>0.17911631274369663</v>
      </c>
      <c r="K308" s="734">
        <f t="shared" ca="1" si="118"/>
        <v>0.45769037208082713</v>
      </c>
      <c r="L308" s="734">
        <f t="shared" ca="1" si="118"/>
        <v>0.46863468791933638</v>
      </c>
      <c r="M308" s="734">
        <f t="shared" ca="1" si="118"/>
        <v>0.46863468791933638</v>
      </c>
      <c r="N308" s="734"/>
      <c r="O308" s="734">
        <f t="shared" ca="1" si="118"/>
        <v>0.60124431014109658</v>
      </c>
      <c r="P308" s="734">
        <f t="shared" ca="1" si="118"/>
        <v>0.20041477004703223</v>
      </c>
      <c r="Q308" s="737"/>
      <c r="S308" s="139"/>
      <c r="AE308" s="139"/>
      <c r="AF308" s="738"/>
      <c r="AG308" s="738"/>
      <c r="AH308" s="738"/>
      <c r="AI308" s="739"/>
      <c r="AJ308" s="738"/>
      <c r="AK308" s="147"/>
      <c r="AL308" s="738"/>
      <c r="AM308" s="738"/>
      <c r="AN308" s="738"/>
      <c r="AO308" s="738"/>
      <c r="AP308" s="738"/>
      <c r="AQ308" s="738"/>
      <c r="AR308" s="738"/>
      <c r="AT308" s="147"/>
      <c r="AU308" s="738"/>
      <c r="AV308" s="147"/>
      <c r="AW308" s="147"/>
      <c r="AX308" s="147"/>
      <c r="AY308" s="147"/>
      <c r="AZ308" s="738"/>
      <c r="BA308" s="147"/>
      <c r="BB308" s="147"/>
      <c r="BC308" s="738"/>
      <c r="BD308" s="147"/>
      <c r="BE308" s="147"/>
      <c r="BF308" s="147"/>
      <c r="BG308" s="147"/>
      <c r="BH308" s="738"/>
      <c r="BI308" s="738"/>
      <c r="BJ308" s="738"/>
    </row>
    <row r="309" spans="1:62" s="91" customFormat="1" outlineLevel="1" x14ac:dyDescent="0.25">
      <c r="A309" s="424"/>
      <c r="BD309" s="19"/>
      <c r="BE309" s="19"/>
      <c r="BF309" s="19"/>
      <c r="BG309" s="19"/>
      <c r="BH309" s="97"/>
      <c r="BI309" s="97"/>
      <c r="BJ309" s="97"/>
    </row>
    <row r="310" spans="1:62" s="91" customFormat="1" outlineLevel="1" x14ac:dyDescent="0.2">
      <c r="A310" s="424"/>
      <c r="C310" s="214" t="s">
        <v>1001</v>
      </c>
      <c r="H310" s="215" t="s">
        <v>501</v>
      </c>
      <c r="BD310" s="19"/>
      <c r="BE310" s="19"/>
      <c r="BF310" s="19"/>
      <c r="BG310" s="19"/>
      <c r="BH310" s="97"/>
      <c r="BI310" s="97"/>
      <c r="BJ310" s="97"/>
    </row>
    <row r="311" spans="1:62" s="91" customFormat="1" outlineLevel="1" x14ac:dyDescent="0.2">
      <c r="A311" s="424"/>
      <c r="C311" s="424"/>
      <c r="H311" s="212"/>
      <c r="BD311" s="19"/>
      <c r="BE311" s="19"/>
      <c r="BF311" s="19"/>
      <c r="BG311" s="19"/>
      <c r="BH311" s="97"/>
      <c r="BI311" s="97"/>
      <c r="BJ311" s="97"/>
    </row>
    <row r="312" spans="1:62" s="91" customFormat="1" ht="14.25" outlineLevel="1" x14ac:dyDescent="0.25">
      <c r="A312" s="424"/>
      <c r="B312" s="717"/>
      <c r="C312" s="629" t="s">
        <v>512</v>
      </c>
      <c r="D312" s="629" t="s">
        <v>513</v>
      </c>
      <c r="E312" s="629" t="s">
        <v>514</v>
      </c>
      <c r="F312" s="653" t="s">
        <v>515</v>
      </c>
      <c r="H312" s="633" t="s">
        <v>510</v>
      </c>
      <c r="BD312" s="19"/>
      <c r="BE312" s="19"/>
      <c r="BF312" s="19"/>
      <c r="BG312" s="19"/>
      <c r="BH312" s="97"/>
      <c r="BI312" s="97"/>
      <c r="BJ312" s="97"/>
    </row>
    <row r="313" spans="1:62" s="91" customFormat="1" outlineLevel="1" x14ac:dyDescent="0.2">
      <c r="A313" s="424"/>
      <c r="B313" s="633" t="s">
        <v>114</v>
      </c>
      <c r="C313" s="685">
        <f>$K$175*Calcs!O5</f>
        <v>106103.86277322676</v>
      </c>
      <c r="D313" s="664">
        <f>$K$176*Calcs!O5</f>
        <v>119611.50269657144</v>
      </c>
      <c r="E313" s="685">
        <f>$K$177*Calcs!O5</f>
        <v>53331.715587945204</v>
      </c>
      <c r="F313" s="730">
        <f t="shared" ref="F313:F324" si="119">SUM(C313:E313)</f>
        <v>279047.0810577434</v>
      </c>
      <c r="H313" s="753">
        <f t="shared" ref="H313:H324" ca="1" si="120">F313+AM144</f>
        <v>327178.71401899867</v>
      </c>
      <c r="BD313" s="19"/>
      <c r="BE313" s="19"/>
      <c r="BF313" s="19"/>
      <c r="BG313" s="19"/>
      <c r="BH313" s="97"/>
      <c r="BI313" s="97"/>
      <c r="BJ313" s="97"/>
    </row>
    <row r="314" spans="1:62" s="91" customFormat="1" outlineLevel="1" x14ac:dyDescent="0.2">
      <c r="B314" s="633" t="s">
        <v>115</v>
      </c>
      <c r="C314" s="685">
        <f>$K$175*Calcs!O6</f>
        <v>95835.747020979019</v>
      </c>
      <c r="D314" s="664">
        <f>$K$176*Calcs!O6</f>
        <v>108036.19598400001</v>
      </c>
      <c r="E314" s="685">
        <f>$K$177*Calcs!O6</f>
        <v>48170.581821369866</v>
      </c>
      <c r="F314" s="730">
        <f t="shared" si="119"/>
        <v>252042.52482634888</v>
      </c>
      <c r="H314" s="753">
        <f t="shared" ca="1" si="120"/>
        <v>309468.14819255774</v>
      </c>
      <c r="BD314" s="19"/>
      <c r="BE314" s="19"/>
      <c r="BF314" s="19"/>
      <c r="BG314" s="19"/>
      <c r="BH314" s="97"/>
      <c r="BI314" s="97"/>
      <c r="BJ314" s="97"/>
    </row>
    <row r="315" spans="1:62" s="91" customFormat="1" outlineLevel="1" x14ac:dyDescent="0.2">
      <c r="B315" s="633" t="s">
        <v>116</v>
      </c>
      <c r="C315" s="685">
        <f>$K$175*Calcs!O7</f>
        <v>106103.86277322676</v>
      </c>
      <c r="D315" s="664">
        <f>$K$176*Calcs!O7</f>
        <v>119611.50269657144</v>
      </c>
      <c r="E315" s="685">
        <f>$K$177*Calcs!O7</f>
        <v>53331.715587945204</v>
      </c>
      <c r="F315" s="730">
        <f t="shared" si="119"/>
        <v>279047.0810577434</v>
      </c>
      <c r="H315" s="753">
        <f t="shared" ca="1" si="120"/>
        <v>356493.89143826714</v>
      </c>
      <c r="BD315" s="19"/>
      <c r="BE315" s="19"/>
      <c r="BF315" s="19"/>
      <c r="BG315" s="19"/>
      <c r="BH315" s="97"/>
      <c r="BI315" s="97"/>
      <c r="BJ315" s="97"/>
    </row>
    <row r="316" spans="1:62" s="91" customFormat="1" outlineLevel="1" x14ac:dyDescent="0.2">
      <c r="B316" s="633" t="s">
        <v>117</v>
      </c>
      <c r="C316" s="685">
        <f>$K$175*Calcs!O8</f>
        <v>102681.15752247753</v>
      </c>
      <c r="D316" s="664">
        <f>$K$176*Calcs!O8</f>
        <v>115753.0671257143</v>
      </c>
      <c r="E316" s="685">
        <f>$K$177*Calcs!O8</f>
        <v>51611.337665753425</v>
      </c>
      <c r="F316" s="730">
        <f t="shared" si="119"/>
        <v>270045.56231394527</v>
      </c>
      <c r="H316" s="753">
        <f t="shared" ca="1" si="120"/>
        <v>353535.88105034386</v>
      </c>
      <c r="AE316" s="423"/>
      <c r="AF316" s="90"/>
      <c r="AG316" s="90"/>
      <c r="AH316" s="90"/>
      <c r="AI316" s="17"/>
      <c r="AJ316" s="90"/>
      <c r="AK316" s="16"/>
      <c r="AL316" s="90"/>
      <c r="AM316" s="90"/>
      <c r="AN316" s="90"/>
      <c r="AO316" s="90"/>
      <c r="AP316" s="90"/>
      <c r="AQ316" s="90"/>
      <c r="AR316" s="90"/>
      <c r="AT316" s="19"/>
      <c r="AU316" s="97"/>
      <c r="AV316" s="19"/>
      <c r="AW316" s="19"/>
      <c r="AX316" s="19"/>
      <c r="AY316" s="19"/>
      <c r="AZ316" s="97"/>
      <c r="BA316" s="19"/>
      <c r="BB316" s="19"/>
      <c r="BC316" s="97"/>
      <c r="BD316" s="19"/>
      <c r="BE316" s="19"/>
      <c r="BF316" s="19"/>
      <c r="BG316" s="19"/>
      <c r="BH316" s="97"/>
      <c r="BI316" s="97"/>
      <c r="BJ316" s="97"/>
    </row>
    <row r="317" spans="1:62" s="91" customFormat="1" outlineLevel="1" x14ac:dyDescent="0.2">
      <c r="B317" s="633" t="s">
        <v>118</v>
      </c>
      <c r="C317" s="685">
        <f>$K$175*Calcs!O9</f>
        <v>106103.86277322676</v>
      </c>
      <c r="D317" s="664">
        <f>$K$176*Calcs!O9</f>
        <v>119611.50269657144</v>
      </c>
      <c r="E317" s="685">
        <f>$K$177*Calcs!O9</f>
        <v>53331.715587945204</v>
      </c>
      <c r="F317" s="730">
        <f t="shared" si="119"/>
        <v>279047.0810577434</v>
      </c>
      <c r="H317" s="753">
        <f t="shared" ca="1" si="120"/>
        <v>388381.87325488415</v>
      </c>
      <c r="AE317" s="423"/>
      <c r="AF317" s="90"/>
      <c r="AG317" s="90"/>
      <c r="AH317" s="90"/>
      <c r="AI317" s="17"/>
      <c r="AJ317" s="90"/>
      <c r="AK317" s="16"/>
      <c r="AL317" s="90"/>
      <c r="AM317" s="90"/>
      <c r="AN317" s="90"/>
      <c r="AO317" s="90"/>
      <c r="AP317" s="90"/>
      <c r="AQ317" s="90"/>
      <c r="AR317" s="90"/>
      <c r="AT317" s="19"/>
      <c r="AU317" s="97"/>
      <c r="AV317" s="19"/>
      <c r="AW317" s="19"/>
      <c r="AX317" s="19"/>
      <c r="AY317" s="19"/>
      <c r="AZ317" s="97"/>
      <c r="BA317" s="19"/>
      <c r="BB317" s="19"/>
      <c r="BC317" s="97"/>
      <c r="BD317" s="19"/>
      <c r="BE317" s="19"/>
      <c r="BF317" s="19"/>
      <c r="BG317" s="19"/>
      <c r="BH317" s="97"/>
      <c r="BI317" s="97"/>
      <c r="BJ317" s="97"/>
    </row>
    <row r="318" spans="1:62" s="91" customFormat="1" outlineLevel="1" x14ac:dyDescent="0.2">
      <c r="B318" s="633" t="s">
        <v>119</v>
      </c>
      <c r="C318" s="685">
        <f>$K$175*Calcs!O10</f>
        <v>102681.15752247753</v>
      </c>
      <c r="D318" s="664">
        <f>$K$176*Calcs!O10</f>
        <v>115753.0671257143</v>
      </c>
      <c r="E318" s="685">
        <f>$K$177*Calcs!O10</f>
        <v>51611.337665753425</v>
      </c>
      <c r="F318" s="730">
        <f t="shared" si="119"/>
        <v>270045.56231394527</v>
      </c>
      <c r="H318" s="753">
        <f t="shared" ca="1" si="120"/>
        <v>379340.61103232775</v>
      </c>
      <c r="AE318" s="423"/>
      <c r="AF318" s="90"/>
      <c r="AG318" s="90"/>
      <c r="AH318" s="90"/>
      <c r="AI318" s="17"/>
      <c r="AJ318" s="90"/>
      <c r="AK318" s="16"/>
      <c r="AL318" s="90"/>
      <c r="AM318" s="90"/>
      <c r="AN318" s="90"/>
      <c r="AO318" s="90"/>
      <c r="AP318" s="90"/>
      <c r="AQ318" s="90"/>
      <c r="AR318" s="90"/>
      <c r="AT318" s="19"/>
      <c r="AU318" s="97"/>
      <c r="AV318" s="19"/>
      <c r="AW318" s="19"/>
      <c r="AX318" s="19"/>
      <c r="AY318" s="19"/>
      <c r="AZ318" s="97"/>
      <c r="BA318" s="19"/>
      <c r="BB318" s="19"/>
      <c r="BC318" s="97"/>
      <c r="BD318" s="19"/>
      <c r="BE318" s="19"/>
      <c r="BF318" s="19"/>
      <c r="BG318" s="19"/>
      <c r="BH318" s="97"/>
      <c r="BI318" s="97"/>
      <c r="BJ318" s="97"/>
    </row>
    <row r="319" spans="1:62" s="91" customFormat="1" outlineLevel="1" x14ac:dyDescent="0.2">
      <c r="B319" s="633" t="s">
        <v>120</v>
      </c>
      <c r="C319" s="685">
        <f>$K$175*Calcs!O11</f>
        <v>106103.86277322676</v>
      </c>
      <c r="D319" s="664">
        <f>$K$176*Calcs!O11</f>
        <v>119611.50269657144</v>
      </c>
      <c r="E319" s="685">
        <f>$K$177*Calcs!O11</f>
        <v>53331.715587945204</v>
      </c>
      <c r="F319" s="730">
        <f t="shared" si="119"/>
        <v>279047.0810577434</v>
      </c>
      <c r="H319" s="753">
        <f t="shared" ca="1" si="120"/>
        <v>392329.90257177653</v>
      </c>
      <c r="AE319" s="423"/>
      <c r="AF319" s="90"/>
      <c r="AG319" s="90"/>
      <c r="AH319" s="90"/>
      <c r="AI319" s="17"/>
      <c r="AJ319" s="90"/>
      <c r="AK319" s="16"/>
      <c r="AL319" s="90"/>
      <c r="AM319" s="90"/>
      <c r="AN319" s="90"/>
      <c r="AO319" s="90"/>
      <c r="AP319" s="90"/>
      <c r="AQ319" s="90"/>
      <c r="AR319" s="90"/>
      <c r="AT319" s="19"/>
      <c r="AU319" s="97"/>
      <c r="AV319" s="19"/>
      <c r="AW319" s="19"/>
      <c r="AX319" s="19"/>
      <c r="AY319" s="19"/>
      <c r="AZ319" s="97"/>
      <c r="BA319" s="19"/>
      <c r="BB319" s="19"/>
      <c r="BC319" s="97"/>
      <c r="BD319" s="19"/>
      <c r="BE319" s="19"/>
      <c r="BF319" s="19"/>
      <c r="BG319" s="19"/>
      <c r="BH319" s="97"/>
      <c r="BI319" s="97"/>
      <c r="BJ319" s="97"/>
    </row>
    <row r="320" spans="1:62" s="91" customFormat="1" outlineLevel="1" x14ac:dyDescent="0.2">
      <c r="B320" s="633" t="s">
        <v>121</v>
      </c>
      <c r="C320" s="685">
        <f>$K$175*Calcs!O12</f>
        <v>106103.86277322676</v>
      </c>
      <c r="D320" s="664">
        <f>$K$176*Calcs!O12</f>
        <v>119611.50269657144</v>
      </c>
      <c r="E320" s="685">
        <f>$K$177*Calcs!O12</f>
        <v>53331.715587945204</v>
      </c>
      <c r="F320" s="730">
        <f t="shared" si="119"/>
        <v>279047.0810577434</v>
      </c>
      <c r="H320" s="753">
        <f t="shared" ca="1" si="120"/>
        <v>378721.84433441202</v>
      </c>
      <c r="AE320" s="423"/>
      <c r="AF320" s="90"/>
      <c r="AG320" s="90"/>
      <c r="AH320" s="90"/>
      <c r="AI320" s="17"/>
      <c r="AJ320" s="90"/>
      <c r="AK320" s="16"/>
      <c r="AL320" s="90"/>
      <c r="AM320" s="90"/>
      <c r="AN320" s="90"/>
      <c r="AO320" s="90"/>
      <c r="AP320" s="90"/>
      <c r="AQ320" s="90"/>
      <c r="AR320" s="90"/>
      <c r="AT320" s="19"/>
      <c r="AU320" s="97"/>
      <c r="AV320" s="19"/>
      <c r="AW320" s="19"/>
      <c r="AX320" s="19"/>
      <c r="AY320" s="19"/>
      <c r="AZ320" s="97"/>
      <c r="BA320" s="19"/>
      <c r="BB320" s="19"/>
      <c r="BC320" s="97"/>
      <c r="BD320" s="19"/>
      <c r="BE320" s="19"/>
      <c r="BF320" s="19"/>
      <c r="BG320" s="19"/>
      <c r="BH320" s="97"/>
      <c r="BI320" s="97"/>
      <c r="BJ320" s="97"/>
    </row>
    <row r="321" spans="2:62" s="91" customFormat="1" outlineLevel="1" x14ac:dyDescent="0.2">
      <c r="B321" s="633" t="s">
        <v>122</v>
      </c>
      <c r="C321" s="685">
        <f>$K$175*Calcs!O13</f>
        <v>102681.15752247753</v>
      </c>
      <c r="D321" s="664">
        <f>$K$176*Calcs!O13</f>
        <v>115753.0671257143</v>
      </c>
      <c r="E321" s="685">
        <f>$K$177*Calcs!O13</f>
        <v>51611.337665753425</v>
      </c>
      <c r="F321" s="730">
        <f t="shared" si="119"/>
        <v>270045.56231394527</v>
      </c>
      <c r="H321" s="753">
        <f t="shared" ca="1" si="120"/>
        <v>356136.13483715337</v>
      </c>
      <c r="AE321" s="423"/>
      <c r="AF321" s="90"/>
      <c r="AG321" s="90"/>
      <c r="AH321" s="90"/>
      <c r="AI321" s="17"/>
      <c r="AJ321" s="90"/>
      <c r="AK321" s="16"/>
      <c r="AL321" s="90"/>
      <c r="AM321" s="90"/>
      <c r="AN321" s="90"/>
      <c r="AO321" s="90"/>
      <c r="AP321" s="90"/>
      <c r="AQ321" s="90"/>
      <c r="AR321" s="90"/>
      <c r="AT321" s="19"/>
      <c r="AU321" s="97"/>
      <c r="AV321" s="19"/>
      <c r="AW321" s="19"/>
      <c r="AX321" s="19"/>
      <c r="AY321" s="19"/>
      <c r="AZ321" s="97"/>
      <c r="BA321" s="19"/>
      <c r="BB321" s="19"/>
      <c r="BC321" s="97"/>
      <c r="BD321" s="19"/>
      <c r="BE321" s="19"/>
      <c r="BF321" s="19"/>
      <c r="BG321" s="19"/>
      <c r="BH321" s="97"/>
      <c r="BI321" s="97"/>
      <c r="BJ321" s="97"/>
    </row>
    <row r="322" spans="2:62" s="91" customFormat="1" outlineLevel="1" x14ac:dyDescent="0.2">
      <c r="B322" s="633" t="s">
        <v>123</v>
      </c>
      <c r="C322" s="685">
        <f>$K$175*Calcs!O14</f>
        <v>106103.86277322676</v>
      </c>
      <c r="D322" s="664">
        <f>$K$176*Calcs!O14</f>
        <v>119611.50269657144</v>
      </c>
      <c r="E322" s="685">
        <f>$K$177*Calcs!O14</f>
        <v>53331.715587945204</v>
      </c>
      <c r="F322" s="730">
        <f t="shared" si="119"/>
        <v>279047.0810577434</v>
      </c>
      <c r="H322" s="753">
        <f t="shared" ca="1" si="120"/>
        <v>350815.11759432498</v>
      </c>
      <c r="AE322" s="423"/>
      <c r="AF322" s="90"/>
      <c r="AG322" s="90"/>
      <c r="AH322" s="90"/>
      <c r="AI322" s="17"/>
      <c r="AJ322" s="90"/>
      <c r="AK322" s="16"/>
      <c r="AL322" s="90"/>
      <c r="AM322" s="90"/>
      <c r="AN322" s="90"/>
      <c r="AO322" s="90"/>
      <c r="AP322" s="90"/>
      <c r="AQ322" s="90"/>
      <c r="AR322" s="90"/>
      <c r="AT322" s="19"/>
      <c r="AU322" s="97"/>
      <c r="AV322" s="19"/>
      <c r="AW322" s="19"/>
      <c r="AX322" s="19"/>
      <c r="AY322" s="19"/>
      <c r="AZ322" s="97"/>
      <c r="BA322" s="19"/>
      <c r="BB322" s="19"/>
      <c r="BC322" s="97"/>
      <c r="BD322" s="19"/>
      <c r="BE322" s="19"/>
      <c r="BF322" s="19"/>
      <c r="BG322" s="19"/>
      <c r="BH322" s="97"/>
      <c r="BI322" s="97"/>
      <c r="BJ322" s="97"/>
    </row>
    <row r="323" spans="2:62" s="91" customFormat="1" outlineLevel="1" x14ac:dyDescent="0.2">
      <c r="B323" s="633" t="s">
        <v>124</v>
      </c>
      <c r="C323" s="685">
        <f>$K$175*Calcs!O15</f>
        <v>102681.15752247753</v>
      </c>
      <c r="D323" s="664">
        <f>$K$176*Calcs!O15</f>
        <v>115753.0671257143</v>
      </c>
      <c r="E323" s="685">
        <f>$K$177*Calcs!O15</f>
        <v>51611.337665753425</v>
      </c>
      <c r="F323" s="730">
        <f t="shared" si="119"/>
        <v>270045.56231394527</v>
      </c>
      <c r="H323" s="753">
        <f t="shared" ca="1" si="120"/>
        <v>314844.80728886736</v>
      </c>
      <c r="AE323" s="423"/>
      <c r="AF323" s="90"/>
      <c r="AG323" s="90"/>
      <c r="AH323" s="90"/>
      <c r="AI323" s="17"/>
      <c r="AJ323" s="90"/>
      <c r="AK323" s="16"/>
      <c r="AL323" s="90"/>
      <c r="AM323" s="90"/>
      <c r="AN323" s="90"/>
      <c r="AO323" s="90"/>
      <c r="AP323" s="90"/>
      <c r="AQ323" s="90"/>
      <c r="AR323" s="90"/>
      <c r="AT323" s="19"/>
      <c r="AU323" s="97"/>
      <c r="AV323" s="19"/>
      <c r="AW323" s="19"/>
      <c r="AX323" s="19"/>
      <c r="AY323" s="19"/>
      <c r="AZ323" s="97"/>
      <c r="BA323" s="19"/>
      <c r="BB323" s="19"/>
      <c r="BC323" s="97"/>
      <c r="BD323" s="19"/>
      <c r="BE323" s="19"/>
      <c r="BF323" s="19"/>
      <c r="BG323" s="19"/>
      <c r="BH323" s="97"/>
      <c r="BI323" s="97"/>
      <c r="BJ323" s="97"/>
    </row>
    <row r="324" spans="2:62" s="91" customFormat="1" outlineLevel="1" x14ac:dyDescent="0.2">
      <c r="B324" s="633" t="s">
        <v>125</v>
      </c>
      <c r="C324" s="685">
        <f>$K$175*Calcs!O16</f>
        <v>106103.86277322676</v>
      </c>
      <c r="D324" s="664">
        <f>$K$176*Calcs!O16</f>
        <v>119611.50269657144</v>
      </c>
      <c r="E324" s="685">
        <f>$K$177*Calcs!O16</f>
        <v>53331.715587945204</v>
      </c>
      <c r="F324" s="730">
        <f t="shared" si="119"/>
        <v>279047.0810577434</v>
      </c>
      <c r="H324" s="753">
        <f t="shared" ca="1" si="120"/>
        <v>320682.17033655441</v>
      </c>
      <c r="AE324" s="423"/>
      <c r="AF324" s="90"/>
      <c r="AG324" s="90"/>
      <c r="AH324" s="90"/>
      <c r="AI324" s="17"/>
      <c r="AJ324" s="90"/>
      <c r="AK324" s="16"/>
      <c r="AL324" s="90"/>
      <c r="AM324" s="90"/>
      <c r="AN324" s="90"/>
      <c r="AO324" s="90"/>
      <c r="AP324" s="90"/>
      <c r="AQ324" s="90"/>
      <c r="AR324" s="90"/>
      <c r="AT324" s="19"/>
      <c r="AU324" s="97"/>
      <c r="AV324" s="19"/>
      <c r="AW324" s="19"/>
      <c r="AX324" s="19"/>
      <c r="AY324" s="19"/>
      <c r="AZ324" s="97"/>
      <c r="BA324" s="19"/>
      <c r="BB324" s="19"/>
      <c r="BC324" s="97"/>
      <c r="BD324" s="19"/>
      <c r="BE324" s="19"/>
      <c r="BF324" s="19"/>
      <c r="BG324" s="19"/>
      <c r="BH324" s="97"/>
      <c r="BI324" s="97"/>
      <c r="BJ324" s="97"/>
    </row>
    <row r="325" spans="2:62" s="91" customFormat="1" outlineLevel="1" x14ac:dyDescent="0.2">
      <c r="B325" s="670" t="s">
        <v>178</v>
      </c>
      <c r="C325" s="683">
        <f>SUM(C313:C324)</f>
        <v>1249287.4165234766</v>
      </c>
      <c r="D325" s="683">
        <f>SUM(D313:D324)</f>
        <v>1408328.9833628573</v>
      </c>
      <c r="E325" s="683">
        <f>SUM(E313:E324)</f>
        <v>627937.9415999999</v>
      </c>
      <c r="F325" s="683">
        <f>SUM(F313:F324)</f>
        <v>3285554.3414863329</v>
      </c>
      <c r="H325" s="683">
        <f ca="1">SUM(H313:H324)</f>
        <v>4227929.0959504675</v>
      </c>
      <c r="AE325" s="423"/>
      <c r="AF325" s="90"/>
      <c r="AG325" s="90"/>
      <c r="AH325" s="90"/>
      <c r="AI325" s="17"/>
      <c r="AJ325" s="90"/>
      <c r="AK325" s="16"/>
      <c r="AL325" s="90"/>
      <c r="AM325" s="90"/>
      <c r="AN325" s="90"/>
      <c r="AO325" s="90"/>
      <c r="AP325" s="90"/>
      <c r="AQ325" s="90"/>
      <c r="AR325" s="90"/>
      <c r="AT325" s="19"/>
      <c r="AU325" s="97"/>
      <c r="AV325" s="19"/>
      <c r="AW325" s="19"/>
      <c r="AX325" s="19"/>
      <c r="AY325" s="19"/>
      <c r="AZ325" s="97"/>
      <c r="BA325" s="19"/>
      <c r="BB325" s="19"/>
      <c r="BC325" s="97"/>
      <c r="BD325" s="19"/>
      <c r="BE325" s="19"/>
      <c r="BF325" s="19"/>
      <c r="BG325" s="19"/>
      <c r="BH325" s="97"/>
      <c r="BI325" s="97"/>
      <c r="BJ325" s="97"/>
    </row>
    <row r="326" spans="2:62" s="91" customFormat="1" outlineLevel="1" x14ac:dyDescent="0.25">
      <c r="AE326" s="423"/>
      <c r="AF326" s="90"/>
      <c r="AG326" s="90"/>
      <c r="AH326" s="90"/>
      <c r="AI326" s="17"/>
      <c r="AJ326" s="90"/>
      <c r="AK326" s="16"/>
      <c r="AL326" s="90"/>
      <c r="AM326" s="90"/>
      <c r="AN326" s="90"/>
      <c r="AO326" s="90"/>
      <c r="AP326" s="90"/>
      <c r="AQ326" s="90"/>
      <c r="AR326" s="90"/>
      <c r="AT326" s="19"/>
      <c r="AU326" s="97"/>
      <c r="AV326" s="19"/>
      <c r="AW326" s="19"/>
      <c r="AX326" s="19"/>
      <c r="AY326" s="19"/>
      <c r="AZ326" s="97"/>
      <c r="BA326" s="19"/>
      <c r="BB326" s="19"/>
      <c r="BC326" s="97"/>
      <c r="BD326" s="19"/>
      <c r="BE326" s="19"/>
      <c r="BF326" s="19"/>
      <c r="BG326" s="19"/>
      <c r="BH326" s="97"/>
      <c r="BI326" s="97"/>
      <c r="BJ326" s="97"/>
    </row>
    <row r="327" spans="2:62" s="91" customFormat="1" outlineLevel="1" x14ac:dyDescent="0.25">
      <c r="AE327" s="423"/>
      <c r="AF327" s="90"/>
      <c r="AG327" s="90"/>
      <c r="AH327" s="90"/>
      <c r="AI327" s="17"/>
      <c r="AJ327" s="90"/>
      <c r="AK327" s="16"/>
      <c r="AL327" s="90"/>
      <c r="AM327" s="90"/>
      <c r="AN327" s="90"/>
      <c r="AO327" s="90"/>
      <c r="AP327" s="90"/>
      <c r="AQ327" s="90"/>
      <c r="AR327" s="90"/>
      <c r="AT327" s="19"/>
      <c r="AU327" s="97"/>
      <c r="AV327" s="19"/>
      <c r="AW327" s="19"/>
      <c r="AX327" s="19"/>
      <c r="AY327" s="19"/>
      <c r="AZ327" s="97"/>
      <c r="BA327" s="19"/>
      <c r="BB327" s="19"/>
      <c r="BC327" s="97"/>
      <c r="BD327" s="19"/>
      <c r="BE327" s="19"/>
      <c r="BF327" s="19"/>
      <c r="BG327" s="19"/>
      <c r="BH327" s="97"/>
      <c r="BI327" s="97"/>
      <c r="BJ327" s="97"/>
    </row>
    <row r="328" spans="2:62" s="91" customFormat="1" outlineLevel="1" x14ac:dyDescent="0.25">
      <c r="AE328" s="423"/>
      <c r="AF328" s="90"/>
      <c r="AG328" s="90"/>
      <c r="AH328" s="90"/>
      <c r="AI328" s="17"/>
      <c r="AJ328" s="90"/>
      <c r="AK328" s="16"/>
      <c r="AL328" s="90"/>
      <c r="AM328" s="90"/>
      <c r="AN328" s="90"/>
      <c r="AO328" s="90"/>
      <c r="AP328" s="90"/>
      <c r="AQ328" s="90"/>
      <c r="AR328" s="90"/>
      <c r="AT328" s="19"/>
      <c r="AU328" s="97"/>
      <c r="AV328" s="19"/>
      <c r="AW328" s="19"/>
      <c r="AX328" s="19"/>
      <c r="AY328" s="19"/>
      <c r="AZ328" s="97"/>
      <c r="BA328" s="19"/>
      <c r="BB328" s="19"/>
      <c r="BC328" s="97"/>
      <c r="BD328" s="19"/>
      <c r="BE328" s="19"/>
      <c r="BF328" s="19"/>
      <c r="BG328" s="19"/>
      <c r="BH328" s="97"/>
      <c r="BI328" s="97"/>
      <c r="BJ328" s="97"/>
    </row>
    <row r="329" spans="2:62" s="91" customFormat="1" outlineLevel="1" x14ac:dyDescent="0.25">
      <c r="AE329" s="423"/>
      <c r="AF329" s="90"/>
      <c r="AG329" s="90"/>
      <c r="AH329" s="90"/>
      <c r="AI329" s="17"/>
      <c r="AJ329" s="90"/>
      <c r="AK329" s="16"/>
      <c r="AL329" s="90"/>
      <c r="AM329" s="90"/>
      <c r="AN329" s="90"/>
      <c r="AO329" s="90"/>
      <c r="AP329" s="90"/>
      <c r="AQ329" s="90"/>
      <c r="AR329" s="90"/>
      <c r="AT329" s="19"/>
      <c r="AU329" s="97"/>
      <c r="AV329" s="19"/>
      <c r="AW329" s="19"/>
      <c r="AX329" s="19"/>
      <c r="AY329" s="19"/>
      <c r="AZ329" s="97"/>
      <c r="BA329" s="19"/>
      <c r="BB329" s="19"/>
      <c r="BC329" s="97"/>
      <c r="BD329" s="19"/>
      <c r="BE329" s="19"/>
      <c r="BF329" s="19"/>
      <c r="BG329" s="19"/>
      <c r="BH329" s="97"/>
      <c r="BI329" s="97"/>
      <c r="BJ329" s="97"/>
    </row>
    <row r="330" spans="2:62" s="91" customFormat="1" outlineLevel="1" x14ac:dyDescent="0.25">
      <c r="AE330" s="423"/>
      <c r="AF330" s="90"/>
      <c r="AG330" s="90"/>
      <c r="AH330" s="90"/>
      <c r="AI330" s="17"/>
      <c r="AJ330" s="90"/>
      <c r="AK330" s="16"/>
      <c r="AL330" s="90"/>
      <c r="AM330" s="90"/>
      <c r="AN330" s="90"/>
      <c r="AO330" s="90"/>
      <c r="AP330" s="90"/>
      <c r="AQ330" s="90"/>
      <c r="AR330" s="90"/>
      <c r="AT330" s="19"/>
      <c r="AU330" s="97"/>
      <c r="AV330" s="19"/>
      <c r="AW330" s="19"/>
      <c r="AX330" s="19"/>
      <c r="AY330" s="19"/>
      <c r="AZ330" s="97"/>
      <c r="BA330" s="19"/>
      <c r="BB330" s="19"/>
      <c r="BC330" s="97"/>
      <c r="BD330" s="19"/>
      <c r="BE330" s="19"/>
      <c r="BF330" s="19"/>
      <c r="BG330" s="19"/>
      <c r="BH330" s="97"/>
      <c r="BI330" s="97"/>
      <c r="BJ330" s="97"/>
    </row>
    <row r="331" spans="2:62" s="91" customFormat="1" outlineLevel="1" x14ac:dyDescent="0.2">
      <c r="E331" s="213"/>
      <c r="N331" s="213"/>
      <c r="S331" s="423"/>
      <c r="AE331" s="423"/>
      <c r="AF331" s="90"/>
      <c r="AG331" s="90"/>
      <c r="AH331" s="90"/>
      <c r="AI331" s="17"/>
      <c r="AJ331" s="90"/>
      <c r="AK331" s="16"/>
      <c r="AL331" s="90"/>
      <c r="AM331" s="90"/>
      <c r="AN331" s="90"/>
      <c r="AO331" s="90"/>
      <c r="AP331" s="90"/>
      <c r="AQ331" s="90"/>
      <c r="AR331" s="90"/>
      <c r="AT331" s="19"/>
      <c r="AU331" s="97"/>
      <c r="AV331" s="19"/>
      <c r="AW331" s="19"/>
      <c r="AX331" s="19"/>
      <c r="AY331" s="19"/>
      <c r="AZ331" s="97"/>
      <c r="BA331" s="19"/>
      <c r="BB331" s="19"/>
      <c r="BC331" s="97"/>
      <c r="BD331" s="19"/>
      <c r="BE331" s="19"/>
      <c r="BF331" s="19"/>
      <c r="BG331" s="19"/>
      <c r="BH331" s="97"/>
      <c r="BI331" s="97"/>
      <c r="BJ331" s="97"/>
    </row>
    <row r="332" spans="2:62" s="91" customFormat="1" outlineLevel="1" x14ac:dyDescent="0.2">
      <c r="B332" s="216" t="s">
        <v>496</v>
      </c>
      <c r="E332" s="212"/>
      <c r="S332" s="423"/>
      <c r="AE332" s="423"/>
      <c r="AF332" s="90"/>
      <c r="AG332" s="90"/>
      <c r="AH332" s="90"/>
      <c r="AI332" s="17"/>
      <c r="AJ332" s="90"/>
      <c r="AK332" s="16"/>
      <c r="AL332" s="90"/>
      <c r="AM332" s="90"/>
      <c r="AN332" s="90"/>
      <c r="AO332" s="90"/>
      <c r="AP332" s="90"/>
      <c r="AQ332" s="90"/>
      <c r="AR332" s="90"/>
      <c r="AT332" s="19"/>
      <c r="AU332" s="97"/>
      <c r="AV332" s="19"/>
      <c r="AW332" s="19"/>
      <c r="AX332" s="19"/>
      <c r="AY332" s="19"/>
      <c r="AZ332" s="97"/>
      <c r="BA332" s="19"/>
      <c r="BB332" s="19"/>
      <c r="BC332" s="97"/>
      <c r="BD332" s="19"/>
      <c r="BE332" s="19"/>
      <c r="BF332" s="19"/>
      <c r="BG332" s="19"/>
      <c r="BH332" s="97"/>
      <c r="BI332" s="97"/>
      <c r="BJ332" s="97"/>
    </row>
    <row r="333" spans="2:62" s="91" customFormat="1" outlineLevel="1" x14ac:dyDescent="0.25">
      <c r="C333" s="52" t="s">
        <v>1003</v>
      </c>
      <c r="S333" s="423"/>
      <c r="AE333" s="423"/>
      <c r="AF333" s="90"/>
      <c r="AG333" s="90"/>
      <c r="AH333" s="90"/>
      <c r="AI333" s="17"/>
      <c r="AJ333" s="90"/>
      <c r="AK333" s="16"/>
      <c r="AL333" s="90"/>
      <c r="AM333" s="90"/>
      <c r="AN333" s="90"/>
      <c r="AO333" s="90"/>
      <c r="AP333" s="90"/>
      <c r="AQ333" s="90"/>
      <c r="AR333" s="90"/>
      <c r="AT333" s="19"/>
      <c r="AU333" s="97"/>
      <c r="AV333" s="19"/>
      <c r="AW333" s="19"/>
      <c r="AX333" s="19"/>
      <c r="AY333" s="19"/>
      <c r="AZ333" s="97"/>
      <c r="BA333" s="19"/>
      <c r="BB333" s="19"/>
      <c r="BC333" s="97"/>
      <c r="BD333" s="19"/>
      <c r="BE333" s="19"/>
      <c r="BF333" s="19"/>
      <c r="BG333" s="19"/>
      <c r="BH333" s="97"/>
      <c r="BI333" s="97"/>
      <c r="BJ333" s="97"/>
    </row>
    <row r="334" spans="2:62" s="91" customFormat="1" outlineLevel="1" x14ac:dyDescent="0.2">
      <c r="B334" s="633" t="s">
        <v>1006</v>
      </c>
      <c r="C334" s="675">
        <v>0</v>
      </c>
      <c r="D334" s="717" t="s">
        <v>1009</v>
      </c>
      <c r="E334" s="717"/>
      <c r="F334" s="717"/>
      <c r="S334" s="423"/>
      <c r="AE334" s="423"/>
      <c r="AF334" s="90"/>
      <c r="AG334" s="90"/>
      <c r="AH334" s="90"/>
      <c r="AI334" s="17"/>
      <c r="AJ334" s="90"/>
      <c r="AK334" s="16"/>
      <c r="AL334" s="90"/>
      <c r="AM334" s="90"/>
      <c r="AN334" s="90"/>
      <c r="AO334" s="90"/>
      <c r="AP334" s="90"/>
      <c r="AQ334" s="90"/>
      <c r="AR334" s="90"/>
      <c r="AT334" s="19"/>
      <c r="AU334" s="97"/>
      <c r="AV334" s="19"/>
      <c r="AW334" s="19"/>
      <c r="AX334" s="19"/>
      <c r="AY334" s="19"/>
      <c r="AZ334" s="97"/>
      <c r="BA334" s="19"/>
      <c r="BB334" s="19"/>
      <c r="BC334" s="97"/>
      <c r="BD334" s="19"/>
      <c r="BE334" s="19"/>
      <c r="BF334" s="19"/>
      <c r="BG334" s="19"/>
      <c r="BH334" s="97"/>
      <c r="BI334" s="97"/>
      <c r="BJ334" s="97"/>
    </row>
    <row r="335" spans="2:62" s="91" customFormat="1" outlineLevel="1" x14ac:dyDescent="0.2">
      <c r="B335" s="633" t="s">
        <v>562</v>
      </c>
      <c r="C335" s="754">
        <v>1</v>
      </c>
      <c r="D335" s="717" t="s">
        <v>1008</v>
      </c>
      <c r="E335" s="717"/>
      <c r="F335" s="717"/>
      <c r="S335" s="423"/>
      <c r="AE335" s="423"/>
      <c r="AF335" s="90"/>
      <c r="AG335" s="90"/>
      <c r="AH335" s="90"/>
      <c r="AI335" s="17"/>
      <c r="AJ335" s="90"/>
      <c r="AK335" s="16"/>
      <c r="AL335" s="90"/>
      <c r="AM335" s="90"/>
      <c r="AN335" s="90"/>
      <c r="AO335" s="90"/>
      <c r="AP335" s="90"/>
      <c r="AQ335" s="90"/>
      <c r="AR335" s="90"/>
      <c r="AT335" s="19"/>
      <c r="AU335" s="97"/>
      <c r="AV335" s="19"/>
      <c r="AW335" s="19"/>
      <c r="AX335" s="19"/>
      <c r="AY335" s="19"/>
      <c r="AZ335" s="97"/>
      <c r="BA335" s="19"/>
      <c r="BB335" s="19"/>
      <c r="BC335" s="97"/>
      <c r="BD335" s="19"/>
      <c r="BE335" s="19"/>
      <c r="BF335" s="19"/>
      <c r="BG335" s="19"/>
      <c r="BH335" s="97"/>
      <c r="BI335" s="97"/>
      <c r="BJ335" s="97"/>
    </row>
    <row r="336" spans="2:62" s="91" customFormat="1" outlineLevel="1" x14ac:dyDescent="0.2">
      <c r="B336" s="633" t="s">
        <v>561</v>
      </c>
      <c r="C336" s="754">
        <f>15</f>
        <v>15</v>
      </c>
      <c r="D336" s="629" t="s">
        <v>1007</v>
      </c>
      <c r="E336" s="717"/>
      <c r="F336" s="717"/>
      <c r="S336" s="423"/>
      <c r="AE336" s="423"/>
      <c r="AF336" s="90"/>
      <c r="AG336" s="90"/>
      <c r="AH336" s="90"/>
      <c r="AI336" s="17"/>
      <c r="AJ336" s="90"/>
      <c r="AK336" s="16"/>
      <c r="AL336" s="90"/>
      <c r="AM336" s="90"/>
      <c r="AN336" s="90"/>
      <c r="AO336" s="90"/>
      <c r="AP336" s="90"/>
      <c r="AQ336" s="90"/>
      <c r="AR336" s="90"/>
      <c r="AT336" s="19"/>
      <c r="AU336" s="97"/>
      <c r="AV336" s="19"/>
      <c r="AW336" s="19"/>
      <c r="AX336" s="19"/>
      <c r="AY336" s="19"/>
      <c r="AZ336" s="97"/>
      <c r="BA336" s="19"/>
      <c r="BB336" s="19"/>
      <c r="BC336" s="97"/>
      <c r="BD336" s="19"/>
      <c r="BE336" s="19"/>
      <c r="BF336" s="19"/>
      <c r="BG336" s="19"/>
      <c r="BH336" s="97"/>
      <c r="BI336" s="97"/>
      <c r="BJ336" s="97"/>
    </row>
    <row r="337" spans="2:62" s="91" customFormat="1" outlineLevel="1" x14ac:dyDescent="0.2">
      <c r="B337" s="633" t="s">
        <v>1002</v>
      </c>
      <c r="C337" s="755">
        <f>(K206+K208)/3600/(D110+C334)</f>
        <v>53.41627792386992</v>
      </c>
      <c r="D337" s="629" t="s">
        <v>560</v>
      </c>
      <c r="E337" s="717"/>
      <c r="F337" s="717"/>
      <c r="S337" s="423"/>
      <c r="AE337" s="423"/>
      <c r="AF337" s="90"/>
      <c r="AG337" s="90"/>
      <c r="AH337" s="90"/>
      <c r="AI337" s="17"/>
      <c r="AJ337" s="90"/>
      <c r="AK337" s="16"/>
      <c r="AL337" s="90"/>
      <c r="AM337" s="90"/>
      <c r="AN337" s="90"/>
      <c r="AO337" s="90"/>
      <c r="AP337" s="90"/>
      <c r="AQ337" s="90"/>
      <c r="AR337" s="90"/>
      <c r="AT337" s="19"/>
      <c r="AU337" s="97"/>
      <c r="AV337" s="19"/>
      <c r="AW337" s="19"/>
      <c r="AX337" s="19"/>
      <c r="AY337" s="19"/>
      <c r="AZ337" s="97"/>
      <c r="BA337" s="19"/>
      <c r="BB337" s="19"/>
      <c r="BC337" s="97"/>
      <c r="BD337" s="19"/>
      <c r="BE337" s="19"/>
      <c r="BF337" s="19"/>
      <c r="BG337" s="19"/>
      <c r="BH337" s="97"/>
      <c r="BI337" s="97"/>
      <c r="BJ337" s="97"/>
    </row>
    <row r="338" spans="2:62" s="91" customFormat="1" outlineLevel="1" x14ac:dyDescent="0.2">
      <c r="B338" s="633" t="s">
        <v>558</v>
      </c>
      <c r="C338" s="755">
        <f>C335+C337/C336</f>
        <v>4.5610851949246616</v>
      </c>
      <c r="D338" s="629" t="s">
        <v>559</v>
      </c>
      <c r="E338" s="717"/>
      <c r="F338" s="717"/>
      <c r="S338" s="423"/>
      <c r="AE338" s="423"/>
      <c r="AF338" s="90"/>
      <c r="AG338" s="90"/>
      <c r="AH338" s="90"/>
      <c r="AI338" s="17"/>
      <c r="AJ338" s="90"/>
      <c r="AK338" s="16"/>
      <c r="AL338" s="90"/>
      <c r="AM338" s="90"/>
      <c r="AN338" s="90"/>
      <c r="AO338" s="90"/>
      <c r="AP338" s="90"/>
      <c r="AQ338" s="90"/>
      <c r="AR338" s="90"/>
      <c r="AT338" s="19"/>
      <c r="AU338" s="97"/>
      <c r="AV338" s="19"/>
      <c r="AW338" s="19"/>
      <c r="AX338" s="19"/>
      <c r="AY338" s="19"/>
      <c r="AZ338" s="97"/>
      <c r="BA338" s="19"/>
      <c r="BB338" s="19"/>
      <c r="BC338" s="97"/>
      <c r="BD338" s="19"/>
      <c r="BE338" s="19"/>
      <c r="BF338" s="19"/>
      <c r="BG338" s="19"/>
      <c r="BH338" s="97"/>
      <c r="BI338" s="97"/>
      <c r="BJ338" s="97"/>
    </row>
    <row r="339" spans="2:62" s="91" customFormat="1" outlineLevel="1" x14ac:dyDescent="0.25">
      <c r="S339" s="423"/>
      <c r="AE339" s="423"/>
      <c r="AF339" s="90"/>
      <c r="AG339" s="90"/>
      <c r="AH339" s="90"/>
      <c r="AI339" s="17"/>
      <c r="AJ339" s="90"/>
      <c r="AK339" s="16"/>
      <c r="AL339" s="90"/>
      <c r="AM339" s="90"/>
      <c r="AN339" s="90"/>
      <c r="AO339" s="90"/>
      <c r="AP339" s="90"/>
      <c r="AQ339" s="90"/>
      <c r="AR339" s="90"/>
      <c r="AT339" s="19"/>
      <c r="AU339" s="97"/>
      <c r="AV339" s="19"/>
      <c r="AW339" s="19"/>
      <c r="AX339" s="19"/>
      <c r="AY339" s="19"/>
      <c r="AZ339" s="97"/>
      <c r="BA339" s="19"/>
      <c r="BB339" s="19"/>
      <c r="BC339" s="97"/>
      <c r="BD339" s="19"/>
      <c r="BE339" s="19"/>
      <c r="BF339" s="19"/>
      <c r="BG339" s="19"/>
      <c r="BH339" s="97"/>
      <c r="BI339" s="97"/>
      <c r="BJ339" s="97"/>
    </row>
    <row r="340" spans="2:62" s="91" customFormat="1" outlineLevel="1" x14ac:dyDescent="0.2">
      <c r="D340" s="212"/>
      <c r="N340" s="212"/>
      <c r="S340" s="423"/>
      <c r="AE340" s="423"/>
      <c r="AF340" s="90"/>
      <c r="AG340" s="90"/>
      <c r="AH340" s="90"/>
      <c r="AI340" s="17"/>
      <c r="AJ340" s="90"/>
      <c r="AK340" s="16"/>
      <c r="AL340" s="90"/>
      <c r="AM340" s="90"/>
      <c r="AN340" s="90"/>
      <c r="AO340" s="90"/>
      <c r="AP340" s="90"/>
      <c r="AQ340" s="90"/>
      <c r="AR340" s="90"/>
      <c r="AT340" s="19"/>
      <c r="AU340" s="97"/>
      <c r="AV340" s="19"/>
      <c r="AW340" s="19"/>
      <c r="AX340" s="19"/>
      <c r="AY340" s="19"/>
      <c r="AZ340" s="97"/>
      <c r="BA340" s="19"/>
      <c r="BB340" s="19"/>
      <c r="BC340" s="97"/>
      <c r="BD340" s="19"/>
      <c r="BE340" s="19"/>
      <c r="BF340" s="19"/>
      <c r="BG340" s="19"/>
      <c r="BH340" s="97"/>
      <c r="BI340" s="97"/>
      <c r="BJ340" s="97"/>
    </row>
    <row r="341" spans="2:62" s="91" customFormat="1" outlineLevel="1" x14ac:dyDescent="0.2">
      <c r="N341" s="212"/>
      <c r="S341" s="423"/>
      <c r="AE341" s="423"/>
      <c r="AF341" s="90"/>
      <c r="AG341" s="90"/>
      <c r="AH341" s="90"/>
      <c r="AI341" s="17"/>
      <c r="AJ341" s="90"/>
      <c r="AK341" s="16"/>
      <c r="AL341" s="90"/>
      <c r="AM341" s="90"/>
      <c r="AN341" s="90"/>
      <c r="AO341" s="90"/>
      <c r="AP341" s="90"/>
      <c r="AQ341" s="90"/>
      <c r="AR341" s="90"/>
      <c r="AT341" s="19"/>
      <c r="AU341" s="97"/>
      <c r="AV341" s="19"/>
      <c r="AW341" s="19"/>
      <c r="AX341" s="19"/>
      <c r="AY341" s="19"/>
      <c r="AZ341" s="97"/>
      <c r="BA341" s="19"/>
      <c r="BB341" s="19"/>
      <c r="BC341" s="97"/>
      <c r="BD341" s="19"/>
      <c r="BE341" s="19"/>
      <c r="BF341" s="19"/>
      <c r="BG341" s="19"/>
      <c r="BH341" s="97"/>
      <c r="BI341" s="97"/>
      <c r="BJ341" s="97"/>
    </row>
    <row r="342" spans="2:62" s="91" customFormat="1" outlineLevel="1" x14ac:dyDescent="0.2">
      <c r="B342" s="539"/>
      <c r="C342" s="756" t="s">
        <v>499</v>
      </c>
      <c r="D342" s="717"/>
      <c r="E342" s="756" t="s">
        <v>500</v>
      </c>
      <c r="F342" s="756" t="s">
        <v>498</v>
      </c>
      <c r="G342" s="717"/>
      <c r="H342" s="717"/>
      <c r="J342" s="717"/>
      <c r="K342" s="674" t="s">
        <v>497</v>
      </c>
      <c r="L342" s="629"/>
      <c r="M342" s="717"/>
      <c r="N342" s="248"/>
      <c r="AE342" s="423"/>
      <c r="AF342" s="90"/>
      <c r="AG342" s="90"/>
      <c r="AH342" s="90"/>
      <c r="AI342" s="17"/>
      <c r="AJ342" s="90"/>
      <c r="AK342" s="16"/>
      <c r="AL342" s="90"/>
      <c r="AM342" s="90"/>
      <c r="AN342" s="90"/>
      <c r="AO342" s="90"/>
      <c r="AP342" s="90"/>
      <c r="AQ342" s="90"/>
      <c r="AR342" s="90"/>
      <c r="AT342" s="19"/>
      <c r="AU342" s="97"/>
      <c r="AV342" s="19"/>
      <c r="AW342" s="19"/>
      <c r="AX342" s="19"/>
      <c r="AY342" s="19"/>
      <c r="AZ342" s="97"/>
      <c r="BA342" s="19"/>
      <c r="BB342" s="19"/>
      <c r="BC342" s="97"/>
      <c r="BD342" s="19"/>
      <c r="BE342" s="19"/>
      <c r="BF342" s="19"/>
      <c r="BG342" s="19"/>
      <c r="BH342" s="97"/>
      <c r="BI342" s="97"/>
      <c r="BJ342" s="97"/>
    </row>
    <row r="343" spans="2:62" s="91" customFormat="1" ht="14.25" outlineLevel="1" x14ac:dyDescent="0.25">
      <c r="B343" s="539"/>
      <c r="C343" s="629"/>
      <c r="D343" s="717"/>
      <c r="E343" s="633"/>
      <c r="F343" s="756"/>
      <c r="G343" s="717"/>
      <c r="H343" s="674" t="s">
        <v>554</v>
      </c>
      <c r="J343" s="674" t="s">
        <v>553</v>
      </c>
      <c r="K343" s="629"/>
      <c r="L343" s="759" t="s">
        <v>504</v>
      </c>
      <c r="M343" s="717"/>
      <c r="N343" s="212"/>
      <c r="AE343" s="423"/>
      <c r="AF343" s="90"/>
      <c r="AG343" s="90"/>
      <c r="AH343" s="90"/>
      <c r="AI343" s="17"/>
      <c r="AJ343" s="90"/>
      <c r="AK343" s="16"/>
      <c r="AL343" s="90"/>
      <c r="AM343" s="90"/>
      <c r="AN343" s="90"/>
      <c r="AO343" s="90"/>
      <c r="AP343" s="90"/>
      <c r="AQ343" s="90"/>
      <c r="AR343" s="90"/>
      <c r="AT343" s="19"/>
      <c r="AU343" s="97"/>
      <c r="AV343" s="19"/>
      <c r="AW343" s="19"/>
      <c r="AX343" s="19"/>
      <c r="AY343" s="19"/>
      <c r="AZ343" s="97"/>
      <c r="BA343" s="19"/>
      <c r="BB343" s="19"/>
      <c r="BC343" s="97"/>
      <c r="BD343" s="19"/>
      <c r="BE343" s="19"/>
      <c r="BF343" s="19"/>
      <c r="BG343" s="19"/>
      <c r="BH343" s="97"/>
      <c r="BI343" s="97"/>
      <c r="BJ343" s="97"/>
    </row>
    <row r="344" spans="2:62" s="91" customFormat="1" ht="14.25" outlineLevel="1" x14ac:dyDescent="0.25">
      <c r="B344" s="539"/>
      <c r="C344" s="629" t="s">
        <v>508</v>
      </c>
      <c r="D344" s="629" t="s">
        <v>137</v>
      </c>
      <c r="E344" s="629" t="s">
        <v>509</v>
      </c>
      <c r="F344" s="756" t="s">
        <v>507</v>
      </c>
      <c r="G344" s="717"/>
      <c r="H344" s="633" t="s">
        <v>556</v>
      </c>
      <c r="I344" s="227" t="s">
        <v>557</v>
      </c>
      <c r="J344" s="633" t="s">
        <v>555</v>
      </c>
      <c r="K344" s="629"/>
      <c r="L344" s="642" t="s">
        <v>506</v>
      </c>
      <c r="M344" s="717"/>
      <c r="N344" s="212"/>
      <c r="AE344" s="423"/>
      <c r="AF344" s="90"/>
      <c r="AG344" s="90"/>
      <c r="AH344" s="90"/>
      <c r="AI344" s="17"/>
      <c r="AJ344" s="90"/>
      <c r="AK344" s="16"/>
      <c r="AL344" s="90"/>
      <c r="AM344" s="90"/>
      <c r="AN344" s="90"/>
      <c r="AO344" s="90"/>
      <c r="AP344" s="90"/>
      <c r="AQ344" s="90"/>
      <c r="AR344" s="90"/>
      <c r="AT344" s="19"/>
      <c r="AU344" s="97"/>
      <c r="AV344" s="19"/>
      <c r="AW344" s="19"/>
      <c r="AX344" s="19"/>
      <c r="AY344" s="19"/>
      <c r="AZ344" s="97"/>
      <c r="BA344" s="19"/>
      <c r="BB344" s="19"/>
      <c r="BC344" s="97"/>
      <c r="BD344" s="19"/>
      <c r="BE344" s="19"/>
      <c r="BF344" s="19"/>
      <c r="BG344" s="19"/>
      <c r="BH344" s="97"/>
      <c r="BI344" s="97"/>
      <c r="BJ344" s="97"/>
    </row>
    <row r="345" spans="2:62" s="91" customFormat="1" outlineLevel="1" x14ac:dyDescent="0.2">
      <c r="B345" s="633" t="s">
        <v>114</v>
      </c>
      <c r="C345" s="685">
        <f ca="1">($D$110*(Calcs!Z231-Calcs!AG5))*Calcs!O5</f>
        <v>293423.9176942195</v>
      </c>
      <c r="D345" s="757">
        <f ca="1">Calcs!P282*Calcs!$C$2</f>
        <v>1482.2509305171725</v>
      </c>
      <c r="E345" s="685">
        <f ca="1">D345*(Calcs!Z231-Calcs!AG5)*Calcs!O5</f>
        <v>90971.498491787774</v>
      </c>
      <c r="F345" s="740">
        <f t="shared" ref="F345:F356" ca="1" si="121">C345+E345</f>
        <v>384395.41618600726</v>
      </c>
      <c r="G345" s="717"/>
      <c r="H345" s="758">
        <f t="shared" ref="H345:H356" ca="1" si="122">IF(F345=0,9999,H313/F345)</f>
        <v>0.85115144521046604</v>
      </c>
      <c r="I345" s="744">
        <f t="shared" ref="I345:I356" ca="1" si="123">IF(F345=0,9999,IF(F345&lt;0,H313,H313/F345))</f>
        <v>0.85115144521046604</v>
      </c>
      <c r="J345" s="760">
        <f t="shared" ref="J345:J356" ca="1" si="124">IF(H345&gt;0,(1-H345^$C$338)/(1-H345^($C$338+1)),1/H345)</f>
        <v>0.8794274607527669</v>
      </c>
      <c r="K345" s="539"/>
      <c r="L345" s="740">
        <f t="shared" ref="L345:L356" ca="1" si="125">F345-J345*H313</f>
        <v>96665.470503923541</v>
      </c>
      <c r="M345" s="717"/>
      <c r="N345" s="212"/>
      <c r="AE345" s="423"/>
      <c r="AF345" s="90"/>
      <c r="AG345" s="90"/>
      <c r="AH345" s="90"/>
      <c r="AI345" s="17"/>
      <c r="AJ345" s="90"/>
      <c r="AK345" s="16"/>
      <c r="AL345" s="90"/>
      <c r="AM345" s="90"/>
      <c r="AN345" s="90"/>
      <c r="AO345" s="90"/>
      <c r="AP345" s="90"/>
      <c r="AQ345" s="90"/>
      <c r="AR345" s="90"/>
      <c r="AT345" s="19"/>
      <c r="AU345" s="97"/>
      <c r="AV345" s="19"/>
      <c r="AW345" s="19"/>
      <c r="AX345" s="19"/>
      <c r="AY345" s="19"/>
      <c r="AZ345" s="97"/>
      <c r="BA345" s="19"/>
      <c r="BB345" s="19"/>
      <c r="BC345" s="97"/>
      <c r="BD345" s="19"/>
      <c r="BE345" s="19"/>
      <c r="BF345" s="19"/>
      <c r="BG345" s="19"/>
      <c r="BH345" s="97"/>
      <c r="BI345" s="97"/>
      <c r="BJ345" s="97"/>
    </row>
    <row r="346" spans="2:62" s="91" customFormat="1" outlineLevel="1" x14ac:dyDescent="0.2">
      <c r="B346" s="633" t="s">
        <v>115</v>
      </c>
      <c r="C346" s="685">
        <f ca="1">($D$110*(Calcs!Z232-Calcs!AG6))*Calcs!O6</f>
        <v>242256.265810629</v>
      </c>
      <c r="D346" s="757">
        <f ca="1">Calcs!P283*Calcs!$C$2</f>
        <v>1541.5732905972686</v>
      </c>
      <c r="E346" s="685">
        <f ca="1">D346*(Calcs!Z232-Calcs!AG6)*Calcs!O6</f>
        <v>78113.716508622179</v>
      </c>
      <c r="F346" s="740">
        <f t="shared" ca="1" si="121"/>
        <v>320369.98231925117</v>
      </c>
      <c r="G346" s="717"/>
      <c r="H346" s="758">
        <f t="shared" ca="1" si="122"/>
        <v>0.96597111237522348</v>
      </c>
      <c r="I346" s="744">
        <f t="shared" ca="1" si="123"/>
        <v>0.96597111237522348</v>
      </c>
      <c r="J346" s="760">
        <f t="shared" ca="1" si="124"/>
        <v>0.83407888912925665</v>
      </c>
      <c r="K346" s="539"/>
      <c r="L346" s="740">
        <f t="shared" ca="1" si="125"/>
        <v>62249.13305391444</v>
      </c>
      <c r="M346" s="717"/>
      <c r="N346" s="212"/>
      <c r="AE346" s="423"/>
      <c r="AF346" s="90"/>
      <c r="AG346" s="90"/>
      <c r="AH346" s="90"/>
      <c r="AI346" s="17"/>
      <c r="AJ346" s="90"/>
      <c r="AK346" s="16"/>
      <c r="AL346" s="90"/>
      <c r="AM346" s="90"/>
      <c r="AN346" s="90"/>
      <c r="AO346" s="90"/>
      <c r="AP346" s="90"/>
      <c r="AQ346" s="90"/>
      <c r="AR346" s="90"/>
      <c r="AT346" s="19"/>
      <c r="AU346" s="97"/>
      <c r="AV346" s="19"/>
      <c r="AW346" s="19"/>
      <c r="AX346" s="19"/>
      <c r="AY346" s="19"/>
      <c r="AZ346" s="97"/>
      <c r="BA346" s="19"/>
      <c r="BB346" s="19"/>
      <c r="BC346" s="97"/>
      <c r="BD346" s="19"/>
      <c r="BE346" s="19"/>
      <c r="BF346" s="19"/>
      <c r="BG346" s="19"/>
      <c r="BH346" s="97"/>
      <c r="BI346" s="97"/>
      <c r="BJ346" s="97"/>
    </row>
    <row r="347" spans="2:62" s="91" customFormat="1" outlineLevel="1" x14ac:dyDescent="0.2">
      <c r="B347" s="633" t="s">
        <v>116</v>
      </c>
      <c r="C347" s="685">
        <f ca="1">($D$110*(Calcs!Z233-Calcs!AG7))*Calcs!O7</f>
        <v>197579.9544500323</v>
      </c>
      <c r="D347" s="757">
        <f ca="1">Calcs!P284*Calcs!$C$2</f>
        <v>1671.0658869925014</v>
      </c>
      <c r="E347" s="685">
        <f ca="1">D347*(Calcs!Z233-Calcs!AG7)*Calcs!O7</f>
        <v>69059.679760475876</v>
      </c>
      <c r="F347" s="740">
        <f t="shared" ca="1" si="121"/>
        <v>266639.6342105082</v>
      </c>
      <c r="G347" s="717"/>
      <c r="H347" s="758">
        <f t="shared" ca="1" si="122"/>
        <v>1.3369876256161539</v>
      </c>
      <c r="I347" s="744">
        <f t="shared" ca="1" si="123"/>
        <v>1.3369876256161539</v>
      </c>
      <c r="J347" s="760">
        <f t="shared" ca="1" si="124"/>
        <v>0.68537739659022323</v>
      </c>
      <c r="K347" s="539"/>
      <c r="L347" s="740">
        <f t="shared" ca="1" si="125"/>
        <v>22306.778996231005</v>
      </c>
      <c r="M347" s="717"/>
      <c r="N347" s="212"/>
      <c r="AE347" s="423"/>
      <c r="AF347" s="90"/>
      <c r="AG347" s="90"/>
      <c r="AH347" s="90"/>
      <c r="AI347" s="17"/>
      <c r="AJ347" s="90"/>
      <c r="AK347" s="16"/>
      <c r="AL347" s="90"/>
      <c r="AM347" s="90"/>
      <c r="AN347" s="90"/>
      <c r="AO347" s="90"/>
      <c r="AP347" s="90"/>
      <c r="AQ347" s="90"/>
      <c r="AR347" s="90"/>
      <c r="AT347" s="19"/>
      <c r="AU347" s="97"/>
      <c r="AV347" s="19"/>
      <c r="AW347" s="19"/>
      <c r="AX347" s="19"/>
      <c r="AY347" s="19"/>
      <c r="AZ347" s="97"/>
      <c r="BA347" s="19"/>
      <c r="BB347" s="19"/>
      <c r="BC347" s="97"/>
      <c r="BD347" s="19"/>
      <c r="BE347" s="19"/>
      <c r="BF347" s="19"/>
      <c r="BG347" s="19"/>
      <c r="BH347" s="97"/>
      <c r="BI347" s="97"/>
      <c r="BJ347" s="97"/>
    </row>
    <row r="348" spans="2:62" s="91" customFormat="1" outlineLevel="1" x14ac:dyDescent="0.2">
      <c r="B348" s="633" t="s">
        <v>117</v>
      </c>
      <c r="C348" s="685">
        <f ca="1">($D$110*(Calcs!Z234-Calcs!AG8))*Calcs!O8</f>
        <v>132117.60029227188</v>
      </c>
      <c r="D348" s="757">
        <f ca="1">Calcs!P285*Calcs!$C$2</f>
        <v>1454.5611736831765</v>
      </c>
      <c r="E348" s="685">
        <f ca="1">D348*(Calcs!Z234-Calcs!AG8)*Calcs!O8</f>
        <v>40195.808933136446</v>
      </c>
      <c r="F348" s="740">
        <f t="shared" ca="1" si="121"/>
        <v>172313.40922540834</v>
      </c>
      <c r="G348" s="717"/>
      <c r="H348" s="758">
        <f t="shared" ca="1" si="122"/>
        <v>2.0517026657389907</v>
      </c>
      <c r="I348" s="744">
        <f t="shared" ca="1" si="123"/>
        <v>2.0517026657389907</v>
      </c>
      <c r="J348" s="760">
        <f t="shared" ca="1" si="124"/>
        <v>0.47780297029022106</v>
      </c>
      <c r="K348" s="539"/>
      <c r="L348" s="740">
        <f t="shared" ca="1" si="125"/>
        <v>3392.9151553837582</v>
      </c>
      <c r="M348" s="717"/>
      <c r="AE348" s="423"/>
      <c r="AF348" s="90"/>
      <c r="AG348" s="90"/>
      <c r="AH348" s="90"/>
      <c r="AI348" s="17"/>
      <c r="AJ348" s="90"/>
      <c r="AK348" s="16"/>
      <c r="AL348" s="90"/>
      <c r="AM348" s="90"/>
      <c r="AN348" s="90"/>
      <c r="AO348" s="90"/>
      <c r="AP348" s="90"/>
      <c r="AQ348" s="90"/>
      <c r="AR348" s="90"/>
      <c r="AT348" s="19"/>
      <c r="AU348" s="97"/>
      <c r="AV348" s="19"/>
      <c r="AW348" s="19"/>
      <c r="AX348" s="19"/>
      <c r="AY348" s="19"/>
      <c r="AZ348" s="97"/>
      <c r="BA348" s="19"/>
      <c r="BB348" s="19"/>
      <c r="BC348" s="97"/>
      <c r="BD348" s="19"/>
      <c r="BE348" s="19"/>
      <c r="BF348" s="19"/>
      <c r="BG348" s="19"/>
      <c r="BH348" s="97"/>
      <c r="BI348" s="97"/>
      <c r="BJ348" s="97"/>
    </row>
    <row r="349" spans="2:62" s="91" customFormat="1" outlineLevel="1" x14ac:dyDescent="0.2">
      <c r="B349" s="633" t="s">
        <v>118</v>
      </c>
      <c r="C349" s="685">
        <f ca="1">($D$110*(Calcs!Z235-Calcs!AG9))*Calcs!O9</f>
        <v>67903.854567768023</v>
      </c>
      <c r="D349" s="757">
        <f ca="1">Calcs!P286*Calcs!$C$2</f>
        <v>1114.7261692782517</v>
      </c>
      <c r="E349" s="685">
        <f ca="1">D349*(Calcs!Z235-Calcs!AG9)*Calcs!O9</f>
        <v>15832.544960352558</v>
      </c>
      <c r="F349" s="740">
        <f t="shared" ca="1" si="121"/>
        <v>83736.399528120586</v>
      </c>
      <c r="G349" s="717"/>
      <c r="H349" s="758">
        <f t="shared" ca="1" si="122"/>
        <v>4.6381487076531958</v>
      </c>
      <c r="I349" s="744">
        <f t="shared" ca="1" si="123"/>
        <v>4.6381487076531958</v>
      </c>
      <c r="J349" s="760">
        <f t="shared" ca="1" si="124"/>
        <v>0.215448730717019</v>
      </c>
      <c r="K349" s="539"/>
      <c r="L349" s="740">
        <f t="shared" ca="1" si="125"/>
        <v>60.017901857645484</v>
      </c>
      <c r="M349" s="717"/>
      <c r="AE349" s="423"/>
      <c r="AF349" s="90"/>
      <c r="AG349" s="90"/>
      <c r="AH349" s="90"/>
      <c r="AI349" s="17"/>
      <c r="AJ349" s="90"/>
      <c r="AK349" s="16"/>
      <c r="AL349" s="90"/>
      <c r="AM349" s="90"/>
      <c r="AN349" s="90"/>
      <c r="AO349" s="90"/>
      <c r="AP349" s="90"/>
      <c r="AQ349" s="90"/>
      <c r="AR349" s="90"/>
      <c r="AT349" s="19"/>
      <c r="AU349" s="97"/>
      <c r="AV349" s="19"/>
      <c r="AW349" s="19"/>
      <c r="AX349" s="19"/>
      <c r="AY349" s="19"/>
      <c r="AZ349" s="97"/>
      <c r="BA349" s="19"/>
      <c r="BB349" s="19"/>
      <c r="BC349" s="97"/>
      <c r="BD349" s="19"/>
      <c r="BE349" s="19"/>
      <c r="BF349" s="19"/>
      <c r="BG349" s="19"/>
      <c r="BH349" s="97"/>
      <c r="BI349" s="97"/>
      <c r="BJ349" s="97"/>
    </row>
    <row r="350" spans="2:62" s="91" customFormat="1" outlineLevel="1" x14ac:dyDescent="0.2">
      <c r="B350" s="633" t="s">
        <v>119</v>
      </c>
      <c r="C350" s="685">
        <f ca="1">($D$110*(Calcs!Z236-Calcs!AG10))*Calcs!O10</f>
        <v>-6319.9998472320203</v>
      </c>
      <c r="D350" s="757">
        <f ca="1">Calcs!P287*Calcs!$C$2</f>
        <v>1449.7086863749385</v>
      </c>
      <c r="E350" s="685">
        <f ca="1">D350*(Calcs!Z236-Calcs!AG10)*Calcs!O10</f>
        <v>-1916.3989066927645</v>
      </c>
      <c r="F350" s="740">
        <f t="shared" ca="1" si="121"/>
        <v>-8236.3987539247846</v>
      </c>
      <c r="G350" s="717"/>
      <c r="H350" s="758">
        <f t="shared" ca="1" si="122"/>
        <v>-46.0566107064165</v>
      </c>
      <c r="I350" s="744">
        <f t="shared" ca="1" si="123"/>
        <v>379340.61103232775</v>
      </c>
      <c r="J350" s="760">
        <f t="shared" ca="1" si="124"/>
        <v>-2.1712409677177621E-2</v>
      </c>
      <c r="K350" s="539"/>
      <c r="L350" s="740">
        <f t="shared" ca="1" si="125"/>
        <v>0</v>
      </c>
      <c r="M350" s="717"/>
      <c r="AE350" s="423"/>
      <c r="AF350" s="90"/>
      <c r="AG350" s="90"/>
      <c r="AH350" s="90"/>
      <c r="AI350" s="17"/>
      <c r="AJ350" s="90"/>
      <c r="AK350" s="16"/>
      <c r="AL350" s="90"/>
      <c r="AM350" s="90"/>
      <c r="AN350" s="90"/>
      <c r="AO350" s="90"/>
      <c r="AP350" s="90"/>
      <c r="AQ350" s="90"/>
      <c r="AR350" s="90"/>
      <c r="AT350" s="19"/>
      <c r="AU350" s="97"/>
      <c r="AV350" s="19"/>
      <c r="AW350" s="19"/>
      <c r="AX350" s="19"/>
      <c r="AY350" s="19"/>
      <c r="AZ350" s="97"/>
      <c r="BA350" s="19"/>
      <c r="BB350" s="19"/>
      <c r="BC350" s="97"/>
      <c r="BD350" s="19"/>
      <c r="BE350" s="19"/>
      <c r="BF350" s="19"/>
      <c r="BG350" s="19"/>
      <c r="BH350" s="97"/>
      <c r="BI350" s="97"/>
      <c r="BJ350" s="97"/>
    </row>
    <row r="351" spans="2:62" s="91" customFormat="1" outlineLevel="1" x14ac:dyDescent="0.2">
      <c r="B351" s="633" t="s">
        <v>120</v>
      </c>
      <c r="C351" s="685">
        <f ca="1">($D$110*(Calcs!Z237-Calcs!AG11))*Calcs!O11</f>
        <v>-45196.948798559839</v>
      </c>
      <c r="D351" s="757">
        <f ca="1">Calcs!P288*Calcs!$C$2</f>
        <v>1258.0814294114914</v>
      </c>
      <c r="E351" s="685">
        <f ca="1">D351*(Calcs!Z237-Calcs!AG11)*Calcs!O11</f>
        <v>-11893.398601084431</v>
      </c>
      <c r="F351" s="740">
        <f t="shared" ca="1" si="121"/>
        <v>-57090.34739964427</v>
      </c>
      <c r="G351" s="717"/>
      <c r="H351" s="758">
        <f t="shared" ca="1" si="122"/>
        <v>-6.8720881977716104</v>
      </c>
      <c r="I351" s="744">
        <f t="shared" ca="1" si="123"/>
        <v>392329.90257177653</v>
      </c>
      <c r="J351" s="760">
        <f t="shared" ca="1" si="124"/>
        <v>-0.14551617662943656</v>
      </c>
      <c r="K351" s="539"/>
      <c r="L351" s="740">
        <f t="shared" ca="1" si="125"/>
        <v>0</v>
      </c>
      <c r="M351" s="717"/>
      <c r="AE351" s="423"/>
      <c r="AF351" s="90"/>
      <c r="AG351" s="90"/>
      <c r="AH351" s="90"/>
      <c r="AI351" s="17"/>
      <c r="AJ351" s="90"/>
      <c r="AK351" s="16"/>
      <c r="AL351" s="90"/>
      <c r="AM351" s="90"/>
      <c r="AN351" s="90"/>
      <c r="AO351" s="90"/>
      <c r="AP351" s="90"/>
      <c r="AQ351" s="90"/>
      <c r="AR351" s="90"/>
      <c r="AT351" s="19"/>
      <c r="AU351" s="97"/>
      <c r="AV351" s="19"/>
      <c r="AW351" s="19"/>
      <c r="AX351" s="19"/>
      <c r="AY351" s="19"/>
      <c r="AZ351" s="97"/>
      <c r="BA351" s="19"/>
      <c r="BB351" s="19"/>
      <c r="BC351" s="97"/>
      <c r="BD351" s="19"/>
      <c r="BE351" s="19"/>
      <c r="BF351" s="19"/>
      <c r="BG351" s="19"/>
      <c r="BH351" s="97"/>
      <c r="BI351" s="97"/>
      <c r="BJ351" s="97"/>
    </row>
    <row r="352" spans="2:62" s="91" customFormat="1" outlineLevel="1" x14ac:dyDescent="0.2">
      <c r="B352" s="633" t="s">
        <v>121</v>
      </c>
      <c r="C352" s="685">
        <f ca="1">($D$110*(Calcs!Z238-Calcs!AG12))*Calcs!O12</f>
        <v>-15114.988741392128</v>
      </c>
      <c r="D352" s="757">
        <f ca="1">Calcs!P289*Calcs!$C$2</f>
        <v>1137.1471373474267</v>
      </c>
      <c r="E352" s="685">
        <f ca="1">D352*(Calcs!Z238-Calcs!AG12)*Calcs!O12</f>
        <v>-3595.1134176666669</v>
      </c>
      <c r="F352" s="740">
        <f t="shared" ca="1" si="121"/>
        <v>-18710.102159058795</v>
      </c>
      <c r="G352" s="717"/>
      <c r="H352" s="758">
        <f t="shared" ca="1" si="122"/>
        <v>-20.241570094851021</v>
      </c>
      <c r="I352" s="744">
        <f t="shared" ca="1" si="123"/>
        <v>378721.84433441202</v>
      </c>
      <c r="J352" s="760">
        <f t="shared" ca="1" si="124"/>
        <v>-4.9403282221391336E-2</v>
      </c>
      <c r="K352" s="539"/>
      <c r="L352" s="740">
        <f t="shared" ca="1" si="125"/>
        <v>0</v>
      </c>
      <c r="M352" s="717"/>
      <c r="AE352" s="423"/>
      <c r="AF352" s="90"/>
      <c r="AG352" s="90"/>
      <c r="AH352" s="90"/>
      <c r="AI352" s="17"/>
      <c r="AJ352" s="90"/>
      <c r="AK352" s="16"/>
      <c r="AL352" s="90"/>
      <c r="AM352" s="90"/>
      <c r="AN352" s="90"/>
      <c r="AO352" s="90"/>
      <c r="AP352" s="90"/>
      <c r="AQ352" s="90"/>
      <c r="AR352" s="90"/>
      <c r="AT352" s="19"/>
      <c r="AU352" s="97"/>
      <c r="AV352" s="19"/>
      <c r="AW352" s="19"/>
      <c r="AX352" s="19"/>
      <c r="AY352" s="19"/>
      <c r="AZ352" s="97"/>
      <c r="BA352" s="19"/>
      <c r="BB352" s="19"/>
      <c r="BC352" s="97"/>
      <c r="BD352" s="19"/>
      <c r="BE352" s="19"/>
      <c r="BF352" s="19"/>
      <c r="BG352" s="19"/>
      <c r="BH352" s="97"/>
      <c r="BI352" s="97"/>
      <c r="BJ352" s="97"/>
    </row>
    <row r="353" spans="1:62" s="91" customFormat="1" outlineLevel="1" x14ac:dyDescent="0.2">
      <c r="A353" s="424"/>
      <c r="B353" s="633" t="s">
        <v>122</v>
      </c>
      <c r="C353" s="685">
        <f ca="1">($D$110*(Calcs!Z239-Calcs!AG13))*Calcs!O13</f>
        <v>30458.888152631684</v>
      </c>
      <c r="D353" s="757">
        <f ca="1">Calcs!P290*Calcs!$C$2</f>
        <v>1018.4562630781485</v>
      </c>
      <c r="E353" s="685">
        <f ca="1">D353*(Calcs!Z239-Calcs!AG13)*Calcs!O13</f>
        <v>6488.5033755697705</v>
      </c>
      <c r="F353" s="740">
        <f t="shared" ca="1" si="121"/>
        <v>36947.391528201457</v>
      </c>
      <c r="G353" s="717"/>
      <c r="H353" s="758">
        <f t="shared" ca="1" si="122"/>
        <v>9.6390061681436787</v>
      </c>
      <c r="I353" s="744">
        <f t="shared" ca="1" si="123"/>
        <v>9.6390061681436787</v>
      </c>
      <c r="J353" s="760">
        <f t="shared" ca="1" si="124"/>
        <v>0.10374211443080401</v>
      </c>
      <c r="K353" s="539"/>
      <c r="L353" s="740">
        <f t="shared" ca="1" si="125"/>
        <v>1.0758749812448514</v>
      </c>
      <c r="M353" s="717"/>
      <c r="AE353" s="423"/>
      <c r="AF353" s="90"/>
      <c r="AG353" s="90"/>
      <c r="AH353" s="90"/>
      <c r="AI353" s="17"/>
      <c r="AJ353" s="90"/>
      <c r="AK353" s="16"/>
      <c r="AL353" s="90"/>
      <c r="AM353" s="90"/>
      <c r="AN353" s="90"/>
      <c r="AO353" s="90"/>
      <c r="AP353" s="90"/>
      <c r="AQ353" s="90"/>
      <c r="AR353" s="90"/>
      <c r="AT353" s="19"/>
      <c r="AU353" s="97"/>
      <c r="AV353" s="19"/>
      <c r="AW353" s="19"/>
      <c r="AX353" s="19"/>
      <c r="AY353" s="19"/>
      <c r="AZ353" s="97"/>
      <c r="BA353" s="19"/>
      <c r="BB353" s="19"/>
      <c r="BC353" s="97"/>
      <c r="BD353" s="19"/>
      <c r="BE353" s="19"/>
      <c r="BF353" s="19"/>
      <c r="BG353" s="19"/>
      <c r="BH353" s="97"/>
      <c r="BI353" s="97"/>
      <c r="BJ353" s="97"/>
    </row>
    <row r="354" spans="1:62" s="91" customFormat="1" outlineLevel="1" x14ac:dyDescent="0.2">
      <c r="A354" s="424"/>
      <c r="B354" s="633" t="s">
        <v>123</v>
      </c>
      <c r="C354" s="685">
        <f ca="1">($D$110*(Calcs!Z240-Calcs!AG14))*Calcs!O14</f>
        <v>122934.58894202999</v>
      </c>
      <c r="D354" s="757">
        <f ca="1">Calcs!P291*Calcs!$C$2</f>
        <v>1435.9485850857322</v>
      </c>
      <c r="E354" s="685">
        <f ca="1">D354*(Calcs!Z240-Calcs!AG14)*Calcs!O14</f>
        <v>36923.34931393899</v>
      </c>
      <c r="F354" s="740">
        <f t="shared" ca="1" si="121"/>
        <v>159857.93825596897</v>
      </c>
      <c r="G354" s="717"/>
      <c r="H354" s="758">
        <f t="shared" ca="1" si="122"/>
        <v>2.1945429887416044</v>
      </c>
      <c r="I354" s="744">
        <f t="shared" ca="1" si="123"/>
        <v>2.1945429887416044</v>
      </c>
      <c r="J354" s="760">
        <f t="shared" ca="1" si="124"/>
        <v>0.44870724950852098</v>
      </c>
      <c r="K354" s="539"/>
      <c r="L354" s="740">
        <f t="shared" ca="1" si="125"/>
        <v>2444.6517542110523</v>
      </c>
      <c r="M354" s="717"/>
      <c r="AE354" s="423"/>
      <c r="AF354" s="90"/>
      <c r="AG354" s="90"/>
      <c r="AH354" s="90"/>
      <c r="AI354" s="17"/>
      <c r="AJ354" s="90"/>
      <c r="AK354" s="16"/>
      <c r="AL354" s="90"/>
      <c r="AM354" s="90"/>
      <c r="AN354" s="90"/>
      <c r="AO354" s="90"/>
      <c r="AP354" s="90"/>
      <c r="AQ354" s="90"/>
      <c r="AR354" s="90"/>
      <c r="AT354" s="19"/>
      <c r="AU354" s="97"/>
      <c r="AV354" s="19"/>
      <c r="AW354" s="19"/>
      <c r="AX354" s="19"/>
      <c r="AY354" s="19"/>
      <c r="AZ354" s="97"/>
      <c r="BA354" s="19"/>
      <c r="BB354" s="19"/>
      <c r="BC354" s="97"/>
      <c r="BD354" s="19"/>
      <c r="BE354" s="19"/>
      <c r="BF354" s="19"/>
      <c r="BG354" s="19"/>
      <c r="BH354" s="97"/>
      <c r="BI354" s="97"/>
      <c r="BJ354" s="97"/>
    </row>
    <row r="355" spans="1:62" s="91" customFormat="1" outlineLevel="1" x14ac:dyDescent="0.2">
      <c r="B355" s="633" t="s">
        <v>124</v>
      </c>
      <c r="C355" s="685">
        <f ca="1">($D$110*(Calcs!Z241-Calcs!AG15))*Calcs!O15</f>
        <v>178314.63841821003</v>
      </c>
      <c r="D355" s="757">
        <f ca="1">Calcs!P292*Calcs!$C$2</f>
        <v>1606.5981146427662</v>
      </c>
      <c r="E355" s="685">
        <f ca="1">D355*(Calcs!Z241-Calcs!AG15)*Calcs!O15</f>
        <v>59921.455756884927</v>
      </c>
      <c r="F355" s="740">
        <f t="shared" ca="1" si="121"/>
        <v>238236.09417509497</v>
      </c>
      <c r="G355" s="717"/>
      <c r="H355" s="758">
        <f t="shared" ca="1" si="122"/>
        <v>1.3215663578562018</v>
      </c>
      <c r="I355" s="744">
        <f t="shared" ca="1" si="123"/>
        <v>1.3215663578562018</v>
      </c>
      <c r="J355" s="760">
        <f t="shared" ca="1" si="124"/>
        <v>0.69116234487675865</v>
      </c>
      <c r="K355" s="539"/>
      <c r="L355" s="740">
        <f t="shared" ca="1" si="125"/>
        <v>20627.218897050217</v>
      </c>
      <c r="M355" s="717"/>
      <c r="AE355" s="423"/>
      <c r="AF355" s="90"/>
      <c r="AG355" s="90"/>
      <c r="AH355" s="90"/>
      <c r="AI355" s="17"/>
      <c r="AJ355" s="90"/>
      <c r="AK355" s="16"/>
      <c r="AL355" s="90"/>
      <c r="AM355" s="90"/>
      <c r="AN355" s="90"/>
      <c r="AO355" s="90"/>
      <c r="AP355" s="90"/>
      <c r="AQ355" s="90"/>
      <c r="AR355" s="90"/>
      <c r="AT355" s="19"/>
      <c r="AU355" s="97"/>
      <c r="AV355" s="19"/>
      <c r="AW355" s="19"/>
      <c r="AX355" s="19"/>
      <c r="AY355" s="19"/>
      <c r="AZ355" s="97"/>
      <c r="BA355" s="19"/>
      <c r="BB355" s="19"/>
      <c r="BC355" s="97"/>
      <c r="BD355" s="19"/>
      <c r="BE355" s="19"/>
      <c r="BF355" s="19"/>
      <c r="BG355" s="19"/>
      <c r="BH355" s="97"/>
      <c r="BI355" s="97"/>
      <c r="BJ355" s="97"/>
    </row>
    <row r="356" spans="1:62" s="91" customFormat="1" outlineLevel="1" x14ac:dyDescent="0.2">
      <c r="A356" s="212"/>
      <c r="B356" s="633" t="s">
        <v>125</v>
      </c>
      <c r="C356" s="685">
        <f ca="1">($D$110*(Calcs!Z242-Calcs!AG16))*Calcs!O16</f>
        <v>281641.58492855856</v>
      </c>
      <c r="D356" s="757">
        <f ca="1">Calcs!P293*Calcs!$C$2</f>
        <v>1296.562266920625</v>
      </c>
      <c r="E356" s="685">
        <f ca="1">D356*(Calcs!Z242-Calcs!AG16)*Calcs!O16</f>
        <v>76379.755458617685</v>
      </c>
      <c r="F356" s="740">
        <f t="shared" ca="1" si="121"/>
        <v>358021.34038717626</v>
      </c>
      <c r="G356" s="717"/>
      <c r="H356" s="758">
        <f t="shared" ca="1" si="122"/>
        <v>0.89570685923291049</v>
      </c>
      <c r="I356" s="744">
        <f t="shared" ca="1" si="123"/>
        <v>0.89570685923291049</v>
      </c>
      <c r="J356" s="760">
        <f t="shared" ca="1" si="124"/>
        <v>0.86221420098581136</v>
      </c>
      <c r="K356" s="539"/>
      <c r="L356" s="740">
        <f t="shared" ca="1" si="125"/>
        <v>81524.619120048126</v>
      </c>
      <c r="M356" s="717"/>
      <c r="AE356" s="423"/>
      <c r="AF356" s="90"/>
      <c r="AG356" s="90"/>
      <c r="AH356" s="90"/>
      <c r="AI356" s="17"/>
      <c r="AJ356" s="90"/>
      <c r="AK356" s="16"/>
      <c r="AL356" s="90"/>
      <c r="AM356" s="90"/>
      <c r="AN356" s="90"/>
      <c r="AO356" s="90"/>
      <c r="AP356" s="90"/>
      <c r="AQ356" s="90"/>
      <c r="AR356" s="90"/>
      <c r="AT356" s="19"/>
      <c r="AU356" s="97"/>
      <c r="AV356" s="19"/>
      <c r="AW356" s="19"/>
      <c r="AX356" s="19"/>
      <c r="AY356" s="19"/>
      <c r="AZ356" s="97"/>
      <c r="BA356" s="19"/>
      <c r="BB356" s="19"/>
      <c r="BC356" s="97"/>
      <c r="BD356" s="19"/>
      <c r="BE356" s="19"/>
      <c r="BF356" s="19"/>
      <c r="BG356" s="19"/>
      <c r="BH356" s="97"/>
      <c r="BI356" s="97"/>
      <c r="BJ356" s="97"/>
    </row>
    <row r="357" spans="1:62" s="91" customFormat="1" outlineLevel="1" x14ac:dyDescent="0.2">
      <c r="A357" s="212"/>
      <c r="B357" s="670" t="s">
        <v>178</v>
      </c>
      <c r="C357" s="683">
        <f ca="1">SUM(C345:C356)</f>
        <v>1479999.355869167</v>
      </c>
      <c r="D357" s="742"/>
      <c r="E357" s="683">
        <f ca="1">SUM(E345:E356)</f>
        <v>456481.40163394238</v>
      </c>
      <c r="F357" s="683">
        <f ca="1">SUM(F345:F356)</f>
        <v>1936480.7575031093</v>
      </c>
      <c r="L357" s="781">
        <f ca="1">SUM(L345:L356)</f>
        <v>289271.88125760102</v>
      </c>
      <c r="AE357" s="423"/>
      <c r="AF357" s="90"/>
      <c r="AG357" s="90"/>
      <c r="AH357" s="90"/>
      <c r="AI357" s="17"/>
      <c r="AJ357" s="90"/>
      <c r="AK357" s="16"/>
      <c r="AL357" s="90"/>
      <c r="AM357" s="90"/>
      <c r="AN357" s="90"/>
      <c r="AO357" s="90"/>
      <c r="AP357" s="90"/>
      <c r="AQ357" s="90"/>
      <c r="AR357" s="90"/>
      <c r="AT357" s="19"/>
      <c r="AU357" s="97"/>
      <c r="AV357" s="19"/>
      <c r="AW357" s="19"/>
      <c r="AX357" s="19"/>
      <c r="AY357" s="19"/>
      <c r="AZ357" s="97"/>
      <c r="BA357" s="19"/>
      <c r="BB357" s="19"/>
      <c r="BC357" s="97"/>
      <c r="BD357" s="19"/>
      <c r="BE357" s="19"/>
      <c r="BF357" s="19"/>
      <c r="BG357" s="19"/>
      <c r="BH357" s="97"/>
      <c r="BI357" s="97"/>
      <c r="BJ357" s="97"/>
    </row>
    <row r="358" spans="1:62" s="91" customFormat="1" outlineLevel="1" x14ac:dyDescent="0.2">
      <c r="A358" s="212"/>
      <c r="S358" s="423"/>
      <c r="AE358" s="423"/>
      <c r="AF358" s="90"/>
      <c r="AG358" s="90"/>
      <c r="AH358" s="90"/>
      <c r="AI358" s="17"/>
      <c r="AJ358" s="90"/>
      <c r="AK358" s="16"/>
      <c r="AL358" s="90"/>
      <c r="AM358" s="90"/>
      <c r="AN358" s="90"/>
      <c r="AO358" s="90"/>
      <c r="AP358" s="90"/>
      <c r="AQ358" s="90"/>
      <c r="AR358" s="90"/>
      <c r="AT358" s="19"/>
      <c r="AU358" s="97"/>
      <c r="AV358" s="19"/>
      <c r="AW358" s="19"/>
      <c r="AX358" s="19"/>
      <c r="AY358" s="19"/>
      <c r="AZ358" s="97"/>
      <c r="BA358" s="19"/>
      <c r="BB358" s="19"/>
      <c r="BC358" s="97"/>
      <c r="BD358" s="19"/>
      <c r="BE358" s="19"/>
      <c r="BF358" s="19"/>
      <c r="BG358" s="19"/>
      <c r="BH358" s="97"/>
      <c r="BI358" s="97"/>
      <c r="BJ358" s="97"/>
    </row>
    <row r="359" spans="1:62" s="91" customFormat="1" outlineLevel="1" x14ac:dyDescent="0.2">
      <c r="A359" s="212"/>
      <c r="B359" s="717"/>
      <c r="C359" s="717"/>
      <c r="D359" s="717"/>
      <c r="E359" s="717"/>
      <c r="F359" s="717"/>
      <c r="G359" s="717"/>
      <c r="H359" s="717"/>
      <c r="I359" s="717"/>
      <c r="J359" s="717"/>
      <c r="K359" s="717"/>
      <c r="L359" s="717"/>
      <c r="M359" s="717"/>
      <c r="S359" s="423"/>
      <c r="AE359" s="423"/>
      <c r="AF359" s="90"/>
      <c r="AG359" s="90"/>
      <c r="AH359" s="90"/>
      <c r="AI359" s="17"/>
      <c r="AJ359" s="90"/>
      <c r="AK359" s="16"/>
      <c r="AL359" s="90"/>
      <c r="AM359" s="90"/>
      <c r="AN359" s="90"/>
      <c r="AO359" s="90"/>
      <c r="AP359" s="90"/>
      <c r="AQ359" s="90"/>
      <c r="AR359" s="90"/>
      <c r="AT359" s="19"/>
      <c r="AU359" s="97"/>
      <c r="AV359" s="19"/>
      <c r="AW359" s="19"/>
      <c r="AX359" s="19"/>
      <c r="AY359" s="19"/>
      <c r="AZ359" s="97"/>
      <c r="BA359" s="19"/>
      <c r="BB359" s="19"/>
      <c r="BC359" s="97"/>
      <c r="BD359" s="19"/>
      <c r="BE359" s="19"/>
      <c r="BF359" s="19"/>
      <c r="BG359" s="19"/>
      <c r="BH359" s="97"/>
      <c r="BI359" s="97"/>
      <c r="BJ359" s="97"/>
    </row>
    <row r="360" spans="1:62" s="91" customFormat="1" outlineLevel="1" x14ac:dyDescent="0.2">
      <c r="A360" s="212"/>
      <c r="B360" s="761" t="s">
        <v>563</v>
      </c>
      <c r="C360" s="717"/>
      <c r="D360" s="717"/>
      <c r="E360" s="540"/>
      <c r="F360" s="540"/>
      <c r="G360" s="717"/>
      <c r="H360" s="717"/>
      <c r="I360" s="717"/>
      <c r="J360" s="717"/>
      <c r="K360" s="717"/>
      <c r="L360" s="717"/>
      <c r="M360" s="717"/>
      <c r="S360" s="423"/>
      <c r="AE360" s="423"/>
      <c r="AF360" s="90"/>
      <c r="AG360" s="90"/>
      <c r="AH360" s="90"/>
      <c r="AI360" s="17"/>
      <c r="AJ360" s="90"/>
      <c r="AK360" s="16"/>
      <c r="AL360" s="90"/>
      <c r="AM360" s="90"/>
      <c r="AN360" s="90"/>
      <c r="AO360" s="90"/>
      <c r="AP360" s="90"/>
      <c r="AQ360" s="90"/>
      <c r="AR360" s="90"/>
      <c r="AT360" s="19"/>
      <c r="AU360" s="97"/>
      <c r="AV360" s="19"/>
      <c r="AW360" s="19"/>
      <c r="AX360" s="19"/>
      <c r="AY360" s="19"/>
      <c r="AZ360" s="97"/>
      <c r="BA360" s="19"/>
      <c r="BB360" s="19"/>
      <c r="BC360" s="97"/>
      <c r="BD360" s="19"/>
      <c r="BE360" s="19"/>
      <c r="BF360" s="19"/>
      <c r="BG360" s="19"/>
      <c r="BH360" s="97"/>
      <c r="BI360" s="97"/>
      <c r="BJ360" s="97"/>
    </row>
    <row r="361" spans="1:62" s="91" customFormat="1" outlineLevel="1" x14ac:dyDescent="0.2">
      <c r="A361" s="212"/>
      <c r="B361" s="717"/>
      <c r="C361" s="692" t="s">
        <v>1004</v>
      </c>
      <c r="D361" s="717"/>
      <c r="E361" s="717"/>
      <c r="F361" s="717"/>
      <c r="G361" s="717"/>
      <c r="H361" s="717"/>
      <c r="I361" s="717"/>
      <c r="J361" s="717"/>
      <c r="K361" s="717"/>
      <c r="L361" s="717"/>
      <c r="M361" s="717"/>
      <c r="S361" s="423"/>
      <c r="AE361" s="423"/>
      <c r="AF361" s="90"/>
      <c r="AG361" s="90"/>
      <c r="AH361" s="90"/>
      <c r="AI361" s="17"/>
      <c r="AJ361" s="90"/>
      <c r="AK361" s="16"/>
      <c r="AL361" s="90"/>
      <c r="AM361" s="90"/>
      <c r="AN361" s="90"/>
      <c r="AO361" s="90"/>
      <c r="AP361" s="90"/>
      <c r="AQ361" s="90"/>
      <c r="AR361" s="90"/>
      <c r="AT361" s="19"/>
      <c r="AU361" s="97"/>
      <c r="AV361" s="19"/>
      <c r="AW361" s="19"/>
      <c r="AX361" s="19"/>
      <c r="AY361" s="19"/>
      <c r="AZ361" s="97"/>
      <c r="BA361" s="19"/>
      <c r="BB361" s="19"/>
      <c r="BC361" s="97"/>
      <c r="BD361" s="19"/>
      <c r="BE361" s="19"/>
      <c r="BF361" s="19"/>
      <c r="BG361" s="19"/>
      <c r="BH361" s="97"/>
      <c r="BI361" s="97"/>
      <c r="BJ361" s="97"/>
    </row>
    <row r="362" spans="1:62" s="91" customFormat="1" outlineLevel="1" x14ac:dyDescent="0.2">
      <c r="A362" s="212"/>
      <c r="B362" s="633" t="s">
        <v>1006</v>
      </c>
      <c r="C362" s="675">
        <v>0</v>
      </c>
      <c r="D362" s="717" t="s">
        <v>1010</v>
      </c>
      <c r="E362" s="717"/>
      <c r="F362" s="717"/>
      <c r="G362" s="717"/>
      <c r="H362" s="717"/>
      <c r="I362" s="717"/>
      <c r="J362" s="717"/>
      <c r="K362" s="717"/>
      <c r="L362" s="717"/>
      <c r="M362" s="717"/>
      <c r="S362" s="423"/>
      <c r="AE362" s="423"/>
      <c r="AF362" s="90"/>
      <c r="AG362" s="90"/>
      <c r="AH362" s="90"/>
      <c r="AI362" s="17"/>
      <c r="AJ362" s="90"/>
      <c r="AK362" s="16"/>
      <c r="AL362" s="90"/>
      <c r="AM362" s="90"/>
      <c r="AN362" s="90"/>
      <c r="AO362" s="90"/>
      <c r="AP362" s="90"/>
      <c r="AQ362" s="90"/>
      <c r="AR362" s="90"/>
      <c r="AT362" s="19"/>
      <c r="AU362" s="97"/>
      <c r="AV362" s="19"/>
      <c r="AW362" s="19"/>
      <c r="AX362" s="19"/>
      <c r="AY362" s="19"/>
      <c r="AZ362" s="97"/>
      <c r="BA362" s="19"/>
      <c r="BB362" s="19"/>
      <c r="BC362" s="97"/>
      <c r="BD362" s="19"/>
      <c r="BE362" s="19"/>
      <c r="BF362" s="19"/>
      <c r="BG362" s="19"/>
      <c r="BH362" s="97"/>
      <c r="BI362" s="97"/>
      <c r="BJ362" s="97"/>
    </row>
    <row r="363" spans="1:62" s="91" customFormat="1" outlineLevel="1" x14ac:dyDescent="0.2">
      <c r="A363" s="212"/>
      <c r="B363" s="633" t="s">
        <v>562</v>
      </c>
      <c r="C363" s="754">
        <v>1</v>
      </c>
      <c r="D363" s="717" t="s">
        <v>1008</v>
      </c>
      <c r="E363" s="717"/>
      <c r="F363" s="717"/>
      <c r="G363" s="717"/>
      <c r="H363" s="717"/>
      <c r="I363" s="717"/>
      <c r="J363" s="717"/>
      <c r="K363" s="717"/>
      <c r="L363" s="717"/>
      <c r="M363" s="717"/>
      <c r="S363" s="423"/>
      <c r="AE363" s="423"/>
      <c r="AF363" s="90"/>
      <c r="AG363" s="90"/>
      <c r="AH363" s="90"/>
      <c r="AI363" s="17"/>
      <c r="AJ363" s="90"/>
      <c r="AK363" s="16"/>
      <c r="AL363" s="90"/>
      <c r="AM363" s="90"/>
      <c r="AN363" s="90"/>
      <c r="AO363" s="90"/>
      <c r="AP363" s="90"/>
      <c r="AQ363" s="90"/>
      <c r="AR363" s="90"/>
      <c r="AT363" s="19"/>
      <c r="AU363" s="97"/>
      <c r="AV363" s="19"/>
      <c r="AW363" s="19"/>
      <c r="AX363" s="19"/>
      <c r="AY363" s="19"/>
      <c r="AZ363" s="97"/>
      <c r="BA363" s="19"/>
      <c r="BB363" s="19"/>
      <c r="BC363" s="97"/>
      <c r="BD363" s="19"/>
      <c r="BE363" s="19"/>
      <c r="BF363" s="19"/>
      <c r="BG363" s="19"/>
      <c r="BH363" s="97"/>
      <c r="BI363" s="97"/>
      <c r="BJ363" s="97"/>
    </row>
    <row r="364" spans="1:62" s="91" customFormat="1" outlineLevel="1" x14ac:dyDescent="0.2">
      <c r="A364" s="212"/>
      <c r="B364" s="633" t="s">
        <v>561</v>
      </c>
      <c r="C364" s="754">
        <f>15</f>
        <v>15</v>
      </c>
      <c r="D364" s="629" t="s">
        <v>1007</v>
      </c>
      <c r="E364" s="717"/>
      <c r="F364" s="717"/>
      <c r="G364" s="717"/>
      <c r="H364" s="717"/>
      <c r="I364" s="717"/>
      <c r="J364" s="717"/>
      <c r="K364" s="717"/>
      <c r="L364" s="717"/>
      <c r="M364" s="717"/>
      <c r="S364" s="423"/>
      <c r="AE364" s="423"/>
      <c r="AF364" s="90"/>
      <c r="AG364" s="90"/>
      <c r="AH364" s="90"/>
      <c r="AI364" s="17"/>
      <c r="AJ364" s="90"/>
      <c r="AK364" s="16"/>
      <c r="AL364" s="90"/>
      <c r="AM364" s="90"/>
      <c r="AN364" s="90"/>
      <c r="AO364" s="90"/>
      <c r="AP364" s="90"/>
      <c r="AQ364" s="90"/>
      <c r="AR364" s="90"/>
      <c r="AT364" s="19"/>
      <c r="AU364" s="97"/>
      <c r="AV364" s="19"/>
      <c r="AW364" s="19"/>
      <c r="AX364" s="19"/>
      <c r="AY364" s="19"/>
      <c r="AZ364" s="97"/>
      <c r="BA364" s="19"/>
      <c r="BB364" s="19"/>
      <c r="BC364" s="97"/>
      <c r="BD364" s="19"/>
      <c r="BE364" s="19"/>
      <c r="BF364" s="19"/>
      <c r="BG364" s="19"/>
      <c r="BH364" s="97"/>
      <c r="BI364" s="97"/>
      <c r="BJ364" s="97"/>
    </row>
    <row r="365" spans="1:62" s="91" customFormat="1" outlineLevel="1" x14ac:dyDescent="0.2">
      <c r="A365" s="212"/>
      <c r="B365" s="633" t="s">
        <v>574</v>
      </c>
      <c r="C365" s="755">
        <f>(K206+K208)/3600/(D110+C362)</f>
        <v>53.41627792386992</v>
      </c>
      <c r="D365" s="717"/>
      <c r="E365" s="717"/>
      <c r="F365" s="717"/>
      <c r="G365" s="717"/>
      <c r="H365" s="717"/>
      <c r="I365" s="717"/>
      <c r="J365" s="717"/>
      <c r="K365" s="717"/>
      <c r="L365" s="717"/>
      <c r="M365" s="717"/>
      <c r="S365" s="423"/>
      <c r="AE365" s="423"/>
      <c r="AF365" s="90"/>
      <c r="AG365" s="90"/>
      <c r="AH365" s="90"/>
      <c r="AI365" s="17"/>
      <c r="AJ365" s="90"/>
      <c r="AK365" s="16"/>
      <c r="AL365" s="90"/>
      <c r="AM365" s="90"/>
      <c r="AN365" s="90"/>
      <c r="AO365" s="90"/>
      <c r="AP365" s="90"/>
      <c r="AQ365" s="90"/>
      <c r="AR365" s="90"/>
      <c r="AT365" s="19"/>
      <c r="AU365" s="97"/>
      <c r="AV365" s="19"/>
      <c r="AW365" s="19"/>
      <c r="AX365" s="19"/>
      <c r="AY365" s="19"/>
      <c r="AZ365" s="97"/>
      <c r="BA365" s="19"/>
      <c r="BB365" s="19"/>
      <c r="BC365" s="97"/>
      <c r="BD365" s="19"/>
      <c r="BE365" s="19"/>
      <c r="BF365" s="19"/>
      <c r="BG365" s="19"/>
      <c r="BH365" s="97"/>
      <c r="BI365" s="97"/>
      <c r="BJ365" s="97"/>
    </row>
    <row r="366" spans="1:62" s="91" customFormat="1" outlineLevel="1" x14ac:dyDescent="0.2">
      <c r="A366" s="212"/>
      <c r="B366" s="633" t="s">
        <v>573</v>
      </c>
      <c r="C366" s="755">
        <f>C363+C365/C364</f>
        <v>4.5610851949246616</v>
      </c>
      <c r="D366" s="717"/>
      <c r="E366" s="717"/>
      <c r="F366" s="717"/>
      <c r="G366" s="717"/>
      <c r="H366" s="717"/>
      <c r="I366" s="717"/>
      <c r="J366" s="717"/>
      <c r="K366" s="717"/>
      <c r="L366" s="717"/>
      <c r="M366" s="717"/>
      <c r="S366" s="423"/>
      <c r="AE366" s="423"/>
      <c r="AF366" s="90"/>
      <c r="AG366" s="90"/>
      <c r="AH366" s="90"/>
      <c r="AI366" s="17"/>
      <c r="AJ366" s="90"/>
      <c r="AK366" s="16"/>
      <c r="AL366" s="90"/>
      <c r="AM366" s="90"/>
      <c r="AN366" s="90"/>
      <c r="AO366" s="90"/>
      <c r="AP366" s="90"/>
      <c r="AQ366" s="90"/>
      <c r="AR366" s="90"/>
      <c r="AT366" s="19"/>
      <c r="AU366" s="97"/>
      <c r="AV366" s="19"/>
      <c r="AW366" s="19"/>
      <c r="AX366" s="19"/>
      <c r="AY366" s="19"/>
      <c r="AZ366" s="97"/>
      <c r="BA366" s="19"/>
      <c r="BB366" s="19"/>
      <c r="BC366" s="97"/>
      <c r="BD366" s="19"/>
      <c r="BE366" s="19"/>
      <c r="BF366" s="19"/>
      <c r="BG366" s="19"/>
      <c r="BH366" s="97"/>
      <c r="BI366" s="97"/>
      <c r="BJ366" s="97"/>
    </row>
    <row r="367" spans="1:62" s="91" customFormat="1" outlineLevel="1" x14ac:dyDescent="0.2">
      <c r="A367" s="212"/>
      <c r="B367" s="717"/>
      <c r="C367" s="717"/>
      <c r="D367" s="717"/>
      <c r="E367" s="717"/>
      <c r="F367" s="717"/>
      <c r="G367" s="717"/>
      <c r="H367" s="717"/>
      <c r="I367" s="717"/>
      <c r="J367" s="717"/>
      <c r="K367" s="717"/>
      <c r="L367" s="717"/>
      <c r="M367" s="717"/>
      <c r="S367" s="423"/>
      <c r="AE367" s="423"/>
      <c r="AF367" s="90"/>
      <c r="AG367" s="90"/>
      <c r="AH367" s="90"/>
      <c r="AI367" s="17"/>
      <c r="AJ367" s="90"/>
      <c r="AK367" s="16"/>
      <c r="AL367" s="90"/>
      <c r="AM367" s="90"/>
      <c r="AN367" s="90"/>
      <c r="AO367" s="90"/>
      <c r="AP367" s="90"/>
      <c r="AQ367" s="90"/>
      <c r="AR367" s="90"/>
      <c r="AT367" s="19"/>
      <c r="AU367" s="97"/>
      <c r="AV367" s="19"/>
      <c r="AW367" s="19"/>
      <c r="AX367" s="19"/>
      <c r="AY367" s="19"/>
      <c r="AZ367" s="97"/>
      <c r="BA367" s="19"/>
      <c r="BB367" s="19"/>
      <c r="BC367" s="97"/>
      <c r="BD367" s="19"/>
      <c r="BE367" s="19"/>
      <c r="BF367" s="19"/>
      <c r="BG367" s="19"/>
      <c r="BH367" s="97"/>
      <c r="BI367" s="97"/>
      <c r="BJ367" s="97"/>
    </row>
    <row r="368" spans="1:62" s="91" customFormat="1" outlineLevel="1" x14ac:dyDescent="0.2">
      <c r="A368" s="212"/>
      <c r="B368" s="717"/>
      <c r="C368" s="756" t="s">
        <v>499</v>
      </c>
      <c r="D368" s="756" t="s">
        <v>500</v>
      </c>
      <c r="E368" s="629"/>
      <c r="F368" s="674" t="s">
        <v>498</v>
      </c>
      <c r="G368" s="717"/>
      <c r="H368" s="629"/>
      <c r="I368" s="717"/>
      <c r="J368" s="717"/>
      <c r="K368" s="684" t="s">
        <v>564</v>
      </c>
      <c r="L368" s="684"/>
      <c r="M368" s="717"/>
      <c r="S368" s="423"/>
      <c r="AE368" s="423"/>
      <c r="AF368" s="90"/>
      <c r="AG368" s="90"/>
      <c r="AH368" s="90"/>
      <c r="AI368" s="17"/>
      <c r="AJ368" s="90"/>
      <c r="AK368" s="16"/>
      <c r="AL368" s="90"/>
      <c r="AM368" s="90"/>
      <c r="AN368" s="90"/>
      <c r="AO368" s="90"/>
      <c r="AP368" s="90"/>
      <c r="AQ368" s="90"/>
      <c r="AR368" s="90"/>
      <c r="AT368" s="19"/>
      <c r="AU368" s="97"/>
      <c r="AV368" s="19"/>
      <c r="AW368" s="19"/>
      <c r="AX368" s="19"/>
      <c r="AY368" s="19"/>
      <c r="AZ368" s="97"/>
      <c r="BA368" s="19"/>
      <c r="BB368" s="19"/>
      <c r="BC368" s="97"/>
      <c r="BD368" s="19"/>
      <c r="BE368" s="19"/>
      <c r="BF368" s="19"/>
      <c r="BG368" s="19"/>
      <c r="BH368" s="97"/>
      <c r="BI368" s="97"/>
      <c r="BJ368" s="97"/>
    </row>
    <row r="369" spans="1:62" s="91" customFormat="1" ht="14.25" outlineLevel="1" x14ac:dyDescent="0.25">
      <c r="A369" s="212"/>
      <c r="B369" s="717"/>
      <c r="C369" s="629"/>
      <c r="D369" s="633"/>
      <c r="E369" s="629"/>
      <c r="F369" s="629"/>
      <c r="G369" s="717"/>
      <c r="H369" s="674" t="s">
        <v>570</v>
      </c>
      <c r="I369" s="756" t="s">
        <v>569</v>
      </c>
      <c r="J369" s="629"/>
      <c r="K369" s="629"/>
      <c r="L369" s="759" t="s">
        <v>565</v>
      </c>
      <c r="M369" s="717"/>
      <c r="S369" s="423"/>
      <c r="AE369" s="423"/>
      <c r="AF369" s="90"/>
      <c r="AG369" s="90"/>
      <c r="AH369" s="90"/>
      <c r="AI369" s="17"/>
      <c r="AJ369" s="90"/>
      <c r="AK369" s="16"/>
      <c r="AL369" s="90"/>
      <c r="AM369" s="90"/>
      <c r="AN369" s="90"/>
      <c r="AO369" s="90"/>
      <c r="AP369" s="90"/>
      <c r="AQ369" s="90"/>
      <c r="AR369" s="90"/>
      <c r="AT369" s="19"/>
      <c r="AU369" s="97"/>
      <c r="AV369" s="19"/>
      <c r="AW369" s="19"/>
      <c r="AX369" s="19"/>
      <c r="AY369" s="19"/>
      <c r="AZ369" s="97"/>
      <c r="BA369" s="19"/>
      <c r="BB369" s="19"/>
      <c r="BC369" s="97"/>
      <c r="BD369" s="19"/>
      <c r="BE369" s="19"/>
      <c r="BF369" s="19"/>
      <c r="BG369" s="19"/>
      <c r="BH369" s="97"/>
      <c r="BI369" s="97"/>
      <c r="BJ369" s="97"/>
    </row>
    <row r="370" spans="1:62" s="91" customFormat="1" ht="14.25" outlineLevel="1" x14ac:dyDescent="0.25">
      <c r="A370" s="212"/>
      <c r="B370" s="717"/>
      <c r="C370" s="629" t="s">
        <v>508</v>
      </c>
      <c r="D370" s="629" t="s">
        <v>137</v>
      </c>
      <c r="E370" s="629" t="s">
        <v>568</v>
      </c>
      <c r="F370" s="633" t="s">
        <v>567</v>
      </c>
      <c r="G370" s="717"/>
      <c r="H370" s="633" t="s">
        <v>572</v>
      </c>
      <c r="I370" s="717"/>
      <c r="J370" s="633" t="s">
        <v>571</v>
      </c>
      <c r="K370" s="629"/>
      <c r="L370" s="759" t="s">
        <v>566</v>
      </c>
      <c r="M370" s="717"/>
      <c r="S370" s="423"/>
      <c r="AE370" s="423"/>
      <c r="AF370" s="90"/>
      <c r="AG370" s="90"/>
      <c r="AH370" s="90"/>
      <c r="AI370" s="17"/>
      <c r="AJ370" s="90"/>
      <c r="AK370" s="16"/>
      <c r="AL370" s="90"/>
      <c r="AM370" s="90"/>
      <c r="AN370" s="90"/>
      <c r="AO370" s="90"/>
      <c r="AP370" s="90"/>
      <c r="AQ370" s="90"/>
      <c r="AR370" s="90"/>
      <c r="AT370" s="19"/>
      <c r="AU370" s="97"/>
      <c r="AV370" s="19"/>
      <c r="AW370" s="19"/>
      <c r="AX370" s="19"/>
      <c r="AY370" s="19"/>
      <c r="AZ370" s="97"/>
      <c r="BA370" s="19"/>
      <c r="BB370" s="19"/>
      <c r="BC370" s="97"/>
      <c r="BD370" s="19"/>
      <c r="BE370" s="19"/>
      <c r="BF370" s="19"/>
      <c r="BG370" s="19"/>
      <c r="BH370" s="97"/>
      <c r="BI370" s="97"/>
      <c r="BJ370" s="97"/>
    </row>
    <row r="371" spans="1:62" s="91" customFormat="1" outlineLevel="1" x14ac:dyDescent="0.2">
      <c r="A371" s="212"/>
      <c r="B371" s="633" t="s">
        <v>114</v>
      </c>
      <c r="C371" s="685">
        <f ca="1">($D$110*(Calcs!Z259-Calcs!AG5))*Calcs!O5</f>
        <v>369366.21139375865</v>
      </c>
      <c r="D371" s="757">
        <f ca="1">Calcs!P296*Calcs!$C$2</f>
        <v>1488.4623234803955</v>
      </c>
      <c r="E371" s="685">
        <f ca="1">D371*(Calcs!Z259-Calcs!AG5)*Calcs!O5</f>
        <v>114996.10121989895</v>
      </c>
      <c r="F371" s="757">
        <f t="shared" ref="F371:F382" ca="1" si="126">C371+E371</f>
        <v>484362.31261365762</v>
      </c>
      <c r="G371" s="633" t="s">
        <v>114</v>
      </c>
      <c r="H371" s="762">
        <f t="shared" ref="H371:H382" ca="1" si="127">IF(H313=0,9999,F371/H313)</f>
        <v>1.4804212250358426</v>
      </c>
      <c r="I371" s="633" t="s">
        <v>114</v>
      </c>
      <c r="J371" s="763">
        <f t="shared" ref="J371:J382" ca="1" si="128">IF(H371&lt;0,1,(1-H371^$C$366)/(1-H371^($C$366+1)))</f>
        <v>0.63420634376485618</v>
      </c>
      <c r="K371" s="633" t="s">
        <v>114</v>
      </c>
      <c r="L371" s="685">
        <f t="shared" ref="L371:L382" ca="1" si="129">H313-J371*F371</f>
        <v>19993.062678800605</v>
      </c>
      <c r="M371" s="717"/>
      <c r="S371" s="423"/>
      <c r="AE371" s="423"/>
      <c r="AF371" s="90"/>
      <c r="AG371" s="90"/>
      <c r="AH371" s="90"/>
      <c r="AI371" s="17"/>
      <c r="AJ371" s="90"/>
      <c r="AK371" s="16"/>
      <c r="AL371" s="90"/>
      <c r="AM371" s="90"/>
      <c r="AN371" s="90"/>
      <c r="AO371" s="90"/>
      <c r="AP371" s="90"/>
      <c r="AQ371" s="90"/>
      <c r="AR371" s="90"/>
      <c r="AT371" s="19"/>
      <c r="AU371" s="97"/>
      <c r="AV371" s="19"/>
      <c r="AW371" s="19"/>
      <c r="AX371" s="19"/>
      <c r="AY371" s="19"/>
      <c r="AZ371" s="97"/>
      <c r="BA371" s="19"/>
      <c r="BB371" s="19"/>
      <c r="BC371" s="97"/>
      <c r="BD371" s="19"/>
      <c r="BE371" s="19"/>
      <c r="BF371" s="19"/>
      <c r="BG371" s="19"/>
      <c r="BH371" s="97"/>
      <c r="BI371" s="97"/>
      <c r="BJ371" s="97"/>
    </row>
    <row r="372" spans="1:62" s="91" customFormat="1" outlineLevel="1" x14ac:dyDescent="0.2">
      <c r="A372" s="212"/>
      <c r="B372" s="633" t="s">
        <v>115</v>
      </c>
      <c r="C372" s="685">
        <f ca="1">($D$110*(Calcs!Z260-Calcs!AG6))*Calcs!O6</f>
        <v>309149.88359472004</v>
      </c>
      <c r="D372" s="757">
        <f ca="1">Calcs!P297*Calcs!$C$2</f>
        <v>1548.1251533445934</v>
      </c>
      <c r="E372" s="685">
        <f ca="1">D372*(Calcs!Z260-Calcs!AG6)*Calcs!O6</f>
        <v>100106.72641575211</v>
      </c>
      <c r="F372" s="757">
        <f t="shared" ca="1" si="126"/>
        <v>409256.61001047213</v>
      </c>
      <c r="G372" s="633" t="s">
        <v>115</v>
      </c>
      <c r="H372" s="762">
        <f t="shared" ca="1" si="127"/>
        <v>1.3224514781269956</v>
      </c>
      <c r="I372" s="633" t="s">
        <v>115</v>
      </c>
      <c r="J372" s="763">
        <f t="shared" ca="1" si="128"/>
        <v>0.69082890724967283</v>
      </c>
      <c r="K372" s="633" t="s">
        <v>115</v>
      </c>
      <c r="L372" s="685">
        <f t="shared" ca="1" si="129"/>
        <v>26741.851514317794</v>
      </c>
      <c r="M372" s="717"/>
      <c r="S372" s="423"/>
      <c r="AE372" s="423"/>
      <c r="AF372" s="90"/>
      <c r="AG372" s="90"/>
      <c r="AH372" s="90"/>
      <c r="AI372" s="17"/>
      <c r="AJ372" s="90"/>
      <c r="AK372" s="16"/>
      <c r="AL372" s="90"/>
      <c r="AM372" s="90"/>
      <c r="AN372" s="90"/>
      <c r="AO372" s="90"/>
      <c r="AP372" s="90"/>
      <c r="AQ372" s="90"/>
      <c r="AR372" s="90"/>
      <c r="AT372" s="19"/>
      <c r="AU372" s="97"/>
      <c r="AV372" s="19"/>
      <c r="AW372" s="19"/>
      <c r="AX372" s="19"/>
      <c r="AY372" s="19"/>
      <c r="AZ372" s="97"/>
      <c r="BA372" s="19"/>
      <c r="BB372" s="19"/>
      <c r="BC372" s="97"/>
      <c r="BD372" s="19"/>
      <c r="BE372" s="19"/>
      <c r="BF372" s="19"/>
      <c r="BG372" s="19"/>
      <c r="BH372" s="97"/>
      <c r="BI372" s="97"/>
      <c r="BJ372" s="97"/>
    </row>
    <row r="373" spans="1:62" s="91" customFormat="1" outlineLevel="1" x14ac:dyDescent="0.2">
      <c r="B373" s="633" t="s">
        <v>116</v>
      </c>
      <c r="C373" s="685">
        <f ca="1">($D$110*(Calcs!Z261-Calcs!AG7))*Calcs!O7</f>
        <v>260906.52964104005</v>
      </c>
      <c r="D373" s="757">
        <f ca="1">Calcs!P298*Calcs!$C$2</f>
        <v>1677.9133334912103</v>
      </c>
      <c r="E373" s="685">
        <f ca="1">D373*(Calcs!Z261-Calcs!AG7)*Calcs!O7</f>
        <v>91567.757600615732</v>
      </c>
      <c r="F373" s="757">
        <f t="shared" ca="1" si="126"/>
        <v>352474.28724165575</v>
      </c>
      <c r="G373" s="633" t="s">
        <v>116</v>
      </c>
      <c r="H373" s="762">
        <f t="shared" ca="1" si="127"/>
        <v>0.98872461971116987</v>
      </c>
      <c r="I373" s="633" t="s">
        <v>116</v>
      </c>
      <c r="J373" s="763">
        <f t="shared" ca="1" si="128"/>
        <v>0.8247976424610447</v>
      </c>
      <c r="K373" s="633" t="s">
        <v>116</v>
      </c>
      <c r="L373" s="685">
        <f t="shared" ca="1" si="129"/>
        <v>65773.930293212412</v>
      </c>
      <c r="M373" s="717"/>
      <c r="S373" s="423"/>
      <c r="AE373" s="423"/>
      <c r="AF373" s="90"/>
      <c r="AG373" s="90"/>
      <c r="AH373" s="90"/>
      <c r="AI373" s="17"/>
      <c r="AJ373" s="90"/>
      <c r="AK373" s="16"/>
      <c r="AL373" s="90"/>
      <c r="AM373" s="90"/>
      <c r="AN373" s="90"/>
      <c r="AO373" s="90"/>
      <c r="AP373" s="90"/>
      <c r="AQ373" s="90"/>
      <c r="AR373" s="90"/>
      <c r="AT373" s="19"/>
      <c r="AU373" s="97"/>
      <c r="AV373" s="19"/>
      <c r="AW373" s="19"/>
      <c r="AX373" s="19"/>
      <c r="AY373" s="19"/>
      <c r="AZ373" s="97"/>
      <c r="BA373" s="19"/>
      <c r="BB373" s="19"/>
      <c r="BC373" s="97"/>
      <c r="BD373" s="19"/>
      <c r="BE373" s="19"/>
      <c r="BF373" s="19"/>
      <c r="BG373" s="19"/>
      <c r="BH373" s="97"/>
      <c r="BI373" s="97"/>
      <c r="BJ373" s="97"/>
    </row>
    <row r="374" spans="1:62" s="91" customFormat="1" outlineLevel="1" x14ac:dyDescent="0.2">
      <c r="B374" s="633" t="s">
        <v>117</v>
      </c>
      <c r="C374" s="685">
        <f ca="1">($D$110*(Calcs!Z262-Calcs!AG8))*Calcs!O8</f>
        <v>176729.36391979185</v>
      </c>
      <c r="D374" s="757">
        <f ca="1">Calcs!P299*Calcs!$C$2</f>
        <v>1459.3206777394557</v>
      </c>
      <c r="E374" s="685">
        <f ca="1">D374*(Calcs!Z262-Calcs!AG8)*Calcs!O8</f>
        <v>53944.547699391369</v>
      </c>
      <c r="F374" s="757">
        <f t="shared" ca="1" si="126"/>
        <v>230673.91161918323</v>
      </c>
      <c r="G374" s="633" t="s">
        <v>117</v>
      </c>
      <c r="H374" s="762">
        <f t="shared" ca="1" si="127"/>
        <v>0.6524766621533814</v>
      </c>
      <c r="I374" s="633" t="s">
        <v>117</v>
      </c>
      <c r="J374" s="763">
        <f t="shared" ca="1" si="128"/>
        <v>0.94534596238099122</v>
      </c>
      <c r="K374" s="633" t="s">
        <v>117</v>
      </c>
      <c r="L374" s="685">
        <f t="shared" ca="1" si="129"/>
        <v>135469.23007451938</v>
      </c>
      <c r="M374" s="717"/>
      <c r="S374" s="423"/>
      <c r="AE374" s="423"/>
      <c r="AF374" s="90"/>
      <c r="AG374" s="90"/>
      <c r="AH374" s="90"/>
      <c r="AI374" s="17"/>
      <c r="AJ374" s="90"/>
      <c r="AK374" s="16"/>
      <c r="AL374" s="90"/>
      <c r="AM374" s="90"/>
      <c r="AN374" s="90"/>
      <c r="AO374" s="90"/>
      <c r="AP374" s="90"/>
      <c r="AQ374" s="90"/>
      <c r="AR374" s="90"/>
      <c r="AT374" s="19"/>
      <c r="AU374" s="97"/>
      <c r="AV374" s="19"/>
      <c r="AW374" s="19"/>
      <c r="AX374" s="19"/>
      <c r="AY374" s="19"/>
      <c r="AZ374" s="97"/>
      <c r="BA374" s="19"/>
      <c r="BB374" s="19"/>
      <c r="BC374" s="97"/>
      <c r="BD374" s="19"/>
      <c r="BE374" s="19"/>
      <c r="BF374" s="19"/>
      <c r="BG374" s="19"/>
      <c r="BH374" s="97"/>
      <c r="BI374" s="97"/>
      <c r="BJ374" s="97"/>
    </row>
    <row r="375" spans="1:62" s="91" customFormat="1" outlineLevel="1" x14ac:dyDescent="0.2">
      <c r="B375" s="633" t="s">
        <v>118</v>
      </c>
      <c r="C375" s="685">
        <f ca="1">($D$110*(Calcs!Z263-Calcs!AG9))*Calcs!O9</f>
        <v>117642.11681136985</v>
      </c>
      <c r="D375" s="757">
        <f ca="1">Calcs!P300*Calcs!$C$2</f>
        <v>1119.1097804266685</v>
      </c>
      <c r="E375" s="685">
        <f ca="1">D375*(Calcs!Z263-Calcs!AG9)*Calcs!O9</f>
        <v>27537.444015264453</v>
      </c>
      <c r="F375" s="757">
        <f t="shared" ca="1" si="126"/>
        <v>145179.56082663429</v>
      </c>
      <c r="G375" s="633" t="s">
        <v>118</v>
      </c>
      <c r="H375" s="762">
        <f t="shared" ca="1" si="127"/>
        <v>0.37380622223673404</v>
      </c>
      <c r="I375" s="633" t="s">
        <v>118</v>
      </c>
      <c r="J375" s="763">
        <f t="shared" ca="1" si="128"/>
        <v>0.99293126217498162</v>
      </c>
      <c r="K375" s="633" t="s">
        <v>118</v>
      </c>
      <c r="L375" s="685">
        <f t="shared" ca="1" si="129"/>
        <v>244228.54868128465</v>
      </c>
      <c r="M375" s="717"/>
      <c r="S375" s="423"/>
      <c r="AE375" s="423"/>
      <c r="AF375" s="90"/>
      <c r="AG375" s="90"/>
      <c r="AH375" s="90"/>
      <c r="AI375" s="17"/>
      <c r="AJ375" s="90"/>
      <c r="AK375" s="16"/>
      <c r="AL375" s="90"/>
      <c r="AM375" s="90"/>
      <c r="AN375" s="90"/>
      <c r="AO375" s="90"/>
      <c r="AP375" s="90"/>
      <c r="AQ375" s="90"/>
      <c r="AR375" s="90"/>
      <c r="AT375" s="19"/>
      <c r="AU375" s="97"/>
      <c r="AV375" s="19"/>
      <c r="AW375" s="19"/>
      <c r="AX375" s="19"/>
      <c r="AY375" s="19"/>
      <c r="AZ375" s="97"/>
      <c r="BA375" s="19"/>
      <c r="BB375" s="19"/>
      <c r="BC375" s="97"/>
      <c r="BD375" s="19"/>
      <c r="BE375" s="19"/>
      <c r="BF375" s="19"/>
      <c r="BG375" s="19"/>
      <c r="BH375" s="97"/>
      <c r="BI375" s="97"/>
      <c r="BJ375" s="97"/>
    </row>
    <row r="376" spans="1:62" s="91" customFormat="1" outlineLevel="1" x14ac:dyDescent="0.2">
      <c r="B376" s="633" t="s">
        <v>119</v>
      </c>
      <c r="C376" s="685">
        <f ca="1">($D$110*(Calcs!Z264-Calcs!AG10))*Calcs!O10</f>
        <v>48663.525160591889</v>
      </c>
      <c r="D376" s="757">
        <f ca="1">Calcs!P301*Calcs!$C$2</f>
        <v>1458.3074667012318</v>
      </c>
      <c r="E376" s="685">
        <f ca="1">D376*(Calcs!Z264-Calcs!AG10)*Calcs!O10</f>
        <v>14843.652229465069</v>
      </c>
      <c r="F376" s="757">
        <f t="shared" ca="1" si="126"/>
        <v>63507.177390056961</v>
      </c>
      <c r="G376" s="633" t="s">
        <v>119</v>
      </c>
      <c r="H376" s="762">
        <f t="shared" ca="1" si="127"/>
        <v>0.1674146546483124</v>
      </c>
      <c r="I376" s="633" t="s">
        <v>119</v>
      </c>
      <c r="J376" s="763">
        <f t="shared" ca="1" si="128"/>
        <v>0.99976005836763648</v>
      </c>
      <c r="K376" s="633" t="s">
        <v>119</v>
      </c>
      <c r="L376" s="685">
        <f t="shared" ca="1" si="129"/>
        <v>315848.67165808054</v>
      </c>
      <c r="M376" s="717"/>
      <c r="S376" s="423"/>
      <c r="AE376" s="423"/>
      <c r="AF376" s="90"/>
      <c r="AG376" s="90"/>
      <c r="AH376" s="90"/>
      <c r="AI376" s="17"/>
      <c r="AJ376" s="90"/>
      <c r="AK376" s="16"/>
      <c r="AL376" s="90"/>
      <c r="AM376" s="90"/>
      <c r="AN376" s="90"/>
      <c r="AO376" s="90"/>
      <c r="AP376" s="90"/>
      <c r="AQ376" s="90"/>
      <c r="AR376" s="90"/>
      <c r="AT376" s="19"/>
      <c r="AU376" s="97"/>
      <c r="AV376" s="19"/>
      <c r="AW376" s="19"/>
      <c r="AX376" s="19"/>
      <c r="AY376" s="19"/>
      <c r="AZ376" s="97"/>
      <c r="BA376" s="19"/>
      <c r="BB376" s="19"/>
      <c r="BC376" s="97"/>
      <c r="BD376" s="19"/>
      <c r="BE376" s="19"/>
      <c r="BF376" s="19"/>
      <c r="BG376" s="19"/>
      <c r="BH376" s="97"/>
      <c r="BI376" s="97"/>
      <c r="BJ376" s="97"/>
    </row>
    <row r="377" spans="1:62" s="91" customFormat="1" outlineLevel="1" x14ac:dyDescent="0.2">
      <c r="B377" s="633" t="s">
        <v>120</v>
      </c>
      <c r="C377" s="685">
        <f ca="1">($D$110*(Calcs!Z265-Calcs!AG11))*Calcs!O11</f>
        <v>13763.914217072897</v>
      </c>
      <c r="D377" s="757">
        <f ca="1">Calcs!P302*Calcs!$C$2</f>
        <v>1253.2047983455545</v>
      </c>
      <c r="E377" s="685">
        <f ca="1">D377*(Calcs!Z265-Calcs!AG11)*Calcs!O11</f>
        <v>3607.8802290361054</v>
      </c>
      <c r="F377" s="757">
        <f t="shared" ca="1" si="126"/>
        <v>17371.794446109001</v>
      </c>
      <c r="G377" s="633" t="s">
        <v>120</v>
      </c>
      <c r="H377" s="762">
        <f t="shared" ca="1" si="127"/>
        <v>4.4278537863758273E-2</v>
      </c>
      <c r="I377" s="633" t="s">
        <v>120</v>
      </c>
      <c r="J377" s="763">
        <f t="shared" ca="1" si="128"/>
        <v>0.99999936099607556</v>
      </c>
      <c r="K377" s="633" t="s">
        <v>120</v>
      </c>
      <c r="L377" s="685">
        <f t="shared" ca="1" si="129"/>
        <v>374958.11922631238</v>
      </c>
      <c r="M377" s="717"/>
      <c r="S377" s="423"/>
      <c r="AE377" s="423"/>
      <c r="AF377" s="90"/>
      <c r="AG377" s="90"/>
      <c r="AH377" s="90"/>
      <c r="AI377" s="17"/>
      <c r="AJ377" s="90"/>
      <c r="AK377" s="16"/>
      <c r="AL377" s="90"/>
      <c r="AM377" s="90"/>
      <c r="AN377" s="90"/>
      <c r="AO377" s="90"/>
      <c r="AP377" s="90"/>
      <c r="AQ377" s="90"/>
      <c r="AR377" s="90"/>
      <c r="AT377" s="19"/>
      <c r="AU377" s="97"/>
      <c r="AV377" s="19"/>
      <c r="AW377" s="19"/>
      <c r="AX377" s="19"/>
      <c r="AY377" s="19"/>
      <c r="AZ377" s="97"/>
      <c r="BA377" s="19"/>
      <c r="BB377" s="19"/>
      <c r="BC377" s="97"/>
      <c r="BD377" s="19"/>
      <c r="BE377" s="19"/>
      <c r="BF377" s="19"/>
      <c r="BG377" s="19"/>
      <c r="BH377" s="97"/>
      <c r="BI377" s="97"/>
      <c r="BJ377" s="97"/>
    </row>
    <row r="378" spans="1:62" s="91" customFormat="1" outlineLevel="1" x14ac:dyDescent="0.2">
      <c r="B378" s="633" t="s">
        <v>121</v>
      </c>
      <c r="C378" s="685">
        <f ca="1">($D$110*(Calcs!Z266-Calcs!AG12))*Calcs!O12</f>
        <v>41752.573839215547</v>
      </c>
      <c r="D378" s="757">
        <f ca="1">Calcs!P303*Calcs!$C$2</f>
        <v>1140.7961132031337</v>
      </c>
      <c r="E378" s="685">
        <f ca="1">D378*(Calcs!Z266-Calcs!AG12)*Calcs!O12</f>
        <v>9962.7536380732563</v>
      </c>
      <c r="F378" s="757">
        <f t="shared" ca="1" si="126"/>
        <v>51715.327477288803</v>
      </c>
      <c r="G378" s="633" t="s">
        <v>121</v>
      </c>
      <c r="H378" s="762">
        <f t="shared" ca="1" si="127"/>
        <v>0.13655226982794286</v>
      </c>
      <c r="I378" s="633" t="s">
        <v>121</v>
      </c>
      <c r="J378" s="763">
        <f t="shared" ca="1" si="128"/>
        <v>0.99990176471230374</v>
      </c>
      <c r="K378" s="633" t="s">
        <v>121</v>
      </c>
      <c r="L378" s="685">
        <f t="shared" ca="1" si="129"/>
        <v>327011.59712719626</v>
      </c>
      <c r="M378" s="717"/>
      <c r="S378" s="423"/>
      <c r="AE378" s="423"/>
      <c r="AF378" s="90"/>
      <c r="AG378" s="90"/>
      <c r="AH378" s="90"/>
      <c r="AI378" s="17"/>
      <c r="AJ378" s="90"/>
      <c r="AK378" s="16"/>
      <c r="AL378" s="90"/>
      <c r="AM378" s="90"/>
      <c r="AN378" s="90"/>
      <c r="AO378" s="90"/>
      <c r="AP378" s="90"/>
      <c r="AQ378" s="90"/>
      <c r="AR378" s="90"/>
      <c r="AT378" s="19"/>
      <c r="AU378" s="97"/>
      <c r="AV378" s="19"/>
      <c r="AW378" s="19"/>
      <c r="AX378" s="19"/>
      <c r="AY378" s="19"/>
      <c r="AZ378" s="97"/>
      <c r="BA378" s="19"/>
      <c r="BB378" s="19"/>
      <c r="BC378" s="97"/>
      <c r="BD378" s="19"/>
      <c r="BE378" s="19"/>
      <c r="BF378" s="19"/>
      <c r="BG378" s="19"/>
      <c r="BH378" s="97"/>
      <c r="BI378" s="97"/>
      <c r="BJ378" s="97"/>
    </row>
    <row r="379" spans="1:62" s="91" customFormat="1" outlineLevel="1" x14ac:dyDescent="0.2">
      <c r="B379" s="633" t="s">
        <v>122</v>
      </c>
      <c r="C379" s="685">
        <f ca="1">($D$110*(Calcs!Z267-Calcs!AG13))*Calcs!O13</f>
        <v>81293.392143218924</v>
      </c>
      <c r="D379" s="757">
        <f ca="1">Calcs!P304*Calcs!$C$2</f>
        <v>1023.3114022841758</v>
      </c>
      <c r="E379" s="685">
        <f ca="1">D379*(Calcs!Z267-Calcs!AG13)*Calcs!O13</f>
        <v>17400.076778143444</v>
      </c>
      <c r="F379" s="757">
        <f t="shared" ca="1" si="126"/>
        <v>98693.468921362364</v>
      </c>
      <c r="G379" s="633" t="s">
        <v>122</v>
      </c>
      <c r="H379" s="762">
        <f t="shared" ca="1" si="127"/>
        <v>0.27712287315773471</v>
      </c>
      <c r="I379" s="633" t="s">
        <v>122</v>
      </c>
      <c r="J379" s="763">
        <f t="shared" ca="1" si="128"/>
        <v>0.99792321602274559</v>
      </c>
      <c r="K379" s="633" t="s">
        <v>122</v>
      </c>
      <c r="L379" s="685">
        <f t="shared" ca="1" si="129"/>
        <v>257647.63093070654</v>
      </c>
      <c r="M379" s="717"/>
      <c r="S379" s="423"/>
      <c r="AE379" s="423"/>
      <c r="AF379" s="90"/>
      <c r="AG379" s="90"/>
      <c r="AH379" s="90"/>
      <c r="AI379" s="17"/>
      <c r="AJ379" s="90"/>
      <c r="AK379" s="16"/>
      <c r="AL379" s="90"/>
      <c r="AM379" s="90"/>
      <c r="AN379" s="90"/>
      <c r="AO379" s="90"/>
      <c r="AP379" s="90"/>
      <c r="AQ379" s="90"/>
      <c r="AR379" s="90"/>
      <c r="AT379" s="19"/>
      <c r="AU379" s="97"/>
      <c r="AV379" s="19"/>
      <c r="AW379" s="19"/>
      <c r="AX379" s="19"/>
      <c r="AY379" s="19"/>
      <c r="AZ379" s="97"/>
      <c r="BA379" s="19"/>
      <c r="BB379" s="19"/>
      <c r="BC379" s="97"/>
      <c r="BD379" s="19"/>
      <c r="BE379" s="19"/>
      <c r="BF379" s="19"/>
      <c r="BG379" s="19"/>
      <c r="BH379" s="97"/>
      <c r="BI379" s="97"/>
      <c r="BJ379" s="97"/>
    </row>
    <row r="380" spans="1:62" s="91" customFormat="1" outlineLevel="1" x14ac:dyDescent="0.2">
      <c r="B380" s="633" t="s">
        <v>123</v>
      </c>
      <c r="C380" s="685">
        <f ca="1">($D$110*(Calcs!Z268-Calcs!AG14))*Calcs!O14</f>
        <v>169244.15712904802</v>
      </c>
      <c r="D380" s="757">
        <f ca="1">Calcs!P305*Calcs!$C$2</f>
        <v>1440.8007182934825</v>
      </c>
      <c r="E380" s="685">
        <f ca="1">D380*(Calcs!Z268-Calcs!AG14)*Calcs!O14</f>
        <v>51004.172531503093</v>
      </c>
      <c r="F380" s="757">
        <f t="shared" ca="1" si="126"/>
        <v>220248.3296605511</v>
      </c>
      <c r="G380" s="633" t="s">
        <v>123</v>
      </c>
      <c r="H380" s="762">
        <f t="shared" ca="1" si="127"/>
        <v>0.6278188100070462</v>
      </c>
      <c r="I380" s="633" t="s">
        <v>123</v>
      </c>
      <c r="J380" s="763">
        <f t="shared" ca="1" si="128"/>
        <v>0.95185259915708087</v>
      </c>
      <c r="K380" s="633" t="s">
        <v>123</v>
      </c>
      <c r="L380" s="685">
        <f t="shared" ca="1" si="129"/>
        <v>141171.17254692383</v>
      </c>
      <c r="M380" s="717"/>
      <c r="S380" s="423"/>
      <c r="AE380" s="423"/>
      <c r="AF380" s="90"/>
      <c r="AG380" s="90"/>
      <c r="AH380" s="90"/>
      <c r="AI380" s="17"/>
      <c r="AJ380" s="90"/>
      <c r="AK380" s="16"/>
      <c r="AL380" s="90"/>
      <c r="AM380" s="90"/>
      <c r="AN380" s="90"/>
      <c r="AO380" s="90"/>
      <c r="AP380" s="90"/>
      <c r="AQ380" s="90"/>
      <c r="AR380" s="90"/>
      <c r="AT380" s="19"/>
      <c r="AU380" s="97"/>
      <c r="AV380" s="19"/>
      <c r="AW380" s="19"/>
      <c r="AX380" s="19"/>
      <c r="AY380" s="19"/>
      <c r="AZ380" s="97"/>
      <c r="BA380" s="19"/>
      <c r="BB380" s="19"/>
      <c r="BC380" s="97"/>
      <c r="BD380" s="19"/>
      <c r="BE380" s="19"/>
      <c r="BF380" s="19"/>
      <c r="BG380" s="19"/>
      <c r="BH380" s="97"/>
      <c r="BI380" s="97"/>
      <c r="BJ380" s="97"/>
    </row>
    <row r="381" spans="1:62" s="91" customFormat="1" outlineLevel="1" x14ac:dyDescent="0.2">
      <c r="B381" s="633" t="s">
        <v>124</v>
      </c>
      <c r="C381" s="685">
        <f ca="1">($D$110*(Calcs!Z269-Calcs!AG15))*Calcs!O15</f>
        <v>241159.97238415218</v>
      </c>
      <c r="D381" s="757">
        <f ca="1">Calcs!P306*Calcs!$C$2</f>
        <v>1613.4245802385508</v>
      </c>
      <c r="E381" s="685">
        <f ca="1">D381*(Calcs!Z269-Calcs!AG15)*Calcs!O15</f>
        <v>81384.556287342668</v>
      </c>
      <c r="F381" s="757">
        <f t="shared" ca="1" si="126"/>
        <v>322544.52867149486</v>
      </c>
      <c r="G381" s="633" t="s">
        <v>124</v>
      </c>
      <c r="H381" s="762">
        <f t="shared" ca="1" si="127"/>
        <v>1.0244556086185124</v>
      </c>
      <c r="I381" s="633" t="s">
        <v>124</v>
      </c>
      <c r="J381" s="763">
        <f t="shared" ca="1" si="128"/>
        <v>0.81013083610616787</v>
      </c>
      <c r="K381" s="633" t="s">
        <v>124</v>
      </c>
      <c r="L381" s="685">
        <f t="shared" ca="1" si="129"/>
        <v>53541.53859475939</v>
      </c>
      <c r="M381" s="717"/>
      <c r="S381" s="423"/>
      <c r="AE381" s="423"/>
      <c r="AF381" s="90"/>
      <c r="AG381" s="90"/>
      <c r="AH381" s="90"/>
      <c r="AI381" s="17"/>
      <c r="AJ381" s="90"/>
      <c r="AK381" s="16"/>
      <c r="AL381" s="90"/>
      <c r="AM381" s="90"/>
      <c r="AN381" s="90"/>
      <c r="AO381" s="90"/>
      <c r="AP381" s="90"/>
      <c r="AQ381" s="90"/>
      <c r="AR381" s="90"/>
      <c r="AT381" s="19"/>
      <c r="AU381" s="97"/>
      <c r="AV381" s="19"/>
      <c r="AW381" s="19"/>
      <c r="AX381" s="19"/>
      <c r="AY381" s="19"/>
      <c r="AZ381" s="97"/>
      <c r="BA381" s="19"/>
      <c r="BB381" s="19"/>
      <c r="BC381" s="97"/>
      <c r="BD381" s="19"/>
      <c r="BE381" s="19"/>
      <c r="BF381" s="19"/>
      <c r="BG381" s="19"/>
      <c r="BH381" s="97"/>
      <c r="BI381" s="97"/>
      <c r="BJ381" s="97"/>
    </row>
    <row r="382" spans="1:62" s="91" customFormat="1" outlineLevel="1" x14ac:dyDescent="0.2">
      <c r="B382" s="633" t="s">
        <v>125</v>
      </c>
      <c r="C382" s="685">
        <f ca="1">($D$110*(Calcs!Z270-Calcs!AG16))*Calcs!O16</f>
        <v>356971.95505065104</v>
      </c>
      <c r="D382" s="757">
        <f ca="1">Calcs!P307*Calcs!$C$2</f>
        <v>1301.8222723694457</v>
      </c>
      <c r="E382" s="685">
        <f ca="1">D382*(Calcs!Z270-Calcs!AG16)*Calcs!O16</f>
        <v>97201.708994992747</v>
      </c>
      <c r="F382" s="757">
        <f t="shared" ca="1" si="126"/>
        <v>454173.66404564376</v>
      </c>
      <c r="G382" s="633" t="s">
        <v>125</v>
      </c>
      <c r="H382" s="762">
        <f t="shared" ca="1" si="127"/>
        <v>1.416273513332502</v>
      </c>
      <c r="I382" s="633" t="s">
        <v>125</v>
      </c>
      <c r="J382" s="763">
        <f t="shared" ca="1" si="128"/>
        <v>0.65648759170426929</v>
      </c>
      <c r="K382" s="633" t="s">
        <v>125</v>
      </c>
      <c r="L382" s="685">
        <f t="shared" ca="1" si="129"/>
        <v>22522.795411725878</v>
      </c>
      <c r="M382" s="717"/>
      <c r="S382" s="423"/>
      <c r="AE382" s="423"/>
      <c r="AF382" s="90"/>
      <c r="AG382" s="90"/>
      <c r="AH382" s="90"/>
      <c r="AI382" s="17"/>
      <c r="AJ382" s="90"/>
      <c r="AK382" s="16"/>
      <c r="AL382" s="90"/>
      <c r="AM382" s="90"/>
      <c r="AN382" s="90"/>
      <c r="AO382" s="90"/>
      <c r="AP382" s="90"/>
      <c r="AQ382" s="90"/>
      <c r="AR382" s="90"/>
      <c r="AT382" s="19"/>
      <c r="AU382" s="97"/>
      <c r="AV382" s="19"/>
      <c r="AW382" s="19"/>
      <c r="AX382" s="19"/>
      <c r="AY382" s="19"/>
      <c r="AZ382" s="97"/>
      <c r="BA382" s="19"/>
      <c r="BB382" s="19"/>
      <c r="BC382" s="97"/>
      <c r="BD382" s="19"/>
      <c r="BE382" s="19"/>
      <c r="BF382" s="19"/>
      <c r="BG382" s="19"/>
      <c r="BH382" s="97"/>
      <c r="BI382" s="97"/>
      <c r="BJ382" s="97"/>
    </row>
    <row r="383" spans="1:62" s="91" customFormat="1" outlineLevel="1" x14ac:dyDescent="0.2">
      <c r="B383" s="670" t="s">
        <v>178</v>
      </c>
      <c r="C383" s="683">
        <f ca="1">SUM(C371:C382)</f>
        <v>2186643.595284631</v>
      </c>
      <c r="D383" s="683"/>
      <c r="E383" s="683">
        <f ca="1">SUM(E371:E382)</f>
        <v>663557.377639479</v>
      </c>
      <c r="F383" s="683">
        <f ca="1">SUM(F371:F382)</f>
        <v>2850200.9729241105</v>
      </c>
      <c r="G383" s="743"/>
      <c r="H383" s="683"/>
      <c r="I383" s="743"/>
      <c r="J383" s="743"/>
      <c r="K383" s="670" t="s">
        <v>178</v>
      </c>
      <c r="L383" s="764">
        <f ca="1">SUM(L371:L382)</f>
        <v>1984908.1487378394</v>
      </c>
      <c r="S383" s="423"/>
      <c r="AE383" s="423"/>
      <c r="AF383" s="90"/>
      <c r="AG383" s="90"/>
      <c r="AH383" s="90"/>
      <c r="AI383" s="17"/>
      <c r="AJ383" s="90"/>
      <c r="AK383" s="16"/>
      <c r="AL383" s="90"/>
      <c r="AM383" s="90"/>
      <c r="AN383" s="90"/>
      <c r="AO383" s="90"/>
      <c r="AP383" s="90"/>
      <c r="AQ383" s="90"/>
      <c r="AR383" s="90"/>
      <c r="AT383" s="19"/>
      <c r="AU383" s="97"/>
      <c r="AV383" s="19"/>
      <c r="AW383" s="19"/>
      <c r="AX383" s="19"/>
      <c r="AY383" s="19"/>
      <c r="AZ383" s="97"/>
      <c r="BA383" s="19"/>
      <c r="BB383" s="19"/>
      <c r="BC383" s="97"/>
      <c r="BD383" s="19"/>
      <c r="BE383" s="19"/>
      <c r="BF383" s="19"/>
      <c r="BG383" s="19"/>
      <c r="BH383" s="97"/>
      <c r="BI383" s="97"/>
      <c r="BJ383" s="97"/>
    </row>
    <row r="384" spans="1:62" s="91" customFormat="1" outlineLevel="1" x14ac:dyDescent="0.2">
      <c r="J384" s="212"/>
      <c r="S384" s="423"/>
      <c r="AE384" s="423"/>
      <c r="AF384" s="90"/>
      <c r="AG384" s="90"/>
      <c r="AH384" s="90"/>
      <c r="AI384" s="17"/>
      <c r="AJ384" s="90"/>
      <c r="AK384" s="16"/>
      <c r="AL384" s="90"/>
      <c r="AM384" s="90"/>
      <c r="AN384" s="90"/>
      <c r="AO384" s="90"/>
      <c r="AP384" s="90"/>
      <c r="AQ384" s="90"/>
      <c r="AR384" s="90"/>
      <c r="AT384" s="19"/>
      <c r="AU384" s="97"/>
      <c r="AV384" s="19"/>
      <c r="AW384" s="19"/>
      <c r="AX384" s="19"/>
      <c r="AY384" s="19"/>
      <c r="AZ384" s="97"/>
      <c r="BA384" s="19"/>
      <c r="BB384" s="19"/>
      <c r="BC384" s="97"/>
      <c r="BD384" s="19"/>
      <c r="BE384" s="19"/>
      <c r="BF384" s="19"/>
      <c r="BG384" s="19"/>
      <c r="BH384" s="97"/>
      <c r="BI384" s="97"/>
      <c r="BJ384" s="97"/>
    </row>
    <row r="385" spans="1:62" s="91" customFormat="1" outlineLevel="1" x14ac:dyDescent="0.2">
      <c r="J385" s="276"/>
      <c r="S385" s="423"/>
      <c r="AE385" s="423"/>
      <c r="AF385" s="90"/>
      <c r="AG385" s="90"/>
      <c r="AH385" s="90"/>
      <c r="AI385" s="17"/>
      <c r="AJ385" s="90"/>
      <c r="AK385" s="16"/>
      <c r="AL385" s="90"/>
      <c r="AM385" s="90"/>
      <c r="AN385" s="90"/>
      <c r="AO385" s="90"/>
      <c r="AP385" s="90"/>
      <c r="AQ385" s="90"/>
      <c r="AR385" s="90"/>
      <c r="AT385" s="19"/>
      <c r="AU385" s="97"/>
      <c r="AV385" s="19"/>
      <c r="AW385" s="19"/>
      <c r="AX385" s="19"/>
      <c r="AY385" s="19"/>
      <c r="AZ385" s="97"/>
      <c r="BA385" s="19"/>
      <c r="BB385" s="19"/>
      <c r="BC385" s="97"/>
      <c r="BD385" s="19"/>
      <c r="BE385" s="19"/>
      <c r="BF385" s="19"/>
      <c r="BG385" s="19"/>
      <c r="BH385" s="97"/>
      <c r="BI385" s="97"/>
      <c r="BJ385" s="97"/>
    </row>
    <row r="386" spans="1:62" s="91" customFormat="1" outlineLevel="1" x14ac:dyDescent="0.2">
      <c r="J386" s="276"/>
      <c r="S386" s="423"/>
      <c r="AE386" s="423"/>
      <c r="AF386" s="90"/>
      <c r="AG386" s="90"/>
      <c r="AH386" s="90"/>
      <c r="AI386" s="17"/>
      <c r="AJ386" s="90"/>
      <c r="AK386" s="16"/>
      <c r="AL386" s="90"/>
      <c r="AM386" s="90"/>
      <c r="AN386" s="90"/>
      <c r="AO386" s="90"/>
      <c r="AP386" s="90"/>
      <c r="AQ386" s="90"/>
      <c r="AR386" s="90"/>
      <c r="AT386" s="19"/>
      <c r="AU386" s="97"/>
      <c r="AV386" s="19"/>
      <c r="AW386" s="19"/>
      <c r="AX386" s="19"/>
      <c r="AY386" s="19"/>
      <c r="AZ386" s="97"/>
      <c r="BA386" s="19"/>
      <c r="BB386" s="19"/>
      <c r="BC386" s="97"/>
      <c r="BD386" s="19"/>
      <c r="BE386" s="19"/>
      <c r="BF386" s="19"/>
      <c r="BG386" s="19"/>
      <c r="BH386" s="97"/>
      <c r="BI386" s="97"/>
      <c r="BJ386" s="97"/>
    </row>
    <row r="387" spans="1:62" s="91" customFormat="1" outlineLevel="1" x14ac:dyDescent="0.2">
      <c r="J387" s="276"/>
      <c r="S387" s="423"/>
      <c r="AE387" s="423"/>
      <c r="AF387" s="90"/>
      <c r="AG387" s="90"/>
      <c r="AH387" s="90"/>
      <c r="AI387" s="17"/>
      <c r="AJ387" s="90"/>
      <c r="AK387" s="16"/>
      <c r="AL387" s="90"/>
      <c r="AM387" s="90"/>
      <c r="AN387" s="90"/>
      <c r="AO387" s="90"/>
      <c r="AP387" s="90"/>
      <c r="AQ387" s="90"/>
      <c r="AR387" s="90"/>
      <c r="AT387" s="19"/>
      <c r="AU387" s="97"/>
      <c r="AV387" s="19"/>
      <c r="AW387" s="19"/>
      <c r="AX387" s="19"/>
      <c r="AY387" s="19"/>
      <c r="AZ387" s="97"/>
      <c r="BA387" s="19"/>
      <c r="BB387" s="19"/>
      <c r="BC387" s="97"/>
      <c r="BD387" s="19"/>
      <c r="BE387" s="19"/>
      <c r="BF387" s="19"/>
      <c r="BG387" s="19"/>
      <c r="BH387" s="97"/>
      <c r="BI387" s="97"/>
      <c r="BJ387" s="97"/>
    </row>
    <row r="388" spans="1:62" s="91" customFormat="1" outlineLevel="1" x14ac:dyDescent="0.2">
      <c r="J388" s="276"/>
      <c r="S388" s="423"/>
      <c r="AE388" s="423"/>
      <c r="AF388" s="90"/>
      <c r="AG388" s="90"/>
      <c r="AH388" s="90"/>
      <c r="AI388" s="17"/>
      <c r="AJ388" s="90"/>
      <c r="AK388" s="16"/>
      <c r="AL388" s="90"/>
      <c r="AM388" s="90"/>
      <c r="AN388" s="90"/>
      <c r="AO388" s="90"/>
      <c r="AP388" s="90"/>
      <c r="AQ388" s="90"/>
      <c r="AR388" s="90"/>
      <c r="AT388" s="19"/>
      <c r="AU388" s="97"/>
      <c r="AV388" s="19"/>
      <c r="AW388" s="19"/>
      <c r="AX388" s="19"/>
      <c r="AY388" s="19"/>
      <c r="AZ388" s="97"/>
      <c r="BA388" s="19"/>
      <c r="BB388" s="19"/>
      <c r="BC388" s="97"/>
      <c r="BD388" s="19"/>
      <c r="BE388" s="19"/>
      <c r="BF388" s="19"/>
      <c r="BG388" s="19"/>
      <c r="BH388" s="97"/>
      <c r="BI388" s="97"/>
      <c r="BJ388" s="97"/>
    </row>
    <row r="389" spans="1:62" s="91" customFormat="1" outlineLevel="1" x14ac:dyDescent="0.2">
      <c r="J389" s="276"/>
      <c r="S389" s="423"/>
      <c r="AE389" s="423"/>
      <c r="AF389" s="90"/>
      <c r="AG389" s="90"/>
      <c r="AH389" s="90"/>
      <c r="AI389" s="17"/>
      <c r="AJ389" s="90"/>
      <c r="AK389" s="16"/>
      <c r="AL389" s="90"/>
      <c r="AM389" s="90"/>
      <c r="AN389" s="90"/>
      <c r="AO389" s="90"/>
      <c r="AP389" s="90"/>
      <c r="AQ389" s="90"/>
      <c r="AR389" s="90"/>
      <c r="AT389" s="19"/>
      <c r="AU389" s="97"/>
      <c r="AV389" s="19"/>
      <c r="AW389" s="19"/>
      <c r="AX389" s="19"/>
      <c r="AY389" s="19"/>
      <c r="AZ389" s="97"/>
      <c r="BA389" s="19"/>
      <c r="BB389" s="19"/>
      <c r="BC389" s="97"/>
      <c r="BD389" s="19"/>
      <c r="BE389" s="19"/>
      <c r="BF389" s="19"/>
      <c r="BG389" s="19"/>
      <c r="BH389" s="97"/>
      <c r="BI389" s="97"/>
      <c r="BJ389" s="97"/>
    </row>
    <row r="390" spans="1:62" s="91" customFormat="1" outlineLevel="1" x14ac:dyDescent="0.2">
      <c r="J390" s="276"/>
      <c r="S390" s="423"/>
      <c r="AE390" s="423"/>
      <c r="AF390" s="90"/>
      <c r="AG390" s="90"/>
      <c r="AH390" s="90"/>
      <c r="AI390" s="17"/>
      <c r="AJ390" s="90"/>
      <c r="AK390" s="16"/>
      <c r="AL390" s="90"/>
      <c r="AM390" s="90"/>
      <c r="AN390" s="90"/>
      <c r="AO390" s="90"/>
      <c r="AP390" s="90"/>
      <c r="AQ390" s="90"/>
      <c r="AR390" s="90"/>
      <c r="AT390" s="19"/>
      <c r="AU390" s="97"/>
      <c r="AV390" s="19"/>
      <c r="AW390" s="19"/>
      <c r="AX390" s="19"/>
      <c r="AY390" s="19"/>
      <c r="AZ390" s="97"/>
      <c r="BA390" s="19"/>
      <c r="BB390" s="19"/>
      <c r="BC390" s="97"/>
      <c r="BD390" s="19"/>
      <c r="BE390" s="19"/>
      <c r="BF390" s="19"/>
      <c r="BG390" s="19"/>
      <c r="BH390" s="97"/>
      <c r="BI390" s="97"/>
      <c r="BJ390" s="97"/>
    </row>
    <row r="391" spans="1:62" s="91" customFormat="1" outlineLevel="1" x14ac:dyDescent="0.2">
      <c r="J391" s="276"/>
      <c r="S391" s="423"/>
      <c r="AE391" s="423"/>
      <c r="AF391" s="90"/>
      <c r="AG391" s="90"/>
      <c r="AH391" s="90"/>
      <c r="AI391" s="17"/>
      <c r="AJ391" s="90"/>
      <c r="AK391" s="16"/>
      <c r="AL391" s="90"/>
      <c r="AM391" s="90"/>
      <c r="AN391" s="90"/>
      <c r="AO391" s="90"/>
      <c r="AP391" s="90"/>
      <c r="AQ391" s="90"/>
      <c r="AR391" s="90"/>
      <c r="AT391" s="19"/>
      <c r="AU391" s="97"/>
      <c r="AV391" s="19"/>
      <c r="AW391" s="19"/>
      <c r="AX391" s="19"/>
      <c r="AY391" s="19"/>
      <c r="AZ391" s="97"/>
      <c r="BA391" s="19"/>
      <c r="BB391" s="19"/>
      <c r="BC391" s="97"/>
      <c r="BD391" s="19"/>
      <c r="BE391" s="19"/>
      <c r="BF391" s="19"/>
      <c r="BG391" s="19"/>
      <c r="BH391" s="97"/>
      <c r="BI391" s="97"/>
      <c r="BJ391" s="97"/>
    </row>
    <row r="392" spans="1:62" s="91" customFormat="1" outlineLevel="1" x14ac:dyDescent="0.2">
      <c r="A392" s="212"/>
      <c r="J392" s="276"/>
      <c r="S392" s="423"/>
      <c r="AE392" s="423"/>
      <c r="AF392" s="90"/>
      <c r="AG392" s="90"/>
      <c r="AH392" s="90"/>
      <c r="AI392" s="17"/>
      <c r="AJ392" s="90"/>
      <c r="AK392" s="16"/>
      <c r="AL392" s="90"/>
      <c r="AM392" s="90"/>
      <c r="AN392" s="90"/>
      <c r="AO392" s="90"/>
      <c r="AP392" s="90"/>
      <c r="AQ392" s="90"/>
      <c r="AR392" s="90"/>
      <c r="AT392" s="19"/>
      <c r="AU392" s="97"/>
      <c r="AV392" s="19"/>
      <c r="AW392" s="19"/>
      <c r="AX392" s="19"/>
      <c r="AY392" s="19"/>
      <c r="AZ392" s="97"/>
      <c r="BA392" s="19"/>
      <c r="BB392" s="19"/>
      <c r="BC392" s="97"/>
      <c r="BD392" s="19"/>
      <c r="BE392" s="19"/>
      <c r="BF392" s="19"/>
      <c r="BG392" s="19"/>
      <c r="BH392" s="97"/>
      <c r="BI392" s="97"/>
      <c r="BJ392" s="97"/>
    </row>
    <row r="393" spans="1:62" s="91" customFormat="1" outlineLevel="1" x14ac:dyDescent="0.2">
      <c r="A393" s="212"/>
      <c r="J393" s="276"/>
      <c r="S393" s="423"/>
      <c r="AE393" s="423"/>
      <c r="AF393" s="90"/>
      <c r="AG393" s="90"/>
      <c r="AH393" s="90"/>
      <c r="AI393" s="17"/>
      <c r="AJ393" s="90"/>
      <c r="AK393" s="16"/>
      <c r="AL393" s="90"/>
      <c r="AM393" s="90"/>
      <c r="AN393" s="90"/>
      <c r="AO393" s="90"/>
      <c r="AP393" s="90"/>
      <c r="AQ393" s="90"/>
      <c r="AR393" s="90"/>
      <c r="AT393" s="19"/>
      <c r="AU393" s="97"/>
      <c r="AV393" s="19"/>
      <c r="AW393" s="19"/>
      <c r="AX393" s="19"/>
      <c r="AY393" s="19"/>
      <c r="AZ393" s="97"/>
      <c r="BA393" s="19"/>
      <c r="BB393" s="19"/>
      <c r="BC393" s="97"/>
      <c r="BD393" s="19"/>
      <c r="BE393" s="19"/>
      <c r="BF393" s="19"/>
      <c r="BG393" s="19"/>
      <c r="BH393" s="97"/>
      <c r="BI393" s="97"/>
      <c r="BJ393" s="97"/>
    </row>
    <row r="394" spans="1:62" s="91" customFormat="1" outlineLevel="1" x14ac:dyDescent="0.2">
      <c r="A394" s="212"/>
      <c r="J394" s="276"/>
      <c r="S394" s="423"/>
      <c r="AE394" s="423"/>
      <c r="AF394" s="90"/>
      <c r="AG394" s="90"/>
      <c r="AH394" s="90"/>
      <c r="AI394" s="17"/>
      <c r="AJ394" s="90"/>
      <c r="AK394" s="16"/>
      <c r="AL394" s="90"/>
      <c r="AM394" s="90"/>
      <c r="AN394" s="90"/>
      <c r="AO394" s="90"/>
      <c r="AP394" s="90"/>
      <c r="AQ394" s="90"/>
      <c r="AR394" s="90"/>
      <c r="AT394" s="19"/>
      <c r="AU394" s="97"/>
      <c r="AV394" s="19"/>
      <c r="AW394" s="19"/>
      <c r="AX394" s="19"/>
      <c r="AY394" s="19"/>
      <c r="AZ394" s="97"/>
      <c r="BA394" s="19"/>
      <c r="BB394" s="19"/>
      <c r="BC394" s="97"/>
      <c r="BD394" s="19"/>
      <c r="BE394" s="19"/>
      <c r="BF394" s="19"/>
      <c r="BG394" s="19"/>
      <c r="BH394" s="97"/>
      <c r="BI394" s="97"/>
      <c r="BJ394" s="97"/>
    </row>
    <row r="395" spans="1:62" s="91" customFormat="1" outlineLevel="1" x14ac:dyDescent="0.2">
      <c r="A395" s="212"/>
      <c r="J395" s="276"/>
      <c r="S395" s="423"/>
      <c r="AE395" s="423"/>
      <c r="AF395" s="90"/>
      <c r="AG395" s="90"/>
      <c r="AH395" s="90"/>
      <c r="AI395" s="17"/>
      <c r="AJ395" s="90"/>
      <c r="AK395" s="16"/>
      <c r="AL395" s="90"/>
      <c r="AM395" s="90"/>
      <c r="AN395" s="90"/>
      <c r="AO395" s="90"/>
      <c r="AP395" s="90"/>
      <c r="AQ395" s="90"/>
      <c r="AR395" s="90"/>
      <c r="AT395" s="19"/>
      <c r="AU395" s="97"/>
      <c r="AV395" s="19"/>
      <c r="AW395" s="19"/>
      <c r="AX395" s="19"/>
      <c r="AY395" s="19"/>
      <c r="AZ395" s="97"/>
      <c r="BA395" s="19"/>
      <c r="BB395" s="19"/>
      <c r="BC395" s="97"/>
      <c r="BD395" s="19"/>
      <c r="BE395" s="19"/>
      <c r="BF395" s="19"/>
      <c r="BG395" s="19"/>
      <c r="BH395" s="97"/>
      <c r="BI395" s="97"/>
      <c r="BJ395" s="97"/>
    </row>
    <row r="396" spans="1:62" s="91" customFormat="1" outlineLevel="1" x14ac:dyDescent="0.2">
      <c r="A396" s="212"/>
      <c r="J396" s="277"/>
      <c r="S396" s="423"/>
      <c r="AE396" s="423"/>
      <c r="AF396" s="90"/>
      <c r="AG396" s="90"/>
      <c r="AH396" s="90"/>
      <c r="AI396" s="17"/>
      <c r="AJ396" s="90"/>
      <c r="AK396" s="16"/>
      <c r="AL396" s="90"/>
      <c r="AM396" s="90"/>
      <c r="AN396" s="90"/>
      <c r="AO396" s="90"/>
      <c r="AP396" s="90"/>
      <c r="AQ396" s="90"/>
      <c r="AR396" s="90"/>
      <c r="AT396" s="19"/>
      <c r="AU396" s="97"/>
      <c r="AV396" s="19"/>
      <c r="AW396" s="19"/>
      <c r="AX396" s="19"/>
      <c r="AY396" s="19"/>
      <c r="AZ396" s="97"/>
      <c r="BA396" s="19"/>
      <c r="BB396" s="19"/>
      <c r="BC396" s="97"/>
      <c r="BD396" s="19"/>
      <c r="BE396" s="19"/>
      <c r="BF396" s="19"/>
      <c r="BG396" s="19"/>
      <c r="BH396" s="97"/>
      <c r="BI396" s="97"/>
      <c r="BJ396" s="97"/>
    </row>
    <row r="397" spans="1:62" s="91" customFormat="1" outlineLevel="1" x14ac:dyDescent="0.2">
      <c r="A397" s="212"/>
      <c r="J397" s="278"/>
      <c r="S397" s="423"/>
      <c r="AE397" s="423"/>
      <c r="AF397" s="90"/>
      <c r="AG397" s="90"/>
      <c r="AH397" s="90"/>
      <c r="AI397" s="17"/>
      <c r="AJ397" s="90"/>
      <c r="AK397" s="16"/>
      <c r="AL397" s="90"/>
      <c r="AM397" s="90"/>
      <c r="AN397" s="90"/>
      <c r="AO397" s="90"/>
      <c r="AP397" s="90"/>
      <c r="AQ397" s="90"/>
      <c r="AR397" s="90"/>
      <c r="AT397" s="19"/>
      <c r="AU397" s="97"/>
      <c r="AV397" s="19"/>
      <c r="AW397" s="19"/>
      <c r="AX397" s="19"/>
      <c r="AY397" s="19"/>
      <c r="AZ397" s="97"/>
      <c r="BA397" s="19"/>
      <c r="BB397" s="19"/>
      <c r="BC397" s="97"/>
      <c r="BD397" s="19"/>
      <c r="BE397" s="19"/>
      <c r="BF397" s="19"/>
      <c r="BG397" s="19"/>
      <c r="BH397" s="97"/>
      <c r="BI397" s="97"/>
      <c r="BJ397" s="97"/>
    </row>
    <row r="398" spans="1:62" s="91" customFormat="1" outlineLevel="1" x14ac:dyDescent="0.2">
      <c r="A398" s="212"/>
      <c r="B398" s="212"/>
      <c r="C398" s="212"/>
      <c r="D398" s="211"/>
      <c r="E398" s="212"/>
      <c r="F398" s="212"/>
      <c r="G398" s="212"/>
      <c r="H398" s="212"/>
      <c r="I398" s="212"/>
      <c r="J398" s="212"/>
      <c r="S398" s="423"/>
      <c r="AE398" s="423"/>
      <c r="AF398" s="90"/>
      <c r="AG398" s="90"/>
      <c r="AH398" s="90"/>
      <c r="AI398" s="17"/>
      <c r="AJ398" s="90"/>
      <c r="AK398" s="16"/>
      <c r="AL398" s="90"/>
      <c r="AM398" s="90"/>
      <c r="AN398" s="90"/>
      <c r="AO398" s="90"/>
      <c r="AP398" s="90"/>
      <c r="AQ398" s="90"/>
      <c r="AR398" s="90"/>
      <c r="AT398" s="19"/>
      <c r="AU398" s="97"/>
      <c r="AV398" s="19"/>
      <c r="AW398" s="19"/>
      <c r="AX398" s="19"/>
      <c r="AY398" s="19"/>
      <c r="AZ398" s="97"/>
      <c r="BA398" s="19"/>
      <c r="BB398" s="19"/>
      <c r="BC398" s="97"/>
      <c r="BD398" s="19"/>
      <c r="BE398" s="19"/>
      <c r="BF398" s="19"/>
      <c r="BG398" s="19"/>
      <c r="BH398" s="97"/>
      <c r="BI398" s="97"/>
      <c r="BJ398" s="97"/>
    </row>
    <row r="399" spans="1:62" s="91" customFormat="1" outlineLevel="1" x14ac:dyDescent="0.2">
      <c r="A399" s="10"/>
      <c r="E399" s="212"/>
      <c r="S399" s="423"/>
      <c r="AE399" s="423"/>
      <c r="AF399" s="90"/>
      <c r="AG399" s="90"/>
      <c r="AH399" s="90"/>
      <c r="AI399" s="17"/>
      <c r="AJ399" s="90"/>
      <c r="AK399" s="16"/>
      <c r="AL399" s="90"/>
      <c r="AM399" s="90"/>
      <c r="AN399" s="90"/>
      <c r="AO399" s="90"/>
      <c r="AP399" s="90"/>
      <c r="AQ399" s="90"/>
      <c r="AR399" s="90"/>
      <c r="AT399" s="19"/>
      <c r="AU399" s="97"/>
      <c r="AV399" s="19"/>
      <c r="AW399" s="19"/>
      <c r="AX399" s="19"/>
      <c r="AY399" s="19"/>
      <c r="AZ399" s="97"/>
      <c r="BA399" s="19"/>
      <c r="BB399" s="19"/>
      <c r="BC399" s="97"/>
      <c r="BD399" s="19"/>
      <c r="BE399" s="19"/>
      <c r="BF399" s="19"/>
      <c r="BG399" s="19"/>
      <c r="BH399" s="97"/>
      <c r="BI399" s="97"/>
      <c r="BJ399" s="97"/>
    </row>
    <row r="400" spans="1:62" s="91" customFormat="1" outlineLevel="1" x14ac:dyDescent="0.2">
      <c r="A400" s="10"/>
      <c r="E400" s="211"/>
      <c r="K400" s="10"/>
      <c r="L400" s="10"/>
      <c r="M400" s="10"/>
      <c r="N400" s="710"/>
      <c r="S400" s="423"/>
      <c r="AE400" s="423"/>
      <c r="AF400" s="90"/>
      <c r="AG400" s="90"/>
      <c r="AH400" s="90"/>
      <c r="AI400" s="17"/>
      <c r="AJ400" s="90"/>
      <c r="AK400" s="16"/>
      <c r="AL400" s="90"/>
      <c r="AM400" s="90"/>
      <c r="AN400" s="90"/>
      <c r="AO400" s="90"/>
      <c r="AP400" s="90"/>
      <c r="AQ400" s="90"/>
      <c r="AR400" s="90"/>
      <c r="AT400" s="19"/>
      <c r="AU400" s="97"/>
      <c r="AV400" s="19"/>
      <c r="AW400" s="19"/>
      <c r="AX400" s="19"/>
      <c r="AY400" s="19"/>
      <c r="AZ400" s="97"/>
      <c r="BA400" s="19"/>
      <c r="BB400" s="19"/>
      <c r="BC400" s="97"/>
      <c r="BD400" s="19"/>
      <c r="BE400" s="19"/>
      <c r="BF400" s="19"/>
      <c r="BG400" s="19"/>
      <c r="BH400" s="97"/>
      <c r="BI400" s="97"/>
      <c r="BJ400" s="97"/>
    </row>
    <row r="401" spans="1:62" s="91" customFormat="1" outlineLevel="1" x14ac:dyDescent="0.2">
      <c r="A401" s="424"/>
      <c r="E401" s="212"/>
      <c r="K401" s="710"/>
      <c r="L401" s="710"/>
      <c r="M401" s="710"/>
      <c r="N401" s="710"/>
      <c r="S401" s="423"/>
      <c r="AE401" s="423"/>
      <c r="AF401" s="90"/>
      <c r="AG401" s="90"/>
      <c r="AH401" s="90"/>
      <c r="AI401" s="17"/>
      <c r="AJ401" s="90"/>
      <c r="AK401" s="16"/>
      <c r="AL401" s="90"/>
      <c r="AM401" s="90"/>
      <c r="AN401" s="90"/>
      <c r="AO401" s="90"/>
      <c r="AP401" s="90"/>
      <c r="AQ401" s="90"/>
      <c r="AR401" s="90"/>
      <c r="AT401" s="19"/>
      <c r="AU401" s="97"/>
      <c r="AV401" s="19"/>
      <c r="AW401" s="19"/>
      <c r="AX401" s="19"/>
      <c r="AY401" s="19"/>
      <c r="AZ401" s="97"/>
      <c r="BA401" s="19"/>
      <c r="BB401" s="19"/>
      <c r="BC401" s="97"/>
      <c r="BD401" s="19"/>
      <c r="BE401" s="19"/>
      <c r="BF401" s="19"/>
      <c r="BG401" s="19"/>
      <c r="BH401" s="97"/>
      <c r="BI401" s="97"/>
      <c r="BJ401" s="97"/>
    </row>
    <row r="402" spans="1:62" s="91" customFormat="1" outlineLevel="1" x14ac:dyDescent="0.2">
      <c r="A402" s="424"/>
      <c r="E402" s="212"/>
      <c r="K402" s="710"/>
      <c r="L402" s="710"/>
      <c r="M402" s="710"/>
      <c r="N402" s="710"/>
      <c r="S402" s="423"/>
      <c r="AE402" s="423"/>
      <c r="AF402" s="90"/>
      <c r="AG402" s="90"/>
      <c r="AH402" s="90"/>
      <c r="AI402" s="17"/>
      <c r="AJ402" s="90"/>
      <c r="AK402" s="16"/>
      <c r="AL402" s="90"/>
      <c r="AM402" s="90"/>
      <c r="AN402" s="90"/>
      <c r="AO402" s="90"/>
      <c r="AP402" s="90"/>
      <c r="AQ402" s="90"/>
      <c r="AR402" s="90"/>
      <c r="AT402" s="19"/>
      <c r="AU402" s="97"/>
      <c r="AV402" s="19"/>
      <c r="AW402" s="19"/>
      <c r="AX402" s="19"/>
      <c r="AY402" s="19"/>
      <c r="AZ402" s="97"/>
      <c r="BA402" s="19"/>
      <c r="BB402" s="19"/>
      <c r="BC402" s="97"/>
      <c r="BD402" s="19"/>
      <c r="BE402" s="19"/>
      <c r="BF402" s="19"/>
      <c r="BG402" s="19"/>
      <c r="BH402" s="97"/>
      <c r="BI402" s="97"/>
      <c r="BJ402" s="97"/>
    </row>
    <row r="403" spans="1:62" s="91" customFormat="1" outlineLevel="1" x14ac:dyDescent="0.2">
      <c r="A403" s="424"/>
      <c r="B403" s="211"/>
      <c r="K403" s="710"/>
      <c r="L403" s="710"/>
      <c r="M403" s="710"/>
      <c r="N403" s="710"/>
      <c r="S403" s="423"/>
      <c r="AE403" s="423"/>
      <c r="AF403" s="90"/>
      <c r="AG403" s="90"/>
      <c r="AH403" s="90"/>
      <c r="AI403" s="17"/>
      <c r="AJ403" s="90"/>
      <c r="AK403" s="16"/>
      <c r="AL403" s="90"/>
      <c r="AM403" s="90"/>
      <c r="AN403" s="90"/>
      <c r="AO403" s="90"/>
      <c r="AP403" s="90"/>
      <c r="AQ403" s="90"/>
      <c r="AR403" s="90"/>
      <c r="AT403" s="19"/>
      <c r="AU403" s="97"/>
      <c r="AV403" s="19"/>
      <c r="AW403" s="19"/>
      <c r="AX403" s="19"/>
      <c r="AY403" s="19"/>
      <c r="AZ403" s="97"/>
      <c r="BA403" s="19"/>
      <c r="BB403" s="19"/>
      <c r="BC403" s="97"/>
      <c r="BD403" s="19"/>
      <c r="BE403" s="19"/>
      <c r="BF403" s="19"/>
      <c r="BG403" s="19"/>
      <c r="BH403" s="97"/>
      <c r="BI403" s="97"/>
      <c r="BJ403" s="97"/>
    </row>
    <row r="404" spans="1:62" s="91" customFormat="1" outlineLevel="1" x14ac:dyDescent="0.2">
      <c r="A404" s="424"/>
      <c r="F404" s="211"/>
      <c r="J404" s="710"/>
      <c r="K404" s="710"/>
      <c r="L404" s="710"/>
      <c r="M404" s="710"/>
      <c r="N404" s="710"/>
      <c r="S404" s="423"/>
      <c r="AE404" s="423"/>
      <c r="AF404" s="90"/>
      <c r="AG404" s="90"/>
      <c r="AH404" s="90"/>
      <c r="AI404" s="17"/>
      <c r="AJ404" s="90"/>
      <c r="AK404" s="16"/>
      <c r="AL404" s="90"/>
      <c r="AM404" s="90"/>
      <c r="AN404" s="90"/>
      <c r="AO404" s="90"/>
      <c r="AP404" s="90"/>
      <c r="AQ404" s="90"/>
      <c r="AR404" s="90"/>
      <c r="AT404" s="19"/>
      <c r="AU404" s="97"/>
      <c r="AV404" s="19"/>
      <c r="AW404" s="19"/>
      <c r="AX404" s="19"/>
      <c r="AY404" s="19"/>
      <c r="AZ404" s="97"/>
      <c r="BA404" s="19"/>
      <c r="BB404" s="19"/>
      <c r="BC404" s="97"/>
      <c r="BD404" s="19"/>
      <c r="BE404" s="19"/>
      <c r="BF404" s="19"/>
      <c r="BG404" s="19"/>
      <c r="BH404" s="97"/>
      <c r="BI404" s="97"/>
      <c r="BJ404" s="97"/>
    </row>
    <row r="405" spans="1:62" s="91" customFormat="1" outlineLevel="1" x14ac:dyDescent="0.25">
      <c r="A405" s="424"/>
      <c r="B405" s="424"/>
      <c r="C405" s="424"/>
      <c r="D405" s="424"/>
      <c r="E405" s="424"/>
      <c r="F405" s="424"/>
      <c r="G405" s="424"/>
      <c r="H405" s="424"/>
      <c r="J405" s="710"/>
      <c r="K405" s="710"/>
      <c r="L405" s="710"/>
      <c r="M405" s="710"/>
      <c r="N405" s="710"/>
      <c r="S405" s="423"/>
      <c r="AE405" s="423"/>
      <c r="AF405" s="90"/>
      <c r="AG405" s="90"/>
      <c r="AH405" s="90"/>
      <c r="AI405" s="17"/>
      <c r="AJ405" s="90"/>
      <c r="AK405" s="16"/>
      <c r="AL405" s="90"/>
      <c r="AM405" s="90"/>
      <c r="AN405" s="90"/>
      <c r="AO405" s="90"/>
      <c r="AP405" s="90"/>
      <c r="AQ405" s="90"/>
      <c r="AR405" s="90"/>
      <c r="AT405" s="19"/>
      <c r="AU405" s="97"/>
      <c r="AV405" s="19"/>
      <c r="AW405" s="19"/>
      <c r="AX405" s="19"/>
      <c r="AY405" s="19"/>
      <c r="AZ405" s="97"/>
      <c r="BA405" s="19"/>
      <c r="BB405" s="19"/>
      <c r="BC405" s="97"/>
      <c r="BD405" s="19"/>
      <c r="BE405" s="19"/>
      <c r="BF405" s="19"/>
      <c r="BG405" s="19"/>
      <c r="BH405" s="97"/>
      <c r="BI405" s="97"/>
      <c r="BJ405" s="97"/>
    </row>
    <row r="406" spans="1:62" s="91" customFormat="1" outlineLevel="1" x14ac:dyDescent="0.25">
      <c r="A406" s="424"/>
      <c r="B406" s="424"/>
      <c r="C406" s="424"/>
      <c r="D406" s="424"/>
      <c r="E406" s="424"/>
      <c r="F406" s="424"/>
      <c r="G406" s="424"/>
      <c r="H406" s="424"/>
      <c r="J406" s="710"/>
      <c r="K406" s="710"/>
      <c r="L406" s="710"/>
      <c r="M406" s="710"/>
      <c r="N406" s="710"/>
      <c r="S406" s="423"/>
      <c r="AE406" s="423"/>
      <c r="AF406" s="90"/>
      <c r="AG406" s="90"/>
      <c r="AH406" s="90"/>
      <c r="AI406" s="17"/>
      <c r="AJ406" s="90"/>
      <c r="AK406" s="16"/>
      <c r="AL406" s="90"/>
      <c r="AM406" s="90"/>
      <c r="AN406" s="90"/>
      <c r="AO406" s="90"/>
      <c r="AP406" s="90"/>
      <c r="AQ406" s="90"/>
      <c r="AR406" s="90"/>
      <c r="AT406" s="19"/>
      <c r="AU406" s="97"/>
      <c r="AV406" s="19"/>
      <c r="AW406" s="19"/>
      <c r="AX406" s="19"/>
      <c r="AY406" s="19"/>
      <c r="AZ406" s="97"/>
      <c r="BA406" s="19"/>
      <c r="BB406" s="19"/>
      <c r="BC406" s="97"/>
      <c r="BD406" s="19"/>
      <c r="BE406" s="19"/>
      <c r="BF406" s="19"/>
      <c r="BG406" s="19"/>
      <c r="BH406" s="97"/>
      <c r="BI406" s="97"/>
      <c r="BJ406" s="97"/>
    </row>
    <row r="407" spans="1:62" s="91" customFormat="1" outlineLevel="1" x14ac:dyDescent="0.25">
      <c r="A407" s="424"/>
      <c r="B407" s="424"/>
      <c r="C407" s="424"/>
      <c r="D407" s="424"/>
      <c r="E407" s="424"/>
      <c r="F407" s="424"/>
      <c r="G407" s="424"/>
      <c r="H407" s="424"/>
      <c r="J407" s="710"/>
      <c r="K407" s="710"/>
      <c r="L407" s="710"/>
      <c r="M407" s="710"/>
      <c r="N407" s="710"/>
      <c r="S407" s="423"/>
      <c r="AE407" s="423"/>
      <c r="AF407" s="90"/>
      <c r="AG407" s="90"/>
      <c r="AH407" s="90"/>
      <c r="AI407" s="17"/>
      <c r="AJ407" s="90"/>
      <c r="AK407" s="16"/>
      <c r="AL407" s="90"/>
      <c r="AM407" s="90"/>
      <c r="AN407" s="90"/>
      <c r="AO407" s="90"/>
      <c r="AP407" s="90"/>
      <c r="AQ407" s="90"/>
      <c r="AR407" s="90"/>
      <c r="AT407" s="19"/>
      <c r="AU407" s="97"/>
      <c r="AV407" s="19"/>
      <c r="AW407" s="19"/>
      <c r="AX407" s="19"/>
      <c r="AY407" s="19"/>
      <c r="AZ407" s="97"/>
      <c r="BA407" s="19"/>
      <c r="BB407" s="19"/>
      <c r="BC407" s="97"/>
      <c r="BD407" s="19"/>
      <c r="BE407" s="19"/>
      <c r="BF407" s="19"/>
      <c r="BG407" s="19"/>
      <c r="BH407" s="97"/>
      <c r="BI407" s="97"/>
      <c r="BJ407" s="97"/>
    </row>
    <row r="408" spans="1:62" s="736" customFormat="1" ht="13.5" outlineLevel="1" thickBot="1" x14ac:dyDescent="0.3">
      <c r="A408" s="136"/>
      <c r="B408" s="136"/>
      <c r="C408" s="136"/>
      <c r="D408" s="136"/>
      <c r="E408" s="136"/>
      <c r="F408" s="136"/>
      <c r="G408" s="136"/>
      <c r="H408" s="136"/>
      <c r="J408" s="734"/>
      <c r="K408" s="734"/>
      <c r="L408" s="734"/>
      <c r="M408" s="734"/>
      <c r="N408" s="734"/>
      <c r="S408" s="139"/>
      <c r="AE408" s="139"/>
      <c r="AF408" s="738"/>
      <c r="AG408" s="738"/>
      <c r="AH408" s="738"/>
      <c r="AI408" s="739"/>
      <c r="AJ408" s="738"/>
      <c r="AK408" s="147"/>
      <c r="AL408" s="738"/>
      <c r="AM408" s="738"/>
      <c r="AN408" s="738"/>
      <c r="AO408" s="738"/>
      <c r="AP408" s="738"/>
      <c r="AQ408" s="738"/>
      <c r="AR408" s="738"/>
      <c r="AT408" s="147"/>
      <c r="AU408" s="738"/>
      <c r="AV408" s="147"/>
      <c r="AW408" s="147"/>
      <c r="AX408" s="147"/>
      <c r="AY408" s="147"/>
      <c r="AZ408" s="738"/>
      <c r="BA408" s="147"/>
      <c r="BB408" s="147"/>
      <c r="BC408" s="738"/>
      <c r="BD408" s="147"/>
      <c r="BE408" s="147"/>
      <c r="BF408" s="147"/>
      <c r="BG408" s="147"/>
      <c r="BH408" s="738"/>
      <c r="BI408" s="738"/>
      <c r="BJ408" s="738"/>
    </row>
    <row r="409" spans="1:62" s="91" customFormat="1" ht="15" outlineLevel="1" x14ac:dyDescent="0.25">
      <c r="A409" s="66"/>
      <c r="B409" s="690"/>
      <c r="C409" s="690"/>
      <c r="D409" s="690"/>
      <c r="E409" s="690"/>
      <c r="F409" s="717"/>
      <c r="G409" s="717"/>
      <c r="H409" s="717"/>
      <c r="I409" s="717"/>
      <c r="J409" s="717"/>
      <c r="K409" s="717"/>
      <c r="L409" s="717"/>
      <c r="M409" s="717"/>
      <c r="S409" s="283"/>
      <c r="AE409" s="18"/>
      <c r="AF409" s="90"/>
      <c r="AG409" s="90"/>
      <c r="AH409" s="90"/>
      <c r="AI409" s="18"/>
      <c r="AJ409" s="16"/>
      <c r="AK409" s="16"/>
      <c r="AL409" s="90"/>
      <c r="AM409" s="18"/>
      <c r="AN409" s="70"/>
      <c r="AO409" s="90"/>
      <c r="AP409" s="23"/>
      <c r="AQ409" s="135"/>
      <c r="AR409" s="90"/>
      <c r="AT409" s="19"/>
      <c r="AU409" s="97"/>
      <c r="AV409" s="19"/>
      <c r="AW409" s="19"/>
      <c r="AX409" s="19"/>
      <c r="AY409" s="19"/>
      <c r="AZ409" s="97"/>
      <c r="BA409" s="19"/>
      <c r="BB409" s="19"/>
      <c r="BC409" s="97"/>
      <c r="BD409" s="19"/>
      <c r="BE409" s="19"/>
      <c r="BF409" s="19"/>
      <c r="BG409" s="19"/>
      <c r="BH409" s="97"/>
      <c r="BI409" s="97"/>
      <c r="BJ409" s="97"/>
    </row>
    <row r="410" spans="1:62" s="18" customFormat="1" ht="12" customHeight="1" outlineLevel="1" x14ac:dyDescent="0.25">
      <c r="B410" s="552" t="s">
        <v>660</v>
      </c>
      <c r="C410" s="601" t="s">
        <v>629</v>
      </c>
      <c r="D410" s="593">
        <f>Inputs!C21+7</f>
        <v>27.6</v>
      </c>
      <c r="E410" s="593"/>
      <c r="F410" s="540" t="s">
        <v>369</v>
      </c>
      <c r="G410" s="540" t="s">
        <v>371</v>
      </c>
      <c r="H410" s="601"/>
      <c r="I410" s="601"/>
      <c r="J410" s="593"/>
      <c r="K410" s="593"/>
      <c r="L410" s="593"/>
      <c r="M410" s="540"/>
    </row>
    <row r="411" spans="1:62" s="18" customFormat="1" outlineLevel="1" x14ac:dyDescent="0.25">
      <c r="B411" s="540"/>
      <c r="C411" s="601" t="s">
        <v>630</v>
      </c>
      <c r="D411" s="593">
        <f>Inputs!C23-7</f>
        <v>17.2</v>
      </c>
      <c r="E411" s="593"/>
      <c r="F411" s="611" t="s">
        <v>372</v>
      </c>
      <c r="G411" s="766" t="s">
        <v>985</v>
      </c>
      <c r="H411" s="601"/>
      <c r="I411" s="601"/>
      <c r="J411" s="593"/>
      <c r="K411" s="593"/>
      <c r="L411" s="593"/>
      <c r="M411" s="540"/>
    </row>
    <row r="412" spans="1:62" s="18" customFormat="1" outlineLevel="1" x14ac:dyDescent="0.25">
      <c r="B412" s="540"/>
      <c r="C412" s="601" t="s">
        <v>639</v>
      </c>
      <c r="D412" s="767">
        <f>1.22521*0.001012</f>
        <v>1.23991252E-3</v>
      </c>
      <c r="E412" s="593"/>
      <c r="F412" s="611" t="s">
        <v>374</v>
      </c>
      <c r="G412" s="766">
        <v>0</v>
      </c>
      <c r="H412" s="601"/>
      <c r="I412" s="601"/>
      <c r="J412" s="593"/>
      <c r="K412" s="593"/>
      <c r="L412" s="593"/>
      <c r="M412" s="540"/>
    </row>
    <row r="413" spans="1:62" s="18" customFormat="1" outlineLevel="1" x14ac:dyDescent="0.25">
      <c r="B413" s="540"/>
      <c r="C413" s="541" t="s">
        <v>641</v>
      </c>
      <c r="D413" s="540">
        <v>1.8</v>
      </c>
      <c r="E413" s="593"/>
      <c r="F413" s="611" t="s">
        <v>375</v>
      </c>
      <c r="G413" s="766">
        <v>1.2</v>
      </c>
      <c r="H413" s="601"/>
      <c r="I413" s="601"/>
      <c r="J413" s="593"/>
      <c r="K413" s="593"/>
      <c r="L413" s="593"/>
      <c r="M413" s="540"/>
    </row>
    <row r="414" spans="1:62" s="18" customFormat="1" outlineLevel="1" x14ac:dyDescent="0.25">
      <c r="B414" s="540"/>
      <c r="C414" s="601" t="s">
        <v>368</v>
      </c>
      <c r="D414" s="714">
        <f>Inputs!C50</f>
        <v>12246</v>
      </c>
      <c r="E414" s="593"/>
      <c r="F414" s="611" t="s">
        <v>376</v>
      </c>
      <c r="G414" s="766">
        <v>2</v>
      </c>
      <c r="H414" s="601"/>
      <c r="I414" s="601"/>
      <c r="J414" s="593"/>
      <c r="K414" s="593"/>
      <c r="L414" s="593"/>
      <c r="M414" s="540"/>
      <c r="AB414" s="141"/>
      <c r="AC414" s="141"/>
    </row>
    <row r="415" spans="1:62" s="18" customFormat="1" outlineLevel="1" x14ac:dyDescent="0.25">
      <c r="B415" s="540"/>
      <c r="C415" s="507" t="s">
        <v>370</v>
      </c>
      <c r="D415" s="714">
        <f>Inputs!C52</f>
        <v>12246</v>
      </c>
      <c r="E415" s="593"/>
      <c r="F415" s="611" t="s">
        <v>215</v>
      </c>
      <c r="G415" s="766">
        <v>3</v>
      </c>
      <c r="H415" s="601"/>
      <c r="I415" s="601"/>
      <c r="J415" s="593"/>
      <c r="K415" s="593"/>
      <c r="L415" s="593"/>
      <c r="M415" s="540"/>
      <c r="AB415" s="141"/>
      <c r="AC415" s="141"/>
    </row>
    <row r="416" spans="1:62" s="18" customFormat="1" outlineLevel="1" x14ac:dyDescent="0.25">
      <c r="B416" s="540"/>
      <c r="C416" s="540" t="s">
        <v>931</v>
      </c>
      <c r="D416" s="540"/>
      <c r="E416" s="593"/>
      <c r="F416" s="593"/>
      <c r="G416" s="593"/>
      <c r="H416" s="601"/>
      <c r="I416" s="601"/>
      <c r="J416" s="593"/>
      <c r="K416" s="593"/>
      <c r="L416" s="593"/>
      <c r="M416" s="540"/>
      <c r="AA416" s="141"/>
      <c r="AB416" s="141"/>
    </row>
    <row r="417" spans="2:28" s="423" customFormat="1" outlineLevel="1" x14ac:dyDescent="0.25">
      <c r="B417" s="540"/>
      <c r="C417" s="540"/>
      <c r="D417" s="540"/>
      <c r="E417" s="593"/>
      <c r="F417" s="593"/>
      <c r="G417" s="593"/>
      <c r="H417" s="601"/>
      <c r="I417" s="601"/>
      <c r="J417" s="593"/>
      <c r="K417" s="593"/>
      <c r="L417" s="593"/>
      <c r="M417" s="540"/>
      <c r="AA417" s="141"/>
      <c r="AB417" s="141"/>
    </row>
    <row r="418" spans="2:28" s="423" customFormat="1" outlineLevel="1" x14ac:dyDescent="0.25">
      <c r="B418" s="540"/>
      <c r="C418" s="540" t="str">
        <f>Inputs!B60</f>
        <v>Specifiec fan power [W/(L/s)]</v>
      </c>
      <c r="D418" s="540">
        <f>Inputs!C60</f>
        <v>0.51</v>
      </c>
      <c r="E418" s="593"/>
      <c r="F418" s="593"/>
      <c r="G418" s="593"/>
      <c r="H418" s="601"/>
      <c r="I418" s="601"/>
      <c r="J418" s="593"/>
      <c r="K418" s="593"/>
      <c r="L418" s="593"/>
      <c r="M418" s="540"/>
      <c r="AA418" s="141"/>
      <c r="AB418" s="141"/>
    </row>
    <row r="419" spans="2:28" s="423" customFormat="1" outlineLevel="1" x14ac:dyDescent="0.25">
      <c r="B419" s="540"/>
      <c r="C419" s="540" t="str">
        <f>Inputs!B61</f>
        <v>Fan flow control factor</v>
      </c>
      <c r="D419" s="540">
        <f>Inputs!C61</f>
        <v>1</v>
      </c>
      <c r="E419" s="593"/>
      <c r="F419" s="593"/>
      <c r="G419" s="593"/>
      <c r="H419" s="601"/>
      <c r="I419" s="601"/>
      <c r="J419" s="540"/>
      <c r="K419" s="540"/>
      <c r="L419" s="593"/>
      <c r="M419" s="540"/>
      <c r="N419" s="745" t="s">
        <v>1005</v>
      </c>
      <c r="O419" s="745"/>
      <c r="AA419" s="141"/>
      <c r="AB419" s="141"/>
    </row>
    <row r="420" spans="2:28" s="423" customFormat="1" outlineLevel="1" x14ac:dyDescent="0.25">
      <c r="B420" s="540"/>
      <c r="C420" s="540"/>
      <c r="D420" s="540"/>
      <c r="E420" s="593"/>
      <c r="F420" s="593"/>
      <c r="G420" s="593"/>
      <c r="H420" s="601"/>
      <c r="I420" s="601"/>
      <c r="J420" s="540"/>
      <c r="K420" s="540" t="s">
        <v>1011</v>
      </c>
      <c r="L420" s="540"/>
      <c r="M420" s="540"/>
      <c r="N420" s="745"/>
      <c r="O420" s="745"/>
      <c r="AA420" s="141"/>
      <c r="AB420" s="141"/>
    </row>
    <row r="421" spans="2:28" s="423" customFormat="1" outlineLevel="1" x14ac:dyDescent="0.25">
      <c r="B421" s="540"/>
      <c r="C421" s="540"/>
      <c r="D421" s="540"/>
      <c r="E421" s="593"/>
      <c r="F421" s="593"/>
      <c r="G421" s="593"/>
      <c r="H421" s="601"/>
      <c r="I421" s="601"/>
      <c r="J421" s="540"/>
      <c r="K421" s="540"/>
      <c r="L421" s="540"/>
      <c r="M421" s="540"/>
      <c r="N421" s="745"/>
      <c r="O421" s="745"/>
      <c r="AA421" s="141"/>
      <c r="AB421" s="141"/>
    </row>
    <row r="422" spans="2:28" s="18" customFormat="1" outlineLevel="1" x14ac:dyDescent="0.25">
      <c r="B422" s="540"/>
      <c r="C422" s="540"/>
      <c r="D422" s="540"/>
      <c r="E422" s="593"/>
      <c r="F422" s="593"/>
      <c r="G422" s="593"/>
      <c r="H422" s="601"/>
      <c r="I422" s="601"/>
      <c r="J422" s="540"/>
      <c r="K422" s="540"/>
      <c r="L422" s="540"/>
      <c r="M422" s="540"/>
      <c r="N422" s="745"/>
      <c r="O422" s="745"/>
      <c r="AA422" s="141"/>
      <c r="AB422" s="141"/>
    </row>
    <row r="423" spans="2:28" s="18" customFormat="1" outlineLevel="1" x14ac:dyDescent="0.2">
      <c r="B423" s="540"/>
      <c r="C423" s="540" t="s">
        <v>635</v>
      </c>
      <c r="D423" s="540" t="s">
        <v>633</v>
      </c>
      <c r="E423" s="540" t="s">
        <v>636</v>
      </c>
      <c r="F423" s="540" t="s">
        <v>637</v>
      </c>
      <c r="G423" s="540" t="s">
        <v>632</v>
      </c>
      <c r="H423" s="540" t="s">
        <v>638</v>
      </c>
      <c r="I423" s="540" t="s">
        <v>643</v>
      </c>
      <c r="J423" s="540"/>
      <c r="K423" s="628" t="s">
        <v>986</v>
      </c>
      <c r="L423" s="628" t="s">
        <v>987</v>
      </c>
      <c r="M423" s="540"/>
      <c r="N423" s="746" t="s">
        <v>634</v>
      </c>
      <c r="O423" s="745" t="s">
        <v>640</v>
      </c>
      <c r="AA423" s="141"/>
      <c r="AB423" s="141"/>
    </row>
    <row r="424" spans="2:28" s="18" customFormat="1" outlineLevel="1" x14ac:dyDescent="0.2">
      <c r="B424" s="540" t="s">
        <v>114</v>
      </c>
      <c r="C424" s="768">
        <f ca="1">Calcs!L345</f>
        <v>96665.470503923541</v>
      </c>
      <c r="D424" s="542">
        <f t="shared" ref="D424:D435" ca="1" si="130">$D$410-Z231</f>
        <v>9.330569220544028</v>
      </c>
      <c r="E424" s="769">
        <f ca="1">C424/($D$412*D424)</f>
        <v>8355495.0204005959</v>
      </c>
      <c r="F424" s="770">
        <f ca="1">Calcs!L371</f>
        <v>19993.062678800605</v>
      </c>
      <c r="G424" s="771">
        <f t="shared" ref="G424:G435" ca="1" si="131">Z259-$D$411</f>
        <v>7</v>
      </c>
      <c r="H424" s="558">
        <f ca="1">F424/($D$412*G424)</f>
        <v>2303510.7438525013</v>
      </c>
      <c r="I424" s="558">
        <f ca="1">MAX((E424+H424),$D$414*$D$291*P5*3600/1000)</f>
        <v>10659005.764253097</v>
      </c>
      <c r="J424" s="630" t="s">
        <v>114</v>
      </c>
      <c r="K424" s="772">
        <f t="shared" ref="K424:K435" ca="1" si="132">I424*$D$418*$D$419/3600</f>
        <v>1510.0258166025219</v>
      </c>
      <c r="L424" s="765">
        <f ca="1">K424/$C$2</f>
        <v>0.21976798378729762</v>
      </c>
      <c r="M424" s="540"/>
      <c r="N424" s="747">
        <f t="shared" ref="N424:N435" ca="1" si="133">I424*$D$413/3600</f>
        <v>5329.5028821265478</v>
      </c>
      <c r="O424" s="749">
        <f ca="1">N424/Inputs!$C$11</f>
        <v>0.77565170748457979</v>
      </c>
      <c r="AA424" s="141"/>
      <c r="AB424" s="141"/>
    </row>
    <row r="425" spans="2:28" s="18" customFormat="1" outlineLevel="1" x14ac:dyDescent="0.2">
      <c r="B425" s="540" t="s">
        <v>115</v>
      </c>
      <c r="C425" s="768">
        <f ca="1">Calcs!L346</f>
        <v>62249.13305391444</v>
      </c>
      <c r="D425" s="542">
        <f t="shared" ca="1" si="130"/>
        <v>9.1836368492095559</v>
      </c>
      <c r="E425" s="769">
        <f t="shared" ref="E425:E435" ca="1" si="134">C425/($D$412*D425)</f>
        <v>5466729.1859265268</v>
      </c>
      <c r="F425" s="770">
        <f ca="1">Calcs!L372</f>
        <v>26741.851514317794</v>
      </c>
      <c r="G425" s="771">
        <f t="shared" ca="1" si="131"/>
        <v>7</v>
      </c>
      <c r="H425" s="558">
        <f t="shared" ref="H425:H435" ca="1" si="135">F425/($D$412*G425)</f>
        <v>3081075.8343220856</v>
      </c>
      <c r="I425" s="558">
        <f t="shared" ref="I425:I435" ca="1" si="136">MAX((E425+H425),$D$414*$D$291*P6*3600/1000)</f>
        <v>8547805.0202486124</v>
      </c>
      <c r="J425" s="630" t="s">
        <v>115</v>
      </c>
      <c r="K425" s="772">
        <f t="shared" ca="1" si="132"/>
        <v>1210.9390445352201</v>
      </c>
      <c r="L425" s="765">
        <f t="shared" ref="L425:L435" ca="1" si="137">K425/$C$2</f>
        <v>0.17623912742471548</v>
      </c>
      <c r="M425" s="540"/>
      <c r="N425" s="747">
        <f t="shared" ca="1" si="133"/>
        <v>4273.902510124306</v>
      </c>
      <c r="O425" s="749">
        <f ca="1">N425/Inputs!$C$11</f>
        <v>0.62202044973428994</v>
      </c>
      <c r="AA425" s="141"/>
      <c r="AB425" s="141"/>
    </row>
    <row r="426" spans="2:28" s="18" customFormat="1" outlineLevel="1" x14ac:dyDescent="0.2">
      <c r="B426" s="540" t="s">
        <v>116</v>
      </c>
      <c r="C426" s="768">
        <f ca="1">Calcs!L347</f>
        <v>22306.778996231005</v>
      </c>
      <c r="D426" s="542">
        <f t="shared" ca="1" si="130"/>
        <v>8.3453686394586342</v>
      </c>
      <c r="E426" s="769">
        <f t="shared" ca="1" si="134"/>
        <v>2155759.4260650594</v>
      </c>
      <c r="F426" s="770">
        <f ca="1">Calcs!L373</f>
        <v>65773.930293212412</v>
      </c>
      <c r="G426" s="771">
        <f t="shared" ca="1" si="131"/>
        <v>7</v>
      </c>
      <c r="H426" s="558">
        <f t="shared" ca="1" si="135"/>
        <v>7578176.3669691812</v>
      </c>
      <c r="I426" s="558">
        <f t="shared" ca="1" si="136"/>
        <v>9733935.7930342406</v>
      </c>
      <c r="J426" s="630" t="s">
        <v>116</v>
      </c>
      <c r="K426" s="772">
        <f t="shared" ca="1" si="132"/>
        <v>1378.9742373465174</v>
      </c>
      <c r="L426" s="765">
        <f t="shared" ca="1" si="137"/>
        <v>0.20069483879297298</v>
      </c>
      <c r="M426" s="540"/>
      <c r="N426" s="747">
        <f t="shared" ca="1" si="133"/>
        <v>4866.9678965171206</v>
      </c>
      <c r="O426" s="749">
        <f ca="1">N426/Inputs!$C$11</f>
        <v>0.7083347251516694</v>
      </c>
      <c r="AA426" s="141"/>
      <c r="AB426" s="141"/>
    </row>
    <row r="427" spans="2:28" s="18" customFormat="1" outlineLevel="1" x14ac:dyDescent="0.2">
      <c r="B427" s="540" t="s">
        <v>117</v>
      </c>
      <c r="C427" s="768">
        <f ca="1">Calcs!L348</f>
        <v>3392.9151553837582</v>
      </c>
      <c r="D427" s="542">
        <f t="shared" ca="1" si="130"/>
        <v>7</v>
      </c>
      <c r="E427" s="769">
        <f t="shared" ca="1" si="134"/>
        <v>390916.4213091603</v>
      </c>
      <c r="F427" s="770">
        <f ca="1">Calcs!L374</f>
        <v>135469.23007451938</v>
      </c>
      <c r="G427" s="771">
        <f t="shared" ca="1" si="131"/>
        <v>7</v>
      </c>
      <c r="H427" s="558">
        <f t="shared" ca="1" si="135"/>
        <v>15608155.28623162</v>
      </c>
      <c r="I427" s="558">
        <f t="shared" ca="1" si="136"/>
        <v>15999071.70754078</v>
      </c>
      <c r="J427" s="630" t="s">
        <v>117</v>
      </c>
      <c r="K427" s="772">
        <f t="shared" ca="1" si="132"/>
        <v>2266.535158568277</v>
      </c>
      <c r="L427" s="765">
        <f t="shared" ca="1" si="137"/>
        <v>0.3298697654734794</v>
      </c>
      <c r="M427" s="540"/>
      <c r="N427" s="747">
        <f t="shared" ca="1" si="133"/>
        <v>7999.5358537703905</v>
      </c>
      <c r="O427" s="749">
        <f ca="1">N427/Inputs!$C$11</f>
        <v>1.1642462310828687</v>
      </c>
      <c r="AA427" s="141"/>
      <c r="AB427" s="141"/>
    </row>
    <row r="428" spans="2:28" s="18" customFormat="1" outlineLevel="1" x14ac:dyDescent="0.2">
      <c r="B428" s="540" t="s">
        <v>118</v>
      </c>
      <c r="C428" s="768">
        <f ca="1">Calcs!L349</f>
        <v>60.017901857645484</v>
      </c>
      <c r="D428" s="542">
        <f t="shared" ca="1" si="130"/>
        <v>7</v>
      </c>
      <c r="E428" s="769">
        <f t="shared" ca="1" si="134"/>
        <v>6914.9926638886118</v>
      </c>
      <c r="F428" s="770">
        <f ca="1">Calcs!L375</f>
        <v>244228.54868128465</v>
      </c>
      <c r="G428" s="771">
        <f t="shared" ca="1" si="131"/>
        <v>7.2842151425173824</v>
      </c>
      <c r="H428" s="558">
        <f t="shared" ca="1" si="135"/>
        <v>27040991.957618624</v>
      </c>
      <c r="I428" s="558">
        <f t="shared" ca="1" si="136"/>
        <v>27047906.950282514</v>
      </c>
      <c r="J428" s="630" t="s">
        <v>118</v>
      </c>
      <c r="K428" s="772">
        <f t="shared" ca="1" si="132"/>
        <v>3831.7868179566894</v>
      </c>
      <c r="L428" s="765">
        <f t="shared" ca="1" si="137"/>
        <v>0.5576752754994454</v>
      </c>
      <c r="M428" s="540"/>
      <c r="N428" s="747">
        <f t="shared" ca="1" si="133"/>
        <v>13523.953475141258</v>
      </c>
      <c r="O428" s="749">
        <f ca="1">N428/Inputs!$C$11</f>
        <v>1.9682656782333368</v>
      </c>
      <c r="AA428" s="141"/>
      <c r="AB428" s="141"/>
    </row>
    <row r="429" spans="2:28" s="18" customFormat="1" outlineLevel="1" x14ac:dyDescent="0.2">
      <c r="B429" s="540" t="s">
        <v>119</v>
      </c>
      <c r="C429" s="768">
        <f ca="1">Calcs!L350</f>
        <v>0</v>
      </c>
      <c r="D429" s="542">
        <f t="shared" ca="1" si="130"/>
        <v>7</v>
      </c>
      <c r="E429" s="769">
        <f t="shared" ca="1" si="134"/>
        <v>0</v>
      </c>
      <c r="F429" s="770">
        <f ca="1">Calcs!L376</f>
        <v>315848.67165808054</v>
      </c>
      <c r="G429" s="771">
        <f t="shared" ca="1" si="131"/>
        <v>7.8369617771860725</v>
      </c>
      <c r="H429" s="558">
        <f t="shared" ca="1" si="135"/>
        <v>32504259.820644733</v>
      </c>
      <c r="I429" s="558">
        <f t="shared" ca="1" si="136"/>
        <v>32504259.820644733</v>
      </c>
      <c r="J429" s="630" t="s">
        <v>119</v>
      </c>
      <c r="K429" s="772">
        <f t="shared" ca="1" si="132"/>
        <v>4604.7701412580036</v>
      </c>
      <c r="L429" s="765">
        <f t="shared" ca="1" si="137"/>
        <v>0.67017466762596467</v>
      </c>
      <c r="M429" s="540"/>
      <c r="N429" s="747">
        <f t="shared" ca="1" si="133"/>
        <v>16252.129910322366</v>
      </c>
      <c r="O429" s="749">
        <f ca="1">N429/Inputs!$C$11</f>
        <v>2.3653223563269345</v>
      </c>
      <c r="AA429" s="141"/>
      <c r="AB429" s="141"/>
    </row>
    <row r="430" spans="2:28" s="18" customFormat="1" outlineLevel="1" x14ac:dyDescent="0.2">
      <c r="B430" s="540" t="s">
        <v>120</v>
      </c>
      <c r="C430" s="768">
        <f ca="1">Calcs!L351</f>
        <v>0</v>
      </c>
      <c r="D430" s="542">
        <f t="shared" ca="1" si="130"/>
        <v>7</v>
      </c>
      <c r="E430" s="769">
        <f t="shared" ca="1" si="134"/>
        <v>0</v>
      </c>
      <c r="F430" s="770">
        <f ca="1">Calcs!L377</f>
        <v>374958.11922631238</v>
      </c>
      <c r="G430" s="771">
        <f t="shared" ca="1" si="131"/>
        <v>8.004436637121831</v>
      </c>
      <c r="H430" s="558">
        <f t="shared" ca="1" si="135"/>
        <v>37779912.322475493</v>
      </c>
      <c r="I430" s="558">
        <f t="shared" ca="1" si="136"/>
        <v>37779912.322475493</v>
      </c>
      <c r="J430" s="630" t="s">
        <v>120</v>
      </c>
      <c r="K430" s="772">
        <f t="shared" ca="1" si="132"/>
        <v>5352.154245684028</v>
      </c>
      <c r="L430" s="765">
        <f t="shared" ca="1" si="137"/>
        <v>0.77894836933256117</v>
      </c>
      <c r="M430" s="540"/>
      <c r="N430" s="747">
        <f t="shared" ca="1" si="133"/>
        <v>18889.956161237747</v>
      </c>
      <c r="O430" s="749">
        <f ca="1">N430/Inputs!$C$11</f>
        <v>2.7492295388208046</v>
      </c>
      <c r="AA430" s="141"/>
      <c r="AB430" s="141"/>
    </row>
    <row r="431" spans="2:28" s="18" customFormat="1" outlineLevel="1" x14ac:dyDescent="0.2">
      <c r="B431" s="540" t="s">
        <v>121</v>
      </c>
      <c r="C431" s="768">
        <f ca="1">Calcs!L352</f>
        <v>0</v>
      </c>
      <c r="D431" s="542">
        <f t="shared" ca="1" si="130"/>
        <v>7</v>
      </c>
      <c r="E431" s="769">
        <f t="shared" ca="1" si="134"/>
        <v>0</v>
      </c>
      <c r="F431" s="770">
        <f ca="1">Calcs!L378</f>
        <v>327011.59712719626</v>
      </c>
      <c r="G431" s="771">
        <f t="shared" ca="1" si="131"/>
        <v>7.8409643145919361</v>
      </c>
      <c r="H431" s="558">
        <f t="shared" ca="1" si="135"/>
        <v>33635867.429638207</v>
      </c>
      <c r="I431" s="558">
        <f t="shared" ca="1" si="136"/>
        <v>33635867.429638207</v>
      </c>
      <c r="J431" s="630" t="s">
        <v>121</v>
      </c>
      <c r="K431" s="772">
        <f t="shared" ca="1" si="132"/>
        <v>4765.0812191987461</v>
      </c>
      <c r="L431" s="765">
        <f t="shared" ca="1" si="137"/>
        <v>0.69350621731898499</v>
      </c>
      <c r="M431" s="540"/>
      <c r="N431" s="747">
        <f t="shared" ca="1" si="133"/>
        <v>16817.933714819104</v>
      </c>
      <c r="O431" s="749">
        <f ca="1">N431/Inputs!$C$11</f>
        <v>2.4476690023023</v>
      </c>
      <c r="AA431" s="141"/>
      <c r="AB431" s="141"/>
    </row>
    <row r="432" spans="2:28" s="18" customFormat="1" outlineLevel="1" x14ac:dyDescent="0.2">
      <c r="B432" s="540" t="s">
        <v>122</v>
      </c>
      <c r="C432" s="768">
        <f ca="1">Calcs!L353</f>
        <v>1.0758749812448514</v>
      </c>
      <c r="D432" s="542">
        <f t="shared" ca="1" si="130"/>
        <v>7</v>
      </c>
      <c r="E432" s="769">
        <f t="shared" ca="1" si="134"/>
        <v>123.95747555813182</v>
      </c>
      <c r="F432" s="770">
        <f ca="1">Calcs!L379</f>
        <v>257647.63093070654</v>
      </c>
      <c r="G432" s="771">
        <f t="shared" ca="1" si="131"/>
        <v>7.5021515287780041</v>
      </c>
      <c r="H432" s="558">
        <f t="shared" ca="1" si="135"/>
        <v>27698055.195268743</v>
      </c>
      <c r="I432" s="558">
        <f t="shared" ca="1" si="136"/>
        <v>27698179.152744301</v>
      </c>
      <c r="J432" s="630" t="s">
        <v>122</v>
      </c>
      <c r="K432" s="772">
        <f t="shared" ca="1" si="132"/>
        <v>3923.9087133054427</v>
      </c>
      <c r="L432" s="765">
        <f t="shared" ca="1" si="137"/>
        <v>0.57108262455325898</v>
      </c>
      <c r="M432" s="540"/>
      <c r="N432" s="747">
        <f t="shared" ca="1" si="133"/>
        <v>13849.089576372151</v>
      </c>
      <c r="O432" s="749">
        <f ca="1">N432/Inputs!$C$11</f>
        <v>2.0155857337173848</v>
      </c>
      <c r="AA432" s="141"/>
      <c r="AB432" s="141"/>
    </row>
    <row r="433" spans="2:28" s="18" customFormat="1" outlineLevel="1" x14ac:dyDescent="0.2">
      <c r="B433" s="540" t="s">
        <v>123</v>
      </c>
      <c r="C433" s="768">
        <f ca="1">Calcs!L354</f>
        <v>2444.6517542110523</v>
      </c>
      <c r="D433" s="542">
        <f t="shared" ca="1" si="130"/>
        <v>7.0164577908749806</v>
      </c>
      <c r="E433" s="769">
        <f t="shared" ca="1" si="134"/>
        <v>281001.11258751294</v>
      </c>
      <c r="F433" s="770">
        <f ca="1">Calcs!L380</f>
        <v>141171.17254692383</v>
      </c>
      <c r="G433" s="771">
        <f t="shared" ca="1" si="131"/>
        <v>7</v>
      </c>
      <c r="H433" s="558">
        <f t="shared" ca="1" si="135"/>
        <v>16265107.447940169</v>
      </c>
      <c r="I433" s="558">
        <f t="shared" ca="1" si="136"/>
        <v>16546108.560527682</v>
      </c>
      <c r="J433" s="630" t="s">
        <v>123</v>
      </c>
      <c r="K433" s="772">
        <f t="shared" ca="1" si="132"/>
        <v>2344.0320460747548</v>
      </c>
      <c r="L433" s="765">
        <f t="shared" ca="1" si="137"/>
        <v>0.3411486022521838</v>
      </c>
      <c r="M433" s="540"/>
      <c r="N433" s="747">
        <f t="shared" ca="1" si="133"/>
        <v>8273.0542802638411</v>
      </c>
      <c r="O433" s="749">
        <f ca="1">N433/Inputs!$C$11</f>
        <v>1.2040538903018252</v>
      </c>
      <c r="AA433" s="141"/>
      <c r="AB433" s="141"/>
    </row>
    <row r="434" spans="2:28" s="18" customFormat="1" outlineLevel="1" x14ac:dyDescent="0.2">
      <c r="B434" s="540" t="s">
        <v>124</v>
      </c>
      <c r="C434" s="768">
        <f ca="1">Calcs!L355</f>
        <v>20627.218897050217</v>
      </c>
      <c r="D434" s="542">
        <f t="shared" ca="1" si="130"/>
        <v>8.4713799204707385</v>
      </c>
      <c r="E434" s="769">
        <f t="shared" ca="1" si="134"/>
        <v>1963791.9383060888</v>
      </c>
      <c r="F434" s="770">
        <f ca="1">Calcs!L381</f>
        <v>53541.53859475939</v>
      </c>
      <c r="G434" s="771">
        <f t="shared" ca="1" si="131"/>
        <v>7</v>
      </c>
      <c r="H434" s="558">
        <f t="shared" ca="1" si="135"/>
        <v>6168815.222401957</v>
      </c>
      <c r="I434" s="558">
        <f t="shared" ca="1" si="136"/>
        <v>8502222.8571428563</v>
      </c>
      <c r="J434" s="630" t="s">
        <v>124</v>
      </c>
      <c r="K434" s="772">
        <f t="shared" ca="1" si="132"/>
        <v>1204.4815714285714</v>
      </c>
      <c r="L434" s="765">
        <f t="shared" ca="1" si="137"/>
        <v>0.17529931180738922</v>
      </c>
      <c r="M434" s="540"/>
      <c r="N434" s="747">
        <f t="shared" ca="1" si="133"/>
        <v>4251.1114285714284</v>
      </c>
      <c r="O434" s="749">
        <f ca="1">N434/Inputs!$C$11</f>
        <v>0.61870345343784439</v>
      </c>
      <c r="AA434" s="141"/>
      <c r="AB434" s="141"/>
    </row>
    <row r="435" spans="2:28" s="18" customFormat="1" outlineLevel="1" x14ac:dyDescent="0.2">
      <c r="B435" s="540" t="s">
        <v>125</v>
      </c>
      <c r="C435" s="768">
        <f ca="1">Calcs!L356</f>
        <v>81524.619120048126</v>
      </c>
      <c r="D435" s="542">
        <f t="shared" ca="1" si="130"/>
        <v>9.2827822107377642</v>
      </c>
      <c r="E435" s="769">
        <f t="shared" ca="1" si="134"/>
        <v>7083038.0014932072</v>
      </c>
      <c r="F435" s="770">
        <f ca="1">Calcs!L382</f>
        <v>22522.795411725878</v>
      </c>
      <c r="G435" s="771">
        <f t="shared" ca="1" si="131"/>
        <v>7</v>
      </c>
      <c r="H435" s="558">
        <f t="shared" ca="1" si="135"/>
        <v>2594975.1694378615</v>
      </c>
      <c r="I435" s="558">
        <f t="shared" ca="1" si="136"/>
        <v>9678013.1709310692</v>
      </c>
      <c r="J435" s="630" t="s">
        <v>125</v>
      </c>
      <c r="K435" s="772">
        <f t="shared" ca="1" si="132"/>
        <v>1371.0518658819017</v>
      </c>
      <c r="L435" s="765">
        <f t="shared" ca="1" si="137"/>
        <v>0.19954182300711712</v>
      </c>
      <c r="M435" s="540"/>
      <c r="N435" s="747">
        <f t="shared" ca="1" si="133"/>
        <v>4839.006585465535</v>
      </c>
      <c r="O435" s="749">
        <f ca="1">N435/Inputs!$C$11</f>
        <v>0.70426525767217796</v>
      </c>
      <c r="AA435" s="141"/>
      <c r="AB435" s="141"/>
    </row>
    <row r="436" spans="2:28" s="18" customFormat="1" outlineLevel="1" x14ac:dyDescent="0.2">
      <c r="B436" s="540"/>
      <c r="C436" s="540"/>
      <c r="D436" s="540"/>
      <c r="E436" s="540"/>
      <c r="F436" s="593"/>
      <c r="G436" s="593"/>
      <c r="H436" s="601"/>
      <c r="I436" s="540"/>
      <c r="J436" s="773" t="s">
        <v>325</v>
      </c>
      <c r="K436" s="774">
        <f ca="1">SUM(K424:K435)</f>
        <v>33763.740877840668</v>
      </c>
      <c r="L436" s="775">
        <f ca="1">SUM(L424:L435)</f>
        <v>4.9139486068753708</v>
      </c>
      <c r="M436" s="540"/>
      <c r="N436" s="746"/>
      <c r="O436" s="748">
        <f ca="1">SUM(O424:O435)</f>
        <v>17.343348024266014</v>
      </c>
      <c r="AA436" s="141"/>
      <c r="AB436" s="141"/>
    </row>
    <row r="437" spans="2:28" s="423" customFormat="1" outlineLevel="1" x14ac:dyDescent="0.25">
      <c r="B437" s="540"/>
      <c r="C437" s="540"/>
      <c r="D437" s="540"/>
      <c r="E437" s="540"/>
      <c r="F437" s="593"/>
      <c r="G437" s="593"/>
      <c r="H437" s="601"/>
      <c r="I437" s="540"/>
      <c r="J437" s="776"/>
      <c r="K437" s="593"/>
      <c r="L437" s="540"/>
      <c r="M437" s="540"/>
      <c r="AA437" s="141"/>
      <c r="AB437" s="141"/>
    </row>
    <row r="438" spans="2:28" s="423" customFormat="1" ht="13.5" outlineLevel="1" thickBot="1" x14ac:dyDescent="0.3">
      <c r="B438" s="540"/>
      <c r="C438" s="777"/>
      <c r="D438" s="777"/>
      <c r="E438" s="540"/>
      <c r="F438" s="593"/>
      <c r="G438" s="593"/>
      <c r="H438" s="601"/>
      <c r="I438" s="540"/>
      <c r="J438" s="601"/>
      <c r="K438" s="776"/>
      <c r="L438" s="593"/>
      <c r="M438" s="540"/>
      <c r="AA438" s="141"/>
      <c r="AB438" s="141"/>
    </row>
    <row r="439" spans="2:28" s="423" customFormat="1" outlineLevel="1" x14ac:dyDescent="0.25">
      <c r="F439" s="438"/>
      <c r="G439" s="438"/>
      <c r="H439" s="82"/>
      <c r="J439" s="82"/>
      <c r="K439" s="280"/>
      <c r="L439" s="36"/>
      <c r="AA439" s="141"/>
      <c r="AB439" s="141"/>
    </row>
    <row r="440" spans="2:28" s="423" customFormat="1" outlineLevel="1" x14ac:dyDescent="0.25">
      <c r="F440" s="438"/>
      <c r="G440" s="438"/>
      <c r="H440" s="82"/>
      <c r="J440" s="82"/>
      <c r="K440" s="280"/>
      <c r="L440" s="36"/>
      <c r="AA440" s="141"/>
      <c r="AB440" s="141"/>
    </row>
    <row r="441" spans="2:28" s="423" customFormat="1" outlineLevel="1" x14ac:dyDescent="0.25">
      <c r="K441" s="280"/>
      <c r="L441" s="36"/>
      <c r="AA441" s="141"/>
      <c r="AB441" s="141"/>
    </row>
    <row r="442" spans="2:28" s="423" customFormat="1" ht="13.5" outlineLevel="1" thickBot="1" x14ac:dyDescent="0.3">
      <c r="B442" s="139" t="s">
        <v>935</v>
      </c>
      <c r="C442" s="139"/>
      <c r="D442" s="139"/>
      <c r="E442" s="139"/>
      <c r="F442" s="18"/>
      <c r="K442" s="280"/>
      <c r="L442" s="36"/>
      <c r="AA442" s="141"/>
      <c r="AB442" s="141"/>
    </row>
    <row r="443" spans="2:28" s="423" customFormat="1" outlineLevel="1" x14ac:dyDescent="0.25">
      <c r="B443" s="18"/>
      <c r="F443" s="18"/>
      <c r="K443" s="280"/>
      <c r="L443" s="36"/>
      <c r="AA443" s="141"/>
      <c r="AB443" s="141"/>
    </row>
    <row r="444" spans="2:28" s="423" customFormat="1" outlineLevel="1" x14ac:dyDescent="0.25">
      <c r="B444" s="18"/>
      <c r="C444" s="5" t="s">
        <v>867</v>
      </c>
      <c r="D444" s="6"/>
      <c r="E444" s="461"/>
      <c r="F444" s="18"/>
      <c r="K444" s="280"/>
      <c r="L444" s="36"/>
      <c r="AA444" s="141"/>
      <c r="AB444" s="141"/>
    </row>
    <row r="445" spans="2:28" s="423" customFormat="1" outlineLevel="1" x14ac:dyDescent="0.25">
      <c r="B445" s="18"/>
      <c r="C445" s="462" t="s">
        <v>869</v>
      </c>
      <c r="D445" s="463"/>
      <c r="E445" s="464"/>
      <c r="F445" s="18"/>
      <c r="K445" s="280"/>
      <c r="L445" s="36"/>
      <c r="AA445" s="141"/>
      <c r="AB445" s="141"/>
    </row>
    <row r="446" spans="2:28" s="423" customFormat="1" outlineLevel="1" x14ac:dyDescent="0.25">
      <c r="B446" s="18"/>
      <c r="C446" s="432" t="s">
        <v>867</v>
      </c>
      <c r="D446" s="465">
        <v>0</v>
      </c>
      <c r="E446" s="432" t="s">
        <v>868</v>
      </c>
      <c r="F446" s="18"/>
      <c r="K446" s="280"/>
      <c r="L446" s="36"/>
      <c r="AA446" s="141"/>
      <c r="AB446" s="141"/>
    </row>
    <row r="447" spans="2:28" s="423" customFormat="1" outlineLevel="1" x14ac:dyDescent="0.25">
      <c r="B447" s="18"/>
      <c r="C447" s="455" t="s">
        <v>869</v>
      </c>
      <c r="D447" s="456">
        <v>0.9</v>
      </c>
      <c r="E447" s="420" t="s">
        <v>870</v>
      </c>
      <c r="F447" s="18"/>
      <c r="K447" s="280"/>
      <c r="L447" s="36"/>
      <c r="AA447" s="141"/>
      <c r="AB447" s="141"/>
    </row>
    <row r="448" spans="2:28" s="423" customFormat="1" outlineLevel="1" x14ac:dyDescent="0.25">
      <c r="B448" s="18"/>
      <c r="C448" s="455" t="s">
        <v>871</v>
      </c>
      <c r="D448" s="456">
        <v>0.87</v>
      </c>
      <c r="E448" s="420"/>
      <c r="F448" s="18"/>
      <c r="K448" s="280"/>
      <c r="L448" s="36"/>
      <c r="AA448" s="141"/>
      <c r="AB448" s="141"/>
    </row>
    <row r="449" spans="2:28" s="423" customFormat="1" outlineLevel="1" x14ac:dyDescent="0.25">
      <c r="B449" s="18"/>
      <c r="C449" s="432" t="s">
        <v>872</v>
      </c>
      <c r="D449" s="466">
        <v>0</v>
      </c>
      <c r="E449" s="432" t="s">
        <v>873</v>
      </c>
      <c r="F449" s="18"/>
      <c r="K449" s="280"/>
      <c r="L449" s="36"/>
      <c r="AA449" s="141"/>
      <c r="AB449" s="141"/>
    </row>
    <row r="450" spans="2:28" s="423" customFormat="1" outlineLevel="1" x14ac:dyDescent="0.25">
      <c r="B450" s="18"/>
      <c r="C450" s="462" t="s">
        <v>874</v>
      </c>
      <c r="D450" s="463"/>
      <c r="E450" s="464"/>
      <c r="F450" s="18"/>
      <c r="K450" s="280"/>
      <c r="L450" s="36"/>
      <c r="AA450" s="141"/>
      <c r="AB450" s="141"/>
    </row>
    <row r="451" spans="2:28" s="423" customFormat="1" outlineLevel="1" x14ac:dyDescent="0.25">
      <c r="B451" s="18"/>
      <c r="C451" s="432" t="s">
        <v>875</v>
      </c>
      <c r="D451" s="465">
        <v>0</v>
      </c>
      <c r="E451" s="432" t="s">
        <v>876</v>
      </c>
      <c r="F451" s="18"/>
      <c r="K451" s="280"/>
      <c r="L451" s="36"/>
      <c r="AA451" s="141"/>
      <c r="AB451" s="141"/>
    </row>
    <row r="452" spans="2:28" s="423" customFormat="1" outlineLevel="1" x14ac:dyDescent="0.25">
      <c r="B452" s="18"/>
      <c r="C452" s="455" t="s">
        <v>877</v>
      </c>
      <c r="D452" s="456">
        <v>0.9</v>
      </c>
      <c r="E452" s="420"/>
      <c r="F452" s="18"/>
      <c r="K452" s="280"/>
      <c r="L452" s="36"/>
      <c r="AA452" s="141"/>
      <c r="AB452" s="141"/>
    </row>
    <row r="453" spans="2:28" s="423" customFormat="1" outlineLevel="1" x14ac:dyDescent="0.25">
      <c r="B453" s="18"/>
      <c r="C453" s="455" t="s">
        <v>878</v>
      </c>
      <c r="D453" s="456">
        <v>5.5</v>
      </c>
      <c r="E453" s="432" t="s">
        <v>45</v>
      </c>
      <c r="F453" s="18"/>
      <c r="K453" s="280"/>
      <c r="L453" s="36"/>
      <c r="AA453" s="141"/>
      <c r="AB453" s="141"/>
    </row>
    <row r="454" spans="2:28" s="423" customFormat="1" outlineLevel="1" x14ac:dyDescent="0.25">
      <c r="B454" s="18"/>
      <c r="C454" s="435" t="s">
        <v>879</v>
      </c>
      <c r="D454" s="466">
        <v>0</v>
      </c>
      <c r="E454" s="432" t="s">
        <v>873</v>
      </c>
      <c r="F454" s="18"/>
      <c r="K454" s="280"/>
      <c r="L454" s="36"/>
      <c r="AA454" s="141"/>
      <c r="AB454" s="141"/>
    </row>
    <row r="455" spans="2:28" s="423" customFormat="1" outlineLevel="1" x14ac:dyDescent="0.25">
      <c r="B455" s="18"/>
      <c r="C455" s="432" t="s">
        <v>880</v>
      </c>
      <c r="D455" s="466">
        <v>1</v>
      </c>
      <c r="E455" s="432" t="s">
        <v>45</v>
      </c>
      <c r="F455" s="18"/>
      <c r="K455" s="280"/>
      <c r="L455" s="36"/>
      <c r="AA455" s="141"/>
      <c r="AB455" s="141"/>
    </row>
    <row r="456" spans="2:28" s="423" customFormat="1" outlineLevel="1" x14ac:dyDescent="0.25">
      <c r="B456" s="18"/>
      <c r="C456" s="432" t="s">
        <v>881</v>
      </c>
      <c r="D456" s="466">
        <v>0</v>
      </c>
      <c r="E456" s="432" t="s">
        <v>873</v>
      </c>
      <c r="F456" s="18"/>
      <c r="K456" s="280"/>
      <c r="L456" s="36"/>
      <c r="AA456" s="141"/>
      <c r="AB456" s="141"/>
    </row>
    <row r="457" spans="2:28" s="423" customFormat="1" outlineLevel="1" x14ac:dyDescent="0.25">
      <c r="C457" s="18"/>
      <c r="E457" s="18"/>
      <c r="F457" s="18"/>
      <c r="K457" s="280"/>
      <c r="L457" s="36"/>
      <c r="AA457" s="141"/>
      <c r="AB457" s="141"/>
    </row>
    <row r="458" spans="2:28" s="423" customFormat="1" outlineLevel="1" x14ac:dyDescent="0.25">
      <c r="F458" s="438"/>
      <c r="G458" s="438"/>
      <c r="H458" s="82"/>
      <c r="J458" s="82"/>
      <c r="K458" s="280"/>
      <c r="L458" s="36"/>
      <c r="AA458" s="141"/>
      <c r="AB458" s="141"/>
    </row>
    <row r="459" spans="2:28" s="423" customFormat="1" outlineLevel="1" x14ac:dyDescent="0.25">
      <c r="F459" s="438"/>
      <c r="G459" s="438"/>
      <c r="H459" s="82"/>
      <c r="J459" s="82"/>
      <c r="K459" s="280"/>
      <c r="L459" s="36"/>
      <c r="AA459" s="141"/>
      <c r="AB459" s="141"/>
    </row>
    <row r="460" spans="2:28" s="423" customFormat="1" outlineLevel="1" x14ac:dyDescent="0.25">
      <c r="F460" s="438"/>
      <c r="G460" s="438"/>
      <c r="H460" s="82"/>
      <c r="J460" s="82"/>
      <c r="K460" s="280"/>
      <c r="L460" s="36"/>
      <c r="AA460" s="141"/>
      <c r="AB460" s="141"/>
    </row>
    <row r="461" spans="2:28" s="423" customFormat="1" outlineLevel="1" x14ac:dyDescent="0.25">
      <c r="F461" s="438"/>
      <c r="G461" s="438"/>
      <c r="H461" s="82"/>
      <c r="J461" s="82"/>
      <c r="K461" s="280"/>
      <c r="L461" s="36"/>
      <c r="AA461" s="141"/>
      <c r="AB461" s="141"/>
    </row>
    <row r="462" spans="2:28" s="423" customFormat="1" outlineLevel="1" x14ac:dyDescent="0.25">
      <c r="F462" s="438"/>
      <c r="G462" s="438"/>
      <c r="H462" s="82"/>
      <c r="J462" s="82"/>
      <c r="K462" s="280"/>
      <c r="L462" s="36"/>
      <c r="AA462" s="141"/>
      <c r="AB462" s="141"/>
    </row>
    <row r="463" spans="2:28" s="423" customFormat="1" outlineLevel="1" x14ac:dyDescent="0.25">
      <c r="F463" s="438"/>
      <c r="G463" s="438"/>
      <c r="H463" s="82"/>
      <c r="J463" s="82"/>
      <c r="K463" s="280"/>
      <c r="L463" s="36"/>
      <c r="AA463" s="141"/>
      <c r="AB463" s="141"/>
    </row>
    <row r="464" spans="2:28" s="423" customFormat="1" outlineLevel="1" x14ac:dyDescent="0.25">
      <c r="F464" s="438"/>
      <c r="G464" s="438"/>
      <c r="H464" s="82"/>
      <c r="J464" s="82"/>
      <c r="K464" s="280"/>
      <c r="L464" s="36"/>
      <c r="AA464" s="141"/>
      <c r="AB464" s="141"/>
    </row>
    <row r="465" spans="1:28" s="423" customFormat="1" outlineLevel="1" x14ac:dyDescent="0.25">
      <c r="F465" s="438"/>
      <c r="G465" s="438"/>
      <c r="H465" s="82"/>
      <c r="J465" s="82"/>
      <c r="K465" s="280"/>
      <c r="L465" s="36"/>
      <c r="AA465" s="141"/>
      <c r="AB465" s="141"/>
    </row>
    <row r="466" spans="1:28" s="139" customFormat="1" ht="13.5" thickBot="1" x14ac:dyDescent="0.3">
      <c r="C466" s="151"/>
      <c r="D466" s="153"/>
      <c r="H466" s="137"/>
      <c r="I466" s="137"/>
      <c r="AA466" s="154"/>
      <c r="AB466" s="154"/>
    </row>
    <row r="467" spans="1:28" s="18" customFormat="1" x14ac:dyDescent="0.25">
      <c r="A467" s="17" t="s">
        <v>300</v>
      </c>
      <c r="H467" s="74"/>
      <c r="W467" s="140"/>
      <c r="AA467" s="141"/>
      <c r="AB467" s="141"/>
    </row>
    <row r="468" spans="1:28" s="18" customFormat="1" outlineLevel="1" x14ac:dyDescent="0.25">
      <c r="H468" s="74"/>
      <c r="AA468" s="141"/>
      <c r="AB468" s="141"/>
    </row>
    <row r="469" spans="1:28" s="18" customFormat="1" outlineLevel="1" x14ac:dyDescent="0.25">
      <c r="B469" s="540" t="s">
        <v>219</v>
      </c>
      <c r="C469" s="541" t="s">
        <v>301</v>
      </c>
      <c r="D469" s="540">
        <f>Inputs!C47</f>
        <v>0.8</v>
      </c>
      <c r="E469" s="540"/>
      <c r="F469" s="540"/>
      <c r="G469" s="540"/>
      <c r="H469" s="541"/>
      <c r="I469" s="540"/>
      <c r="AA469" s="141"/>
      <c r="AB469" s="141"/>
    </row>
    <row r="470" spans="1:28" s="18" customFormat="1" outlineLevel="1" x14ac:dyDescent="0.25">
      <c r="B470" s="540"/>
      <c r="C470" s="540"/>
      <c r="D470" s="540"/>
      <c r="E470" s="540"/>
      <c r="F470" s="540"/>
      <c r="G470" s="540"/>
      <c r="H470" s="540"/>
      <c r="I470" s="540"/>
      <c r="AA470" s="141"/>
      <c r="AB470" s="141"/>
    </row>
    <row r="471" spans="1:28" s="18" customFormat="1" outlineLevel="1" x14ac:dyDescent="0.25">
      <c r="B471" s="540" t="s">
        <v>262</v>
      </c>
      <c r="C471" s="541" t="s">
        <v>302</v>
      </c>
      <c r="D471" s="778">
        <f>Inputs!C43</f>
        <v>3</v>
      </c>
      <c r="E471" s="540" t="s">
        <v>303</v>
      </c>
      <c r="F471" s="540"/>
      <c r="G471" s="540"/>
      <c r="H471" s="507" t="s">
        <v>307</v>
      </c>
      <c r="I471" s="780">
        <f ca="1">MAX(L357/(L383+L357),0.1)</f>
        <v>0.12719832090785749</v>
      </c>
      <c r="N471" s="10"/>
      <c r="O471" s="10"/>
      <c r="AA471" s="141"/>
      <c r="AB471" s="141"/>
    </row>
    <row r="472" spans="1:28" s="18" customFormat="1" outlineLevel="1" x14ac:dyDescent="0.25">
      <c r="B472" s="540"/>
      <c r="C472" s="541" t="s">
        <v>305</v>
      </c>
      <c r="D472" s="542">
        <f>Inputs!C44</f>
        <v>1.05</v>
      </c>
      <c r="E472" s="540" t="s">
        <v>306</v>
      </c>
      <c r="F472" s="540"/>
      <c r="G472" s="540"/>
      <c r="H472" s="507" t="s">
        <v>304</v>
      </c>
      <c r="I472" s="780">
        <f ca="1">MAX((1-I471),0.1)</f>
        <v>0.87280167909214246</v>
      </c>
      <c r="M472" s="10"/>
      <c r="N472" s="10"/>
      <c r="O472" s="10"/>
      <c r="AA472" s="141"/>
      <c r="AB472" s="141"/>
    </row>
    <row r="473" spans="1:28" s="18" customFormat="1" outlineLevel="1" x14ac:dyDescent="0.25">
      <c r="B473" s="540"/>
      <c r="C473" s="541" t="s">
        <v>308</v>
      </c>
      <c r="D473" s="542">
        <f>D471*D472</f>
        <v>3.1500000000000004</v>
      </c>
      <c r="E473" s="540"/>
      <c r="F473" s="540"/>
      <c r="G473" s="540"/>
      <c r="H473" s="540"/>
      <c r="I473" s="540"/>
      <c r="M473" s="10"/>
      <c r="AA473" s="141"/>
      <c r="AB473" s="141"/>
    </row>
    <row r="474" spans="1:28" s="18" customFormat="1" outlineLevel="1" x14ac:dyDescent="0.25">
      <c r="B474" s="540"/>
      <c r="C474" s="540"/>
      <c r="D474" s="779"/>
      <c r="E474" s="540"/>
      <c r="F474" s="540"/>
      <c r="G474" s="540" t="s">
        <v>850</v>
      </c>
      <c r="H474" s="507" t="s">
        <v>313</v>
      </c>
      <c r="I474" s="780">
        <f ca="1">1/(1+D476+D475/I471)</f>
        <v>0.92592592592592582</v>
      </c>
      <c r="M474" s="10"/>
      <c r="AA474" s="141"/>
      <c r="AB474" s="141"/>
    </row>
    <row r="475" spans="1:28" s="18" customFormat="1" outlineLevel="1" x14ac:dyDescent="0.25">
      <c r="B475" s="540" t="s">
        <v>310</v>
      </c>
      <c r="C475" s="507" t="s">
        <v>311</v>
      </c>
      <c r="D475" s="780">
        <f ca="1">Inputs!L58</f>
        <v>0</v>
      </c>
      <c r="E475" s="540" t="s">
        <v>312</v>
      </c>
      <c r="F475" s="541" t="s">
        <v>311</v>
      </c>
      <c r="G475" s="611">
        <f ca="1">IF(ISBLANK(Inputs!L58),"",Inputs!L58)</f>
        <v>0</v>
      </c>
      <c r="H475" s="507" t="s">
        <v>309</v>
      </c>
      <c r="I475" s="780">
        <f ca="1">1/(1+D477+D475/I472)</f>
        <v>1</v>
      </c>
      <c r="J475" s="16"/>
      <c r="M475" s="10"/>
      <c r="AA475" s="141"/>
      <c r="AB475" s="141"/>
    </row>
    <row r="476" spans="1:28" s="18" customFormat="1" outlineLevel="1" x14ac:dyDescent="0.25">
      <c r="B476" s="540"/>
      <c r="C476" s="541" t="s">
        <v>314</v>
      </c>
      <c r="D476" s="780">
        <f ca="1">Inputs!M58</f>
        <v>0.08</v>
      </c>
      <c r="E476" s="540" t="s">
        <v>312</v>
      </c>
      <c r="F476" s="541" t="s">
        <v>314</v>
      </c>
      <c r="G476" s="611"/>
      <c r="H476" s="540"/>
      <c r="I476" s="540"/>
      <c r="AA476" s="141"/>
      <c r="AB476" s="141"/>
    </row>
    <row r="477" spans="1:28" s="18" customFormat="1" outlineLevel="1" x14ac:dyDescent="0.25">
      <c r="B477" s="540"/>
      <c r="C477" s="507" t="s">
        <v>315</v>
      </c>
      <c r="D477" s="780">
        <f ca="1">Inputs!N58</f>
        <v>0</v>
      </c>
      <c r="E477" s="540"/>
      <c r="F477" s="507" t="s">
        <v>315</v>
      </c>
      <c r="G477" s="611">
        <f ca="1">IF(ISBLANK(Inputs!N58),"",Inputs!N58)</f>
        <v>0</v>
      </c>
      <c r="H477" s="540"/>
      <c r="I477" s="540"/>
      <c r="AA477" s="141"/>
      <c r="AB477" s="141"/>
    </row>
    <row r="478" spans="1:28" s="18" customFormat="1" outlineLevel="1" x14ac:dyDescent="0.25">
      <c r="B478" s="540"/>
      <c r="C478" s="540"/>
      <c r="D478" s="540"/>
      <c r="E478" s="540"/>
      <c r="F478" s="540"/>
      <c r="G478" s="540"/>
      <c r="H478" s="540"/>
      <c r="I478" s="540"/>
      <c r="T478" s="10"/>
      <c r="AA478" s="141"/>
      <c r="AB478" s="141"/>
    </row>
    <row r="479" spans="1:28" s="18" customFormat="1" outlineLevel="1" x14ac:dyDescent="0.25">
      <c r="B479" s="540"/>
      <c r="C479" s="541"/>
      <c r="D479" s="539" t="s">
        <v>317</v>
      </c>
      <c r="E479" s="539" t="s">
        <v>653</v>
      </c>
      <c r="F479" s="540"/>
      <c r="G479" s="540"/>
      <c r="H479" s="540"/>
      <c r="I479" s="540"/>
      <c r="AA479" s="141"/>
      <c r="AB479" s="141"/>
    </row>
    <row r="480" spans="1:28" s="18" customFormat="1" outlineLevel="1" x14ac:dyDescent="0.25">
      <c r="B480" s="540"/>
      <c r="C480" s="541"/>
      <c r="D480" s="540" t="s">
        <v>654</v>
      </c>
      <c r="E480" s="540"/>
      <c r="F480" s="540"/>
      <c r="G480" s="540"/>
      <c r="H480" s="540"/>
      <c r="I480" s="540"/>
      <c r="AA480" s="141"/>
      <c r="AB480" s="141"/>
    </row>
    <row r="481" spans="2:28" s="18" customFormat="1" ht="25.5" outlineLevel="1" x14ac:dyDescent="0.25">
      <c r="B481" s="540"/>
      <c r="C481" s="541"/>
      <c r="D481" s="801" t="s">
        <v>321</v>
      </c>
      <c r="E481" s="802" t="s">
        <v>322</v>
      </c>
      <c r="F481" s="803" t="s">
        <v>323</v>
      </c>
      <c r="G481" s="803" t="s">
        <v>324</v>
      </c>
      <c r="H481" s="540"/>
      <c r="I481" s="540"/>
      <c r="R481" s="143" t="s">
        <v>322</v>
      </c>
      <c r="S481" s="144" t="s">
        <v>323</v>
      </c>
      <c r="T481" s="144" t="s">
        <v>324</v>
      </c>
      <c r="U481" s="142" t="s">
        <v>321</v>
      </c>
      <c r="AA481" s="141"/>
      <c r="AB481" s="141"/>
    </row>
    <row r="482" spans="2:28" s="18" customFormat="1" outlineLevel="1" x14ac:dyDescent="0.25">
      <c r="B482" s="540"/>
      <c r="C482" s="541">
        <f>SUM(E482:G482)</f>
        <v>0.08</v>
      </c>
      <c r="D482" s="529" t="s">
        <v>41</v>
      </c>
      <c r="E482" s="510">
        <v>0</v>
      </c>
      <c r="F482" s="510">
        <v>0.08</v>
      </c>
      <c r="G482" s="804">
        <v>0</v>
      </c>
      <c r="H482" s="540"/>
      <c r="I482" s="540"/>
      <c r="Q482" s="18">
        <v>1</v>
      </c>
      <c r="R482" s="436">
        <v>0</v>
      </c>
      <c r="S482" s="436">
        <v>0.08</v>
      </c>
      <c r="T482" s="145">
        <v>0</v>
      </c>
      <c r="U482" s="24" t="s">
        <v>1012</v>
      </c>
      <c r="AA482" s="141"/>
      <c r="AB482" s="141"/>
    </row>
    <row r="483" spans="2:28" s="18" customFormat="1" outlineLevel="1" x14ac:dyDescent="0.25">
      <c r="B483" s="540"/>
      <c r="C483" s="541">
        <f t="shared" ref="C483:C517" si="138">SUM(E483:G483)</f>
        <v>0.25</v>
      </c>
      <c r="D483" s="529" t="s">
        <v>43</v>
      </c>
      <c r="E483" s="510">
        <v>0</v>
      </c>
      <c r="F483" s="510">
        <v>0.25</v>
      </c>
      <c r="G483" s="804">
        <v>0</v>
      </c>
      <c r="H483" s="540"/>
      <c r="I483" s="540"/>
      <c r="Q483" s="18">
        <v>2</v>
      </c>
      <c r="R483" s="436">
        <v>0</v>
      </c>
      <c r="S483" s="436">
        <v>0.25</v>
      </c>
      <c r="T483" s="145">
        <v>0</v>
      </c>
      <c r="U483" s="24" t="s">
        <v>1013</v>
      </c>
      <c r="AA483" s="141"/>
      <c r="AB483" s="141"/>
    </row>
    <row r="484" spans="2:28" s="18" customFormat="1" outlineLevel="1" x14ac:dyDescent="0.25">
      <c r="B484" s="540"/>
      <c r="C484" s="541">
        <f t="shared" si="138"/>
        <v>0</v>
      </c>
      <c r="D484" s="529" t="s">
        <v>44</v>
      </c>
      <c r="E484" s="510">
        <v>0</v>
      </c>
      <c r="F484" s="510">
        <v>0</v>
      </c>
      <c r="G484" s="804">
        <v>0</v>
      </c>
      <c r="H484" s="540"/>
      <c r="I484" s="540"/>
      <c r="Q484" s="18">
        <v>3</v>
      </c>
      <c r="R484" s="436">
        <v>0</v>
      </c>
      <c r="S484" s="436">
        <v>0</v>
      </c>
      <c r="T484" s="145">
        <v>0</v>
      </c>
      <c r="U484" s="24" t="s">
        <v>1014</v>
      </c>
      <c r="AA484" s="141"/>
      <c r="AB484" s="141"/>
    </row>
    <row r="485" spans="2:28" s="18" customFormat="1" outlineLevel="1" x14ac:dyDescent="0.25">
      <c r="B485" s="540"/>
      <c r="C485" s="541">
        <f t="shared" si="138"/>
        <v>0.36</v>
      </c>
      <c r="D485" s="529" t="s">
        <v>46</v>
      </c>
      <c r="E485" s="510">
        <v>0</v>
      </c>
      <c r="F485" s="510">
        <v>0.36</v>
      </c>
      <c r="G485" s="804">
        <v>0</v>
      </c>
      <c r="H485" s="540"/>
      <c r="I485" s="540"/>
      <c r="Q485" s="423">
        <v>4</v>
      </c>
      <c r="R485" s="436">
        <v>0</v>
      </c>
      <c r="S485" s="436">
        <v>0.36</v>
      </c>
      <c r="T485" s="145">
        <v>0</v>
      </c>
      <c r="U485" s="24" t="s">
        <v>1015</v>
      </c>
      <c r="AA485" s="141"/>
      <c r="AB485" s="141"/>
    </row>
    <row r="486" spans="2:28" s="18" customFormat="1" outlineLevel="1" x14ac:dyDescent="0.25">
      <c r="B486" s="540"/>
      <c r="C486" s="541">
        <f t="shared" si="138"/>
        <v>0.12</v>
      </c>
      <c r="D486" s="529" t="s">
        <v>48</v>
      </c>
      <c r="E486" s="510">
        <v>0.03</v>
      </c>
      <c r="F486" s="510">
        <v>0.08</v>
      </c>
      <c r="G486" s="804">
        <v>0.01</v>
      </c>
      <c r="H486" s="540"/>
      <c r="I486" s="540"/>
      <c r="Q486" s="423">
        <v>5</v>
      </c>
      <c r="R486" s="436">
        <v>0.03</v>
      </c>
      <c r="S486" s="436">
        <v>0.08</v>
      </c>
      <c r="T486" s="145">
        <v>0.01</v>
      </c>
      <c r="U486" s="24" t="s">
        <v>1016</v>
      </c>
      <c r="AA486" s="141"/>
      <c r="AB486" s="141"/>
    </row>
    <row r="487" spans="2:28" s="18" customFormat="1" outlineLevel="1" x14ac:dyDescent="0.25">
      <c r="B487" s="540"/>
      <c r="C487" s="541">
        <f t="shared" si="138"/>
        <v>0.08</v>
      </c>
      <c r="D487" s="529" t="s">
        <v>49</v>
      </c>
      <c r="E487" s="510">
        <v>0</v>
      </c>
      <c r="F487" s="510">
        <v>0.08</v>
      </c>
      <c r="G487" s="804">
        <v>0</v>
      </c>
      <c r="H487" s="540"/>
      <c r="I487" s="540"/>
      <c r="Q487" s="423">
        <v>6</v>
      </c>
      <c r="R487" s="436">
        <v>0</v>
      </c>
      <c r="S487" s="436">
        <v>0.08</v>
      </c>
      <c r="T487" s="145">
        <v>0</v>
      </c>
      <c r="U487" s="24" t="s">
        <v>1017</v>
      </c>
      <c r="AA487" s="141"/>
      <c r="AB487" s="141"/>
    </row>
    <row r="488" spans="2:28" s="18" customFormat="1" outlineLevel="1" x14ac:dyDescent="0.25">
      <c r="B488" s="540"/>
      <c r="C488" s="541">
        <f t="shared" si="138"/>
        <v>0.25</v>
      </c>
      <c r="D488" s="529" t="s">
        <v>51</v>
      </c>
      <c r="E488" s="510">
        <v>0</v>
      </c>
      <c r="F488" s="510">
        <v>0.25</v>
      </c>
      <c r="G488" s="804">
        <v>0</v>
      </c>
      <c r="H488" s="540"/>
      <c r="I488" s="540"/>
      <c r="Q488" s="423">
        <v>7</v>
      </c>
      <c r="R488" s="436">
        <v>0</v>
      </c>
      <c r="S488" s="436">
        <v>0.25</v>
      </c>
      <c r="T488" s="145">
        <v>0</v>
      </c>
      <c r="U488" s="24" t="s">
        <v>1018</v>
      </c>
      <c r="AA488" s="141"/>
      <c r="AB488" s="141"/>
    </row>
    <row r="489" spans="2:28" s="18" customFormat="1" outlineLevel="1" x14ac:dyDescent="0.25">
      <c r="B489" s="540"/>
      <c r="C489" s="541">
        <f t="shared" si="138"/>
        <v>0.04</v>
      </c>
      <c r="D489" s="529" t="s">
        <v>53</v>
      </c>
      <c r="E489" s="510">
        <v>0.04</v>
      </c>
      <c r="F489" s="510">
        <v>0</v>
      </c>
      <c r="G489" s="804">
        <v>0</v>
      </c>
      <c r="H489" s="540"/>
      <c r="I489" s="540"/>
      <c r="Q489" s="423">
        <v>8</v>
      </c>
      <c r="R489" s="436">
        <v>0.04</v>
      </c>
      <c r="S489" s="436">
        <v>0</v>
      </c>
      <c r="T489" s="145">
        <v>0</v>
      </c>
      <c r="U489" s="24" t="s">
        <v>1019</v>
      </c>
      <c r="AA489" s="141"/>
      <c r="AB489" s="141"/>
    </row>
    <row r="490" spans="2:28" s="18" customFormat="1" outlineLevel="1" x14ac:dyDescent="0.25">
      <c r="B490" s="540"/>
      <c r="C490" s="541">
        <f t="shared" si="138"/>
        <v>0.36</v>
      </c>
      <c r="D490" s="529" t="s">
        <v>55</v>
      </c>
      <c r="E490" s="510">
        <v>0</v>
      </c>
      <c r="F490" s="510">
        <v>0.36</v>
      </c>
      <c r="G490" s="804">
        <v>0</v>
      </c>
      <c r="H490" s="540"/>
      <c r="I490" s="540"/>
      <c r="Q490" s="423">
        <v>9</v>
      </c>
      <c r="R490" s="436">
        <v>0</v>
      </c>
      <c r="S490" s="436">
        <v>0.36</v>
      </c>
      <c r="T490" s="145">
        <v>0</v>
      </c>
      <c r="U490" s="24" t="s">
        <v>1020</v>
      </c>
      <c r="AA490" s="141"/>
      <c r="AB490" s="141"/>
    </row>
    <row r="491" spans="2:28" s="18" customFormat="1" outlineLevel="1" x14ac:dyDescent="0.25">
      <c r="B491" s="540"/>
      <c r="C491" s="541">
        <f t="shared" si="138"/>
        <v>0.12</v>
      </c>
      <c r="D491" s="529" t="s">
        <v>56</v>
      </c>
      <c r="E491" s="510">
        <v>0.03</v>
      </c>
      <c r="F491" s="510">
        <v>0.08</v>
      </c>
      <c r="G491" s="804">
        <v>0.01</v>
      </c>
      <c r="H491" s="540"/>
      <c r="I491" s="540"/>
      <c r="Q491" s="423">
        <v>10</v>
      </c>
      <c r="R491" s="436">
        <v>0.03</v>
      </c>
      <c r="S491" s="436">
        <v>0.08</v>
      </c>
      <c r="T491" s="145">
        <v>0.01</v>
      </c>
      <c r="U491" s="24" t="s">
        <v>1021</v>
      </c>
      <c r="AA491" s="141"/>
      <c r="AB491" s="141"/>
    </row>
    <row r="492" spans="2:28" s="18" customFormat="1" outlineLevel="1" x14ac:dyDescent="0.25">
      <c r="B492" s="540"/>
      <c r="C492" s="541">
        <f t="shared" si="138"/>
        <v>0.08</v>
      </c>
      <c r="D492" s="529" t="s">
        <v>57</v>
      </c>
      <c r="E492" s="510">
        <v>0</v>
      </c>
      <c r="F492" s="510">
        <v>0.08</v>
      </c>
      <c r="G492" s="804">
        <v>0</v>
      </c>
      <c r="H492" s="540"/>
      <c r="I492" s="540"/>
      <c r="Q492" s="423">
        <v>11</v>
      </c>
      <c r="R492" s="436">
        <v>0</v>
      </c>
      <c r="S492" s="436">
        <v>0.08</v>
      </c>
      <c r="T492" s="145">
        <v>0</v>
      </c>
      <c r="U492" s="24" t="s">
        <v>1022</v>
      </c>
    </row>
    <row r="493" spans="2:28" s="18" customFormat="1" outlineLevel="1" x14ac:dyDescent="0.25">
      <c r="B493" s="540"/>
      <c r="C493" s="541">
        <f t="shared" si="138"/>
        <v>0.25</v>
      </c>
      <c r="D493" s="529" t="s">
        <v>58</v>
      </c>
      <c r="E493" s="510">
        <v>0</v>
      </c>
      <c r="F493" s="510">
        <v>0.25</v>
      </c>
      <c r="G493" s="804">
        <v>0</v>
      </c>
      <c r="H493" s="540"/>
      <c r="I493" s="540"/>
      <c r="Q493" s="423">
        <v>12</v>
      </c>
      <c r="R493" s="436">
        <v>0</v>
      </c>
      <c r="S493" s="436">
        <v>0.25</v>
      </c>
      <c r="T493" s="145">
        <v>0</v>
      </c>
      <c r="U493" s="24" t="s">
        <v>1023</v>
      </c>
      <c r="V493" s="141"/>
    </row>
    <row r="494" spans="2:28" s="18" customFormat="1" outlineLevel="1" x14ac:dyDescent="0.25">
      <c r="B494" s="540"/>
      <c r="C494" s="541">
        <f t="shared" si="138"/>
        <v>0.09</v>
      </c>
      <c r="D494" s="529" t="s">
        <v>59</v>
      </c>
      <c r="E494" s="510">
        <v>0.08</v>
      </c>
      <c r="F494" s="510">
        <v>0</v>
      </c>
      <c r="G494" s="804">
        <v>0.01</v>
      </c>
      <c r="H494" s="540"/>
      <c r="I494" s="540"/>
      <c r="Q494" s="423">
        <v>13</v>
      </c>
      <c r="R494" s="436">
        <v>0.08</v>
      </c>
      <c r="S494" s="436">
        <v>0</v>
      </c>
      <c r="T494" s="145">
        <v>0.01</v>
      </c>
      <c r="U494" s="24" t="s">
        <v>1024</v>
      </c>
      <c r="V494" s="141"/>
    </row>
    <row r="495" spans="2:28" s="18" customFormat="1" outlineLevel="1" x14ac:dyDescent="0.25">
      <c r="B495" s="540"/>
      <c r="C495" s="541">
        <f t="shared" si="138"/>
        <v>0.12</v>
      </c>
      <c r="D495" s="529" t="s">
        <v>60</v>
      </c>
      <c r="E495" s="510">
        <v>0.03</v>
      </c>
      <c r="F495" s="510">
        <v>0.08</v>
      </c>
      <c r="G495" s="804">
        <v>0.01</v>
      </c>
      <c r="H495" s="540"/>
      <c r="I495" s="540"/>
      <c r="Q495" s="423">
        <v>14</v>
      </c>
      <c r="R495" s="436">
        <v>0.03</v>
      </c>
      <c r="S495" s="436">
        <v>0.08</v>
      </c>
      <c r="T495" s="145">
        <v>0.01</v>
      </c>
      <c r="U495" s="24" t="s">
        <v>1025</v>
      </c>
      <c r="V495" s="141"/>
    </row>
    <row r="496" spans="2:28" s="18" customFormat="1" outlineLevel="1" x14ac:dyDescent="0.25">
      <c r="B496" s="540"/>
      <c r="C496" s="541">
        <f t="shared" si="138"/>
        <v>0.08</v>
      </c>
      <c r="D496" s="529" t="s">
        <v>62</v>
      </c>
      <c r="E496" s="510">
        <v>0</v>
      </c>
      <c r="F496" s="510">
        <v>0.08</v>
      </c>
      <c r="G496" s="804">
        <v>0</v>
      </c>
      <c r="H496" s="540"/>
      <c r="I496" s="540"/>
      <c r="Q496" s="423">
        <v>15</v>
      </c>
      <c r="R496" s="436">
        <v>0</v>
      </c>
      <c r="S496" s="436">
        <v>0.08</v>
      </c>
      <c r="T496" s="145">
        <v>0</v>
      </c>
      <c r="U496" s="24" t="s">
        <v>1026</v>
      </c>
      <c r="V496" s="141"/>
    </row>
    <row r="497" spans="2:22" s="18" customFormat="1" outlineLevel="1" x14ac:dyDescent="0.25">
      <c r="B497" s="540"/>
      <c r="C497" s="541">
        <f t="shared" si="138"/>
        <v>0.25</v>
      </c>
      <c r="D497" s="529" t="s">
        <v>63</v>
      </c>
      <c r="E497" s="510">
        <v>0</v>
      </c>
      <c r="F497" s="510">
        <v>0.25</v>
      </c>
      <c r="G497" s="804">
        <v>0</v>
      </c>
      <c r="H497" s="540"/>
      <c r="I497" s="540"/>
      <c r="Q497" s="423">
        <v>16</v>
      </c>
      <c r="R497" s="436">
        <v>0</v>
      </c>
      <c r="S497" s="436">
        <v>0.25</v>
      </c>
      <c r="T497" s="145">
        <v>0</v>
      </c>
      <c r="U497" s="24" t="s">
        <v>1027</v>
      </c>
      <c r="V497" s="141"/>
    </row>
    <row r="498" spans="2:22" s="18" customFormat="1" outlineLevel="1" x14ac:dyDescent="0.25">
      <c r="B498" s="540"/>
      <c r="C498" s="541">
        <f t="shared" si="138"/>
        <v>0.12</v>
      </c>
      <c r="D498" s="529" t="s">
        <v>65</v>
      </c>
      <c r="E498" s="510">
        <v>0.03</v>
      </c>
      <c r="F498" s="510">
        <v>0.08</v>
      </c>
      <c r="G498" s="804">
        <v>0.01</v>
      </c>
      <c r="H498" s="540"/>
      <c r="I498" s="540"/>
      <c r="Q498" s="423">
        <v>17</v>
      </c>
      <c r="R498" s="436">
        <v>0.03</v>
      </c>
      <c r="S498" s="436">
        <v>0.08</v>
      </c>
      <c r="T498" s="145">
        <v>0.01</v>
      </c>
      <c r="U498" s="24" t="s">
        <v>1028</v>
      </c>
      <c r="V498" s="141"/>
    </row>
    <row r="499" spans="2:22" s="18" customFormat="1" outlineLevel="1" x14ac:dyDescent="0.25">
      <c r="B499" s="540"/>
      <c r="C499" s="541">
        <f t="shared" si="138"/>
        <v>0.08</v>
      </c>
      <c r="D499" s="529" t="s">
        <v>67</v>
      </c>
      <c r="E499" s="510">
        <v>0</v>
      </c>
      <c r="F499" s="510">
        <v>0.08</v>
      </c>
      <c r="G499" s="804">
        <v>0</v>
      </c>
      <c r="H499" s="540"/>
      <c r="I499" s="540"/>
      <c r="Q499" s="423">
        <v>18</v>
      </c>
      <c r="R499" s="436">
        <v>0</v>
      </c>
      <c r="S499" s="436">
        <v>0.08</v>
      </c>
      <c r="T499" s="145">
        <v>0</v>
      </c>
      <c r="U499" s="24" t="s">
        <v>1029</v>
      </c>
      <c r="V499" s="141"/>
    </row>
    <row r="500" spans="2:22" s="18" customFormat="1" outlineLevel="1" x14ac:dyDescent="0.25">
      <c r="B500" s="540"/>
      <c r="C500" s="541">
        <f t="shared" si="138"/>
        <v>0.25</v>
      </c>
      <c r="D500" s="529" t="s">
        <v>69</v>
      </c>
      <c r="E500" s="510">
        <v>0</v>
      </c>
      <c r="F500" s="510">
        <v>0.25</v>
      </c>
      <c r="G500" s="804">
        <v>0</v>
      </c>
      <c r="H500" s="540"/>
      <c r="I500" s="540"/>
      <c r="Q500" s="423">
        <v>19</v>
      </c>
      <c r="R500" s="436">
        <v>0</v>
      </c>
      <c r="S500" s="436">
        <v>0.25</v>
      </c>
      <c r="T500" s="145">
        <v>0</v>
      </c>
      <c r="U500" s="24" t="s">
        <v>1030</v>
      </c>
      <c r="V500" s="141"/>
    </row>
    <row r="501" spans="2:22" s="18" customFormat="1" outlineLevel="1" x14ac:dyDescent="0.25">
      <c r="B501" s="540"/>
      <c r="C501" s="541">
        <f t="shared" si="138"/>
        <v>0.04</v>
      </c>
      <c r="D501" s="529" t="s">
        <v>71</v>
      </c>
      <c r="E501" s="510">
        <v>0.04</v>
      </c>
      <c r="F501" s="510">
        <v>0</v>
      </c>
      <c r="G501" s="804">
        <v>0</v>
      </c>
      <c r="H501" s="540"/>
      <c r="I501" s="540"/>
      <c r="Q501" s="423">
        <v>20</v>
      </c>
      <c r="R501" s="436">
        <v>0.04</v>
      </c>
      <c r="S501" s="436">
        <v>0</v>
      </c>
      <c r="T501" s="145">
        <v>0</v>
      </c>
      <c r="U501" s="24" t="s">
        <v>1031</v>
      </c>
      <c r="V501" s="141"/>
    </row>
    <row r="502" spans="2:22" s="18" customFormat="1" outlineLevel="1" x14ac:dyDescent="0.25">
      <c r="B502" s="540"/>
      <c r="C502" s="541">
        <f t="shared" si="138"/>
        <v>0.36</v>
      </c>
      <c r="D502" s="529" t="s">
        <v>72</v>
      </c>
      <c r="E502" s="510">
        <v>0</v>
      </c>
      <c r="F502" s="510">
        <v>0.36</v>
      </c>
      <c r="G502" s="804">
        <v>0</v>
      </c>
      <c r="H502" s="540"/>
      <c r="I502" s="540"/>
      <c r="Q502" s="423">
        <v>21</v>
      </c>
      <c r="R502" s="436">
        <v>0</v>
      </c>
      <c r="S502" s="436">
        <v>0.36</v>
      </c>
      <c r="T502" s="145">
        <v>0</v>
      </c>
      <c r="U502" s="24" t="s">
        <v>1032</v>
      </c>
      <c r="V502" s="141"/>
    </row>
    <row r="503" spans="2:22" s="18" customFormat="1" outlineLevel="1" x14ac:dyDescent="0.25">
      <c r="B503" s="540"/>
      <c r="C503" s="541">
        <f t="shared" si="138"/>
        <v>0.12</v>
      </c>
      <c r="D503" s="529" t="s">
        <v>655</v>
      </c>
      <c r="E503" s="510">
        <v>0.03</v>
      </c>
      <c r="F503" s="510">
        <v>0.08</v>
      </c>
      <c r="G503" s="804">
        <v>0.01</v>
      </c>
      <c r="H503" s="540"/>
      <c r="I503" s="540"/>
      <c r="Q503" s="423">
        <v>22</v>
      </c>
      <c r="R503" s="436">
        <v>0.03</v>
      </c>
      <c r="S503" s="436">
        <v>0.08</v>
      </c>
      <c r="T503" s="145">
        <v>0.01</v>
      </c>
      <c r="U503" s="24" t="s">
        <v>1033</v>
      </c>
      <c r="V503" s="141"/>
    </row>
    <row r="504" spans="2:22" s="18" customFormat="1" outlineLevel="1" x14ac:dyDescent="0.25">
      <c r="B504" s="540"/>
      <c r="C504" s="541">
        <f t="shared" si="138"/>
        <v>0.08</v>
      </c>
      <c r="D504" s="529" t="s">
        <v>656</v>
      </c>
      <c r="E504" s="510">
        <v>0</v>
      </c>
      <c r="F504" s="510">
        <v>0.08</v>
      </c>
      <c r="G504" s="804">
        <v>0</v>
      </c>
      <c r="H504" s="540"/>
      <c r="I504" s="540"/>
      <c r="Q504" s="423">
        <v>23</v>
      </c>
      <c r="R504" s="436">
        <v>0</v>
      </c>
      <c r="S504" s="436">
        <v>0.08</v>
      </c>
      <c r="T504" s="145">
        <v>0</v>
      </c>
      <c r="U504" s="24" t="s">
        <v>1034</v>
      </c>
      <c r="V504" s="141"/>
    </row>
    <row r="505" spans="2:22" s="18" customFormat="1" outlineLevel="1" x14ac:dyDescent="0.25">
      <c r="B505" s="540"/>
      <c r="C505" s="541">
        <f t="shared" si="138"/>
        <v>0.25</v>
      </c>
      <c r="D505" s="529" t="s">
        <v>75</v>
      </c>
      <c r="E505" s="510">
        <v>0</v>
      </c>
      <c r="F505" s="510">
        <v>0.25</v>
      </c>
      <c r="G505" s="804">
        <v>0</v>
      </c>
      <c r="H505" s="540"/>
      <c r="I505" s="540"/>
      <c r="Q505" s="423">
        <v>24</v>
      </c>
      <c r="R505" s="436">
        <v>0</v>
      </c>
      <c r="S505" s="436">
        <v>0.25</v>
      </c>
      <c r="T505" s="145">
        <v>0</v>
      </c>
      <c r="U505" s="24" t="s">
        <v>1035</v>
      </c>
      <c r="V505" s="141"/>
    </row>
    <row r="506" spans="2:22" s="18" customFormat="1" outlineLevel="1" x14ac:dyDescent="0.25">
      <c r="B506" s="540"/>
      <c r="C506" s="541">
        <f t="shared" si="138"/>
        <v>0.13</v>
      </c>
      <c r="D506" s="529" t="s">
        <v>657</v>
      </c>
      <c r="E506" s="510">
        <v>0.04</v>
      </c>
      <c r="F506" s="510">
        <v>0.08</v>
      </c>
      <c r="G506" s="804">
        <v>0.01</v>
      </c>
      <c r="H506" s="540"/>
      <c r="I506" s="540"/>
      <c r="Q506" s="423">
        <v>25</v>
      </c>
      <c r="R506" s="436">
        <v>0.04</v>
      </c>
      <c r="S506" s="436">
        <v>0.08</v>
      </c>
      <c r="T506" s="145">
        <v>0.01</v>
      </c>
      <c r="U506" s="24" t="s">
        <v>1036</v>
      </c>
      <c r="V506" s="141"/>
    </row>
    <row r="507" spans="2:22" s="18" customFormat="1" outlineLevel="1" x14ac:dyDescent="0.25">
      <c r="B507" s="540"/>
      <c r="C507" s="541">
        <f t="shared" si="138"/>
        <v>0</v>
      </c>
      <c r="D507" s="529"/>
      <c r="E507" s="510"/>
      <c r="F507" s="510"/>
      <c r="G507" s="804"/>
      <c r="H507" s="540"/>
      <c r="I507" s="540"/>
      <c r="Q507" s="423">
        <v>26</v>
      </c>
      <c r="R507" s="436"/>
      <c r="S507" s="436"/>
      <c r="T507" s="145"/>
      <c r="U507" s="24"/>
      <c r="V507" s="141"/>
    </row>
    <row r="508" spans="2:22" s="18" customFormat="1" outlineLevel="1" x14ac:dyDescent="0.25">
      <c r="B508" s="540"/>
      <c r="C508" s="541">
        <f t="shared" si="138"/>
        <v>0</v>
      </c>
      <c r="D508" s="529"/>
      <c r="E508" s="510"/>
      <c r="F508" s="510"/>
      <c r="G508" s="804"/>
      <c r="H508" s="540"/>
      <c r="I508" s="540"/>
      <c r="Q508" s="423">
        <v>27</v>
      </c>
      <c r="R508" s="436"/>
      <c r="S508" s="436"/>
      <c r="T508" s="145"/>
      <c r="U508" s="24"/>
      <c r="V508" s="141"/>
    </row>
    <row r="509" spans="2:22" s="18" customFormat="1" outlineLevel="1" x14ac:dyDescent="0.25">
      <c r="B509" s="540"/>
      <c r="C509" s="541">
        <f t="shared" si="138"/>
        <v>0.09</v>
      </c>
      <c r="D509" s="529" t="s">
        <v>651</v>
      </c>
      <c r="E509" s="510">
        <v>0.08</v>
      </c>
      <c r="F509" s="510">
        <v>0</v>
      </c>
      <c r="G509" s="804">
        <v>0.01</v>
      </c>
      <c r="H509" s="540"/>
      <c r="I509" s="540"/>
      <c r="Q509" s="423">
        <v>28</v>
      </c>
      <c r="R509" s="436">
        <v>0.08</v>
      </c>
      <c r="S509" s="436">
        <v>0</v>
      </c>
      <c r="T509" s="145">
        <v>0.01</v>
      </c>
      <c r="U509" s="24" t="s">
        <v>1037</v>
      </c>
      <c r="V509" s="141"/>
    </row>
    <row r="510" spans="2:22" s="18" customFormat="1" outlineLevel="1" x14ac:dyDescent="0.25">
      <c r="B510" s="540"/>
      <c r="C510" s="541">
        <f t="shared" si="138"/>
        <v>0.13</v>
      </c>
      <c r="D510" s="529" t="s">
        <v>650</v>
      </c>
      <c r="E510" s="510">
        <v>0.04</v>
      </c>
      <c r="F510" s="510">
        <v>0.08</v>
      </c>
      <c r="G510" s="804">
        <v>0.01</v>
      </c>
      <c r="H510" s="540"/>
      <c r="I510" s="540"/>
      <c r="Q510" s="423">
        <v>29</v>
      </c>
      <c r="R510" s="436">
        <v>0.04</v>
      </c>
      <c r="S510" s="436">
        <v>0.08</v>
      </c>
      <c r="T510" s="145">
        <v>0.01</v>
      </c>
      <c r="U510" s="24" t="s">
        <v>1038</v>
      </c>
      <c r="V510" s="141"/>
    </row>
    <row r="511" spans="2:22" s="18" customFormat="1" outlineLevel="1" x14ac:dyDescent="0.25">
      <c r="B511" s="540"/>
      <c r="C511" s="541">
        <f t="shared" si="138"/>
        <v>0</v>
      </c>
      <c r="D511" s="529"/>
      <c r="E511" s="510"/>
      <c r="F511" s="510"/>
      <c r="G511" s="804"/>
      <c r="H511" s="540"/>
      <c r="I511" s="540"/>
      <c r="Q511" s="423">
        <v>30</v>
      </c>
      <c r="R511" s="436"/>
      <c r="S511" s="436"/>
      <c r="T511" s="145"/>
      <c r="U511" s="24"/>
      <c r="V511" s="141"/>
    </row>
    <row r="512" spans="2:22" s="18" customFormat="1" outlineLevel="1" x14ac:dyDescent="0.25">
      <c r="B512" s="540"/>
      <c r="C512" s="541">
        <f t="shared" si="138"/>
        <v>0</v>
      </c>
      <c r="D512" s="529"/>
      <c r="E512" s="510"/>
      <c r="F512" s="510"/>
      <c r="G512" s="804"/>
      <c r="H512" s="540"/>
      <c r="I512" s="540"/>
      <c r="Q512" s="423">
        <v>31</v>
      </c>
      <c r="R512" s="436"/>
      <c r="S512" s="436"/>
      <c r="T512" s="145"/>
      <c r="U512" s="24"/>
      <c r="V512" s="141"/>
    </row>
    <row r="513" spans="2:22" s="18" customFormat="1" outlineLevel="1" x14ac:dyDescent="0.25">
      <c r="B513" s="540"/>
      <c r="C513" s="541">
        <f t="shared" si="138"/>
        <v>0.13</v>
      </c>
      <c r="D513" s="529" t="s">
        <v>652</v>
      </c>
      <c r="E513" s="510">
        <v>0.04</v>
      </c>
      <c r="F513" s="510">
        <v>0.08</v>
      </c>
      <c r="G513" s="804">
        <v>0.01</v>
      </c>
      <c r="H513" s="540"/>
      <c r="I513" s="540"/>
      <c r="Q513" s="423">
        <v>32</v>
      </c>
      <c r="R513" s="436">
        <v>0.04</v>
      </c>
      <c r="S513" s="436">
        <v>0.08</v>
      </c>
      <c r="T513" s="145">
        <v>0.01</v>
      </c>
      <c r="U513" s="24" t="s">
        <v>1039</v>
      </c>
      <c r="V513" s="141"/>
    </row>
    <row r="514" spans="2:22" s="18" customFormat="1" outlineLevel="1" x14ac:dyDescent="0.25">
      <c r="B514" s="540"/>
      <c r="C514" s="541">
        <f t="shared" si="138"/>
        <v>0</v>
      </c>
      <c r="D514" s="529"/>
      <c r="E514" s="510"/>
      <c r="F514" s="510"/>
      <c r="G514" s="804"/>
      <c r="H514" s="540"/>
      <c r="I514" s="540"/>
      <c r="Q514" s="423">
        <v>33</v>
      </c>
      <c r="R514" s="436"/>
      <c r="S514" s="436"/>
      <c r="T514" s="145"/>
      <c r="U514" s="24"/>
      <c r="V514" s="141"/>
    </row>
    <row r="515" spans="2:22" s="18" customFormat="1" outlineLevel="1" x14ac:dyDescent="0.25">
      <c r="B515" s="540"/>
      <c r="C515" s="541">
        <f t="shared" si="138"/>
        <v>0.13</v>
      </c>
      <c r="D515" s="529" t="s">
        <v>77</v>
      </c>
      <c r="E515" s="510">
        <v>0.04</v>
      </c>
      <c r="F515" s="510">
        <v>0.08</v>
      </c>
      <c r="G515" s="804">
        <v>0.01</v>
      </c>
      <c r="H515" s="540"/>
      <c r="I515" s="540"/>
      <c r="Q515" s="423">
        <v>34</v>
      </c>
      <c r="R515" s="436">
        <v>0.04</v>
      </c>
      <c r="S515" s="436">
        <v>0.08</v>
      </c>
      <c r="T515" s="145">
        <v>0.01</v>
      </c>
      <c r="U515" s="24" t="s">
        <v>1040</v>
      </c>
      <c r="V515" s="141"/>
    </row>
    <row r="516" spans="2:22" s="18" customFormat="1" outlineLevel="1" x14ac:dyDescent="0.25">
      <c r="B516" s="540"/>
      <c r="C516" s="541">
        <f t="shared" si="138"/>
        <v>0</v>
      </c>
      <c r="D516" s="529" t="s">
        <v>78</v>
      </c>
      <c r="E516" s="510">
        <v>0</v>
      </c>
      <c r="F516" s="510">
        <v>0</v>
      </c>
      <c r="G516" s="804">
        <v>0</v>
      </c>
      <c r="H516" s="540"/>
      <c r="I516" s="540"/>
      <c r="Q516" s="423">
        <v>35</v>
      </c>
      <c r="R516" s="436">
        <v>0</v>
      </c>
      <c r="S516" s="436">
        <v>0</v>
      </c>
      <c r="T516" s="145">
        <v>0</v>
      </c>
      <c r="U516" s="24" t="s">
        <v>1041</v>
      </c>
      <c r="V516" s="141"/>
    </row>
    <row r="517" spans="2:22" s="18" customFormat="1" outlineLevel="1" x14ac:dyDescent="0.25">
      <c r="B517" s="540"/>
      <c r="C517" s="541">
        <f t="shared" si="138"/>
        <v>0</v>
      </c>
      <c r="D517" s="529" t="s">
        <v>79</v>
      </c>
      <c r="E517" s="510">
        <v>0</v>
      </c>
      <c r="F517" s="510">
        <v>0</v>
      </c>
      <c r="G517" s="804">
        <v>0</v>
      </c>
      <c r="H517" s="540"/>
      <c r="I517" s="540"/>
      <c r="Q517" s="423">
        <v>36</v>
      </c>
      <c r="R517" s="436">
        <v>0</v>
      </c>
      <c r="S517" s="436">
        <v>0</v>
      </c>
      <c r="T517" s="145">
        <v>0</v>
      </c>
      <c r="U517" s="24" t="s">
        <v>1042</v>
      </c>
      <c r="V517" s="141"/>
    </row>
    <row r="518" spans="2:22" s="18" customFormat="1" outlineLevel="1" x14ac:dyDescent="0.25">
      <c r="B518" s="540"/>
      <c r="C518" s="541"/>
      <c r="D518" s="531"/>
      <c r="E518" s="805"/>
      <c r="F518" s="805"/>
      <c r="G518" s="532"/>
      <c r="H518" s="540"/>
      <c r="I518" s="540"/>
      <c r="U518" s="141"/>
      <c r="V518" s="141"/>
    </row>
    <row r="519" spans="2:22" s="423" customFormat="1" outlineLevel="1" x14ac:dyDescent="0.25">
      <c r="B519" s="540"/>
      <c r="C519" s="541"/>
      <c r="D519" s="510"/>
      <c r="E519" s="510"/>
      <c r="F519" s="510"/>
      <c r="G519" s="510"/>
      <c r="H519" s="540"/>
      <c r="I519" s="540"/>
      <c r="J519" s="540"/>
      <c r="U519" s="141"/>
      <c r="V519" s="141"/>
    </row>
    <row r="520" spans="2:22" s="423" customFormat="1" outlineLevel="1" x14ac:dyDescent="0.25">
      <c r="B520" s="540"/>
      <c r="C520" s="541"/>
      <c r="D520" s="510"/>
      <c r="E520" s="510"/>
      <c r="F520" s="510"/>
      <c r="G520" s="510"/>
      <c r="H520" s="540"/>
      <c r="I520" s="540"/>
      <c r="J520" s="540"/>
      <c r="U520" s="141"/>
      <c r="V520" s="141"/>
    </row>
    <row r="521" spans="2:22" s="423" customFormat="1" outlineLevel="1" x14ac:dyDescent="0.25">
      <c r="B521" s="540"/>
      <c r="C521" s="540"/>
      <c r="D521" s="540"/>
      <c r="E521" s="508" t="s">
        <v>883</v>
      </c>
      <c r="F521" s="540"/>
      <c r="G521" s="540"/>
      <c r="H521" s="508" t="s">
        <v>316</v>
      </c>
      <c r="I521" s="540"/>
      <c r="J521" s="540"/>
    </row>
    <row r="522" spans="2:22" s="423" customFormat="1" outlineLevel="1" x14ac:dyDescent="0.25">
      <c r="B522" s="539"/>
      <c r="C522" s="539" t="s">
        <v>320</v>
      </c>
      <c r="D522" s="540"/>
      <c r="E522" s="539" t="s">
        <v>882</v>
      </c>
      <c r="F522" s="540"/>
      <c r="G522" s="539" t="s">
        <v>319</v>
      </c>
      <c r="H522" s="539" t="s">
        <v>318</v>
      </c>
      <c r="I522" s="540"/>
      <c r="J522" s="540"/>
    </row>
    <row r="523" spans="2:22" s="423" customFormat="1" outlineLevel="1" x14ac:dyDescent="0.25">
      <c r="B523" s="518" t="s">
        <v>114</v>
      </c>
      <c r="C523" s="806">
        <f t="shared" ref="C523:C534" ca="1" si="139">L345*(1-$I$474)/$I$474</f>
        <v>7733.2376403138951</v>
      </c>
      <c r="D523" s="540"/>
      <c r="E523" s="806">
        <f ca="1">IF(Calcs!$D$446=1,0,IF($D$469=0,0,(C523+L345)/$D$469))</f>
        <v>130498.38518029678</v>
      </c>
      <c r="F523" s="540"/>
      <c r="G523" s="806">
        <f t="shared" ref="G523:G534" ca="1" si="140">L371*(1-$I$475)/$I$475</f>
        <v>0</v>
      </c>
      <c r="H523" s="806">
        <f t="shared" ref="H523:H534" ca="1" si="141">IF($D$451=1,0,(G523+L371)/$D$473)</f>
        <v>6347.0040250160646</v>
      </c>
      <c r="I523" s="540"/>
      <c r="J523" s="540"/>
    </row>
    <row r="524" spans="2:22" s="423" customFormat="1" outlineLevel="1" x14ac:dyDescent="0.25">
      <c r="B524" s="518" t="s">
        <v>115</v>
      </c>
      <c r="C524" s="806">
        <f t="shared" ca="1" si="139"/>
        <v>4979.9306443131627</v>
      </c>
      <c r="D524" s="540"/>
      <c r="E524" s="806">
        <f ca="1">IF(Calcs!$D$446=1,0,IF($D$469=0,0,(C524+L346)/$D$469))</f>
        <v>84036.329622784498</v>
      </c>
      <c r="F524" s="540"/>
      <c r="G524" s="806">
        <f t="shared" ca="1" si="140"/>
        <v>0</v>
      </c>
      <c r="H524" s="806">
        <f t="shared" ca="1" si="141"/>
        <v>8489.4766712119963</v>
      </c>
      <c r="I524" s="540"/>
      <c r="J524" s="540"/>
    </row>
    <row r="525" spans="2:22" s="423" customFormat="1" outlineLevel="1" x14ac:dyDescent="0.25">
      <c r="B525" s="518" t="s">
        <v>116</v>
      </c>
      <c r="C525" s="806">
        <f t="shared" ca="1" si="139"/>
        <v>1784.5423196984832</v>
      </c>
      <c r="D525" s="540"/>
      <c r="E525" s="806">
        <f ca="1">IF(Calcs!$D$446=1,0,IF($D$469=0,0,(C525+L347)/$D$469))</f>
        <v>30114.151644911861</v>
      </c>
      <c r="F525" s="540"/>
      <c r="G525" s="806">
        <f t="shared" ca="1" si="140"/>
        <v>0</v>
      </c>
      <c r="H525" s="806">
        <f t="shared" ca="1" si="141"/>
        <v>20880.612791496002</v>
      </c>
      <c r="I525" s="540"/>
      <c r="J525" s="540"/>
    </row>
    <row r="526" spans="2:22" s="423" customFormat="1" outlineLevel="1" x14ac:dyDescent="0.25">
      <c r="B526" s="518" t="s">
        <v>117</v>
      </c>
      <c r="C526" s="806">
        <f t="shared" ca="1" si="139"/>
        <v>271.43321243070108</v>
      </c>
      <c r="D526" s="540"/>
      <c r="E526" s="806">
        <f ca="1">IF(Calcs!$D$446=1,0,IF($D$469=0,0,(C526+L348)/$D$469))</f>
        <v>4580.435459768074</v>
      </c>
      <c r="F526" s="540"/>
      <c r="G526" s="806">
        <f t="shared" ca="1" si="140"/>
        <v>0</v>
      </c>
      <c r="H526" s="806">
        <f t="shared" ca="1" si="141"/>
        <v>43006.1047855617</v>
      </c>
      <c r="I526" s="540"/>
      <c r="J526" s="540"/>
    </row>
    <row r="527" spans="2:22" s="423" customFormat="1" outlineLevel="1" x14ac:dyDescent="0.25">
      <c r="B527" s="518" t="s">
        <v>118</v>
      </c>
      <c r="C527" s="806">
        <f t="shared" ca="1" si="139"/>
        <v>4.8014321486116467</v>
      </c>
      <c r="D527" s="540"/>
      <c r="E527" s="806">
        <f ca="1">IF(Calcs!$D$446=1,0,IF($D$469=0,0,(C527+L349)/$D$469))</f>
        <v>81.024167507821417</v>
      </c>
      <c r="F527" s="540"/>
      <c r="G527" s="806">
        <f t="shared" ca="1" si="140"/>
        <v>0</v>
      </c>
      <c r="H527" s="806">
        <f t="shared" ca="1" si="141"/>
        <v>77532.872597233218</v>
      </c>
      <c r="I527" s="540"/>
      <c r="J527" s="540"/>
    </row>
    <row r="528" spans="2:22" s="423" customFormat="1" outlineLevel="1" x14ac:dyDescent="0.25">
      <c r="B528" s="518" t="s">
        <v>119</v>
      </c>
      <c r="C528" s="806">
        <f t="shared" ca="1" si="139"/>
        <v>0</v>
      </c>
      <c r="D528" s="540"/>
      <c r="E528" s="806">
        <f ca="1">IF(Calcs!$D$446=1,0,IF($D$469=0,0,(C528+L350)/$D$469))</f>
        <v>0</v>
      </c>
      <c r="F528" s="540"/>
      <c r="G528" s="806">
        <f t="shared" ca="1" si="140"/>
        <v>0</v>
      </c>
      <c r="H528" s="806">
        <f t="shared" ca="1" si="141"/>
        <v>100269.41957399381</v>
      </c>
      <c r="I528" s="540"/>
      <c r="J528" s="540"/>
    </row>
    <row r="529" spans="1:22" s="423" customFormat="1" outlineLevel="1" x14ac:dyDescent="0.25">
      <c r="B529" s="518" t="s">
        <v>120</v>
      </c>
      <c r="C529" s="806">
        <f t="shared" ca="1" si="139"/>
        <v>0</v>
      </c>
      <c r="D529" s="540"/>
      <c r="E529" s="806">
        <f ca="1">IF(Calcs!$D$446=1,0,IF($D$469=0,0,(C529+L351)/$D$469))</f>
        <v>0</v>
      </c>
      <c r="F529" s="540"/>
      <c r="G529" s="806">
        <f t="shared" ca="1" si="140"/>
        <v>0</v>
      </c>
      <c r="H529" s="806">
        <f t="shared" ca="1" si="141"/>
        <v>119034.32356390868</v>
      </c>
      <c r="I529" s="540"/>
      <c r="J529" s="540"/>
    </row>
    <row r="530" spans="1:22" s="423" customFormat="1" outlineLevel="1" x14ac:dyDescent="0.25">
      <c r="B530" s="518" t="s">
        <v>121</v>
      </c>
      <c r="C530" s="806">
        <f t="shared" ca="1" si="139"/>
        <v>0</v>
      </c>
      <c r="D530" s="540"/>
      <c r="E530" s="806">
        <f ca="1">IF(Calcs!$D$446=1,0,IF($D$469=0,0,(C530+L352)/$D$469))</f>
        <v>0</v>
      </c>
      <c r="F530" s="540"/>
      <c r="G530" s="806">
        <f t="shared" ca="1" si="140"/>
        <v>0</v>
      </c>
      <c r="H530" s="806">
        <f t="shared" ca="1" si="141"/>
        <v>103813.20543720515</v>
      </c>
      <c r="I530" s="540"/>
      <c r="J530" s="540"/>
    </row>
    <row r="531" spans="1:22" s="423" customFormat="1" outlineLevel="1" x14ac:dyDescent="0.25">
      <c r="B531" s="518" t="s">
        <v>122</v>
      </c>
      <c r="C531" s="806">
        <f t="shared" ca="1" si="139"/>
        <v>8.6069998499588241E-2</v>
      </c>
      <c r="D531" s="540"/>
      <c r="E531" s="806">
        <f ca="1">IF(Calcs!$D$446=1,0,IF($D$469=0,0,(C531+L353)/$D$469))</f>
        <v>1.4524312246805495</v>
      </c>
      <c r="F531" s="540"/>
      <c r="G531" s="806">
        <f t="shared" ca="1" si="140"/>
        <v>0</v>
      </c>
      <c r="H531" s="806">
        <f t="shared" ca="1" si="141"/>
        <v>81792.898708160792</v>
      </c>
      <c r="I531" s="540"/>
      <c r="J531" s="540"/>
    </row>
    <row r="532" spans="1:22" s="423" customFormat="1" outlineLevel="1" x14ac:dyDescent="0.25">
      <c r="B532" s="518" t="s">
        <v>123</v>
      </c>
      <c r="C532" s="806">
        <f t="shared" ca="1" si="139"/>
        <v>195.5721403368845</v>
      </c>
      <c r="D532" s="540"/>
      <c r="E532" s="806">
        <f ca="1">IF(Calcs!$D$446=1,0,IF($D$469=0,0,(C532+L354)/$D$469))</f>
        <v>3300.2798681849208</v>
      </c>
      <c r="F532" s="540"/>
      <c r="G532" s="806">
        <f t="shared" ca="1" si="140"/>
        <v>0</v>
      </c>
      <c r="H532" s="806">
        <f t="shared" ca="1" si="141"/>
        <v>44816.245252991685</v>
      </c>
      <c r="I532" s="540"/>
      <c r="J532" s="540"/>
    </row>
    <row r="533" spans="1:22" s="423" customFormat="1" outlineLevel="1" x14ac:dyDescent="0.25">
      <c r="B533" s="518" t="s">
        <v>124</v>
      </c>
      <c r="C533" s="806">
        <f t="shared" ca="1" si="139"/>
        <v>1650.17751176402</v>
      </c>
      <c r="D533" s="540"/>
      <c r="E533" s="806">
        <f ca="1">IF(Calcs!$D$446=1,0,IF($D$469=0,0,(C533+L355)/$D$469))</f>
        <v>27846.745511017798</v>
      </c>
      <c r="F533" s="540"/>
      <c r="G533" s="806">
        <f t="shared" ca="1" si="140"/>
        <v>0</v>
      </c>
      <c r="H533" s="806">
        <f t="shared" ca="1" si="141"/>
        <v>16997.313839606155</v>
      </c>
      <c r="I533" s="540"/>
      <c r="J533" s="540"/>
    </row>
    <row r="534" spans="1:22" s="423" customFormat="1" outlineLevel="1" x14ac:dyDescent="0.25">
      <c r="B534" s="518" t="s">
        <v>125</v>
      </c>
      <c r="C534" s="806">
        <f t="shared" ca="1" si="139"/>
        <v>6521.9695296038599</v>
      </c>
      <c r="D534" s="540"/>
      <c r="E534" s="806">
        <f ca="1">IF(Calcs!$D$446=1,0,IF($D$469=0,0,(C534+L356)/$D$469))</f>
        <v>110058.23581206497</v>
      </c>
      <c r="F534" s="540"/>
      <c r="G534" s="806">
        <f t="shared" ca="1" si="140"/>
        <v>0</v>
      </c>
      <c r="H534" s="806">
        <f t="shared" ca="1" si="141"/>
        <v>7150.0937815002781</v>
      </c>
      <c r="I534" s="540"/>
      <c r="J534" s="540"/>
    </row>
    <row r="535" spans="1:22" s="423" customFormat="1" outlineLevel="1" x14ac:dyDescent="0.25">
      <c r="B535" s="549" t="s">
        <v>325</v>
      </c>
      <c r="C535" s="807">
        <f ca="1">SUM(C523:C534)</f>
        <v>23141.750500608116</v>
      </c>
      <c r="D535" s="540"/>
      <c r="E535" s="808">
        <f ca="1">SUM(E523:E534)</f>
        <v>390517.03969776141</v>
      </c>
      <c r="F535" s="540"/>
      <c r="G535" s="809">
        <f ca="1">SUM(G523:G534)</f>
        <v>0</v>
      </c>
      <c r="H535" s="810">
        <f ca="1">SUM(H523:H534)</f>
        <v>630129.57102788554</v>
      </c>
      <c r="I535" s="540"/>
      <c r="J535" s="540"/>
    </row>
    <row r="536" spans="1:22" s="423" customFormat="1" outlineLevel="1" x14ac:dyDescent="0.25">
      <c r="B536" s="540"/>
      <c r="C536" s="540"/>
      <c r="D536" s="540"/>
      <c r="E536" s="540"/>
      <c r="F536" s="540"/>
      <c r="G536" s="540"/>
      <c r="H536" s="540"/>
      <c r="I536" s="540"/>
      <c r="J536" s="540"/>
      <c r="U536" s="141"/>
      <c r="V536" s="141"/>
    </row>
    <row r="537" spans="1:22" s="423" customFormat="1" outlineLevel="1" x14ac:dyDescent="0.25">
      <c r="B537" s="540"/>
      <c r="C537" s="541"/>
      <c r="D537" s="510"/>
      <c r="E537" s="510"/>
      <c r="F537" s="510"/>
      <c r="G537" s="510"/>
      <c r="H537" s="540"/>
      <c r="I537" s="540"/>
      <c r="J537" s="540"/>
      <c r="U537" s="141"/>
      <c r="V537" s="141"/>
    </row>
    <row r="538" spans="1:22" s="423" customFormat="1" outlineLevel="1" x14ac:dyDescent="0.25">
      <c r="B538" s="540"/>
      <c r="C538" s="540"/>
      <c r="D538" s="540"/>
      <c r="E538" s="540"/>
      <c r="F538" s="510"/>
      <c r="G538" s="510"/>
      <c r="H538" s="540"/>
      <c r="I538" s="540"/>
      <c r="J538" s="540"/>
      <c r="U538" s="141"/>
      <c r="V538" s="141"/>
    </row>
    <row r="539" spans="1:22" s="423" customFormat="1" outlineLevel="1" x14ac:dyDescent="0.25">
      <c r="A539" s="36" t="s">
        <v>887</v>
      </c>
      <c r="B539" s="593"/>
      <c r="C539" s="811"/>
      <c r="D539" s="811" t="s">
        <v>888</v>
      </c>
      <c r="E539" s="811" t="s">
        <v>597</v>
      </c>
      <c r="F539" s="540"/>
      <c r="G539" s="593" t="s">
        <v>884</v>
      </c>
      <c r="H539" s="811"/>
      <c r="I539" s="811" t="s">
        <v>597</v>
      </c>
      <c r="J539" s="540"/>
      <c r="U539" s="141"/>
      <c r="V539" s="141"/>
    </row>
    <row r="540" spans="1:22" s="423" customFormat="1" outlineLevel="1" x14ac:dyDescent="0.25">
      <c r="B540" s="593"/>
      <c r="C540" s="812" t="s">
        <v>889</v>
      </c>
      <c r="D540" s="540" t="s">
        <v>890</v>
      </c>
      <c r="E540" s="540" t="s">
        <v>891</v>
      </c>
      <c r="F540" s="540"/>
      <c r="G540" s="593"/>
      <c r="H540" s="812" t="s">
        <v>885</v>
      </c>
      <c r="I540" s="540" t="s">
        <v>886</v>
      </c>
      <c r="J540" s="540"/>
      <c r="U540" s="141"/>
      <c r="V540" s="141"/>
    </row>
    <row r="541" spans="1:22" s="423" customFormat="1" outlineLevel="1" x14ac:dyDescent="0.25">
      <c r="B541" s="518" t="s">
        <v>114</v>
      </c>
      <c r="C541" s="558">
        <f t="shared" ref="C541:C552" si="142">IF($D$451=0,0,G523+L371)</f>
        <v>0</v>
      </c>
      <c r="D541" s="558">
        <f t="shared" ref="D541:D552" si="143">C541*(1-$D$454)/($D$453*$D$452)</f>
        <v>0</v>
      </c>
      <c r="E541" s="558">
        <f t="shared" ref="E541:E552" si="144">C541*$D$454*(1-$D$456)/$D$455</f>
        <v>0</v>
      </c>
      <c r="F541" s="540"/>
      <c r="G541" s="518" t="s">
        <v>114</v>
      </c>
      <c r="H541" s="558">
        <f t="shared" ref="H541:H552" si="145">IF($D$446=0,0,L345+C523)</f>
        <v>0</v>
      </c>
      <c r="I541" s="558">
        <f t="shared" ref="I541:I552" si="146">H541*(1-$D$449)/($D$448*$D$447)</f>
        <v>0</v>
      </c>
      <c r="J541" s="540"/>
      <c r="U541" s="141"/>
      <c r="V541" s="141"/>
    </row>
    <row r="542" spans="1:22" s="423" customFormat="1" outlineLevel="1" x14ac:dyDescent="0.25">
      <c r="B542" s="518" t="s">
        <v>115</v>
      </c>
      <c r="C542" s="558">
        <f t="shared" si="142"/>
        <v>0</v>
      </c>
      <c r="D542" s="558">
        <f t="shared" si="143"/>
        <v>0</v>
      </c>
      <c r="E542" s="558">
        <f t="shared" si="144"/>
        <v>0</v>
      </c>
      <c r="F542" s="540"/>
      <c r="G542" s="518" t="s">
        <v>115</v>
      </c>
      <c r="H542" s="558">
        <f t="shared" si="145"/>
        <v>0</v>
      </c>
      <c r="I542" s="558">
        <f t="shared" si="146"/>
        <v>0</v>
      </c>
      <c r="J542" s="540"/>
      <c r="U542" s="141"/>
      <c r="V542" s="141"/>
    </row>
    <row r="543" spans="1:22" s="423" customFormat="1" outlineLevel="1" x14ac:dyDescent="0.25">
      <c r="B543" s="518" t="s">
        <v>116</v>
      </c>
      <c r="C543" s="558">
        <f t="shared" si="142"/>
        <v>0</v>
      </c>
      <c r="D543" s="558">
        <f t="shared" si="143"/>
        <v>0</v>
      </c>
      <c r="E543" s="558">
        <f t="shared" si="144"/>
        <v>0</v>
      </c>
      <c r="F543" s="540"/>
      <c r="G543" s="518" t="s">
        <v>116</v>
      </c>
      <c r="H543" s="558">
        <f t="shared" si="145"/>
        <v>0</v>
      </c>
      <c r="I543" s="558">
        <f t="shared" si="146"/>
        <v>0</v>
      </c>
      <c r="J543" s="540"/>
      <c r="U543" s="141"/>
      <c r="V543" s="141"/>
    </row>
    <row r="544" spans="1:22" s="423" customFormat="1" outlineLevel="1" x14ac:dyDescent="0.25">
      <c r="B544" s="518" t="s">
        <v>117</v>
      </c>
      <c r="C544" s="558">
        <f t="shared" si="142"/>
        <v>0</v>
      </c>
      <c r="D544" s="558">
        <f t="shared" si="143"/>
        <v>0</v>
      </c>
      <c r="E544" s="558">
        <f t="shared" si="144"/>
        <v>0</v>
      </c>
      <c r="F544" s="540"/>
      <c r="G544" s="518" t="s">
        <v>117</v>
      </c>
      <c r="H544" s="558">
        <f t="shared" si="145"/>
        <v>0</v>
      </c>
      <c r="I544" s="558">
        <f t="shared" si="146"/>
        <v>0</v>
      </c>
      <c r="J544" s="540"/>
      <c r="U544" s="141"/>
      <c r="V544" s="141"/>
    </row>
    <row r="545" spans="1:22" s="423" customFormat="1" outlineLevel="1" x14ac:dyDescent="0.25">
      <c r="B545" s="518" t="s">
        <v>118</v>
      </c>
      <c r="C545" s="558">
        <f t="shared" si="142"/>
        <v>0</v>
      </c>
      <c r="D545" s="558">
        <f t="shared" si="143"/>
        <v>0</v>
      </c>
      <c r="E545" s="558">
        <f t="shared" si="144"/>
        <v>0</v>
      </c>
      <c r="F545" s="540"/>
      <c r="G545" s="518" t="s">
        <v>118</v>
      </c>
      <c r="H545" s="558">
        <f t="shared" si="145"/>
        <v>0</v>
      </c>
      <c r="I545" s="558">
        <f t="shared" si="146"/>
        <v>0</v>
      </c>
      <c r="J545" s="540"/>
      <c r="U545" s="141"/>
      <c r="V545" s="141"/>
    </row>
    <row r="546" spans="1:22" s="423" customFormat="1" outlineLevel="1" x14ac:dyDescent="0.25">
      <c r="B546" s="518" t="s">
        <v>119</v>
      </c>
      <c r="C546" s="558">
        <f t="shared" si="142"/>
        <v>0</v>
      </c>
      <c r="D546" s="558">
        <f t="shared" si="143"/>
        <v>0</v>
      </c>
      <c r="E546" s="558">
        <f t="shared" si="144"/>
        <v>0</v>
      </c>
      <c r="F546" s="540"/>
      <c r="G546" s="518" t="s">
        <v>119</v>
      </c>
      <c r="H546" s="558">
        <f t="shared" si="145"/>
        <v>0</v>
      </c>
      <c r="I546" s="558">
        <f t="shared" si="146"/>
        <v>0</v>
      </c>
      <c r="J546" s="540"/>
      <c r="U546" s="141"/>
      <c r="V546" s="141"/>
    </row>
    <row r="547" spans="1:22" s="423" customFormat="1" outlineLevel="1" x14ac:dyDescent="0.25">
      <c r="B547" s="518" t="s">
        <v>120</v>
      </c>
      <c r="C547" s="558">
        <f t="shared" si="142"/>
        <v>0</v>
      </c>
      <c r="D547" s="558">
        <f t="shared" si="143"/>
        <v>0</v>
      </c>
      <c r="E547" s="558">
        <f t="shared" si="144"/>
        <v>0</v>
      </c>
      <c r="F547" s="540"/>
      <c r="G547" s="518" t="s">
        <v>120</v>
      </c>
      <c r="H547" s="558">
        <f t="shared" si="145"/>
        <v>0</v>
      </c>
      <c r="I547" s="558">
        <f t="shared" si="146"/>
        <v>0</v>
      </c>
      <c r="J547" s="540"/>
      <c r="U547" s="141"/>
      <c r="V547" s="141"/>
    </row>
    <row r="548" spans="1:22" s="423" customFormat="1" outlineLevel="1" x14ac:dyDescent="0.25">
      <c r="B548" s="518" t="s">
        <v>121</v>
      </c>
      <c r="C548" s="558">
        <f t="shared" si="142"/>
        <v>0</v>
      </c>
      <c r="D548" s="558">
        <f t="shared" si="143"/>
        <v>0</v>
      </c>
      <c r="E548" s="558">
        <f t="shared" si="144"/>
        <v>0</v>
      </c>
      <c r="F548" s="540"/>
      <c r="G548" s="518" t="s">
        <v>121</v>
      </c>
      <c r="H548" s="558">
        <f t="shared" si="145"/>
        <v>0</v>
      </c>
      <c r="I548" s="558">
        <f t="shared" si="146"/>
        <v>0</v>
      </c>
      <c r="J548" s="540"/>
      <c r="U548" s="141"/>
      <c r="V548" s="141"/>
    </row>
    <row r="549" spans="1:22" s="423" customFormat="1" outlineLevel="1" x14ac:dyDescent="0.25">
      <c r="B549" s="518" t="s">
        <v>122</v>
      </c>
      <c r="C549" s="558">
        <f t="shared" si="142"/>
        <v>0</v>
      </c>
      <c r="D549" s="558">
        <f t="shared" si="143"/>
        <v>0</v>
      </c>
      <c r="E549" s="558">
        <f t="shared" si="144"/>
        <v>0</v>
      </c>
      <c r="F549" s="540"/>
      <c r="G549" s="518" t="s">
        <v>122</v>
      </c>
      <c r="H549" s="558">
        <f t="shared" si="145"/>
        <v>0</v>
      </c>
      <c r="I549" s="558">
        <f t="shared" si="146"/>
        <v>0</v>
      </c>
      <c r="J549" s="540"/>
      <c r="U549" s="141"/>
      <c r="V549" s="141"/>
    </row>
    <row r="550" spans="1:22" s="18" customFormat="1" outlineLevel="1" x14ac:dyDescent="0.25">
      <c r="A550" s="423"/>
      <c r="B550" s="518" t="s">
        <v>123</v>
      </c>
      <c r="C550" s="558">
        <f t="shared" si="142"/>
        <v>0</v>
      </c>
      <c r="D550" s="558">
        <f t="shared" si="143"/>
        <v>0</v>
      </c>
      <c r="E550" s="558">
        <f t="shared" si="144"/>
        <v>0</v>
      </c>
      <c r="F550" s="540"/>
      <c r="G550" s="518" t="s">
        <v>123</v>
      </c>
      <c r="H550" s="558">
        <f t="shared" si="145"/>
        <v>0</v>
      </c>
      <c r="I550" s="558">
        <f t="shared" si="146"/>
        <v>0</v>
      </c>
      <c r="J550" s="540"/>
      <c r="U550" s="141"/>
      <c r="V550" s="141"/>
    </row>
    <row r="551" spans="1:22" s="423" customFormat="1" outlineLevel="1" x14ac:dyDescent="0.25">
      <c r="B551" s="518" t="s">
        <v>124</v>
      </c>
      <c r="C551" s="558">
        <f t="shared" si="142"/>
        <v>0</v>
      </c>
      <c r="D551" s="558">
        <f t="shared" si="143"/>
        <v>0</v>
      </c>
      <c r="E551" s="558">
        <f t="shared" si="144"/>
        <v>0</v>
      </c>
      <c r="F551" s="540"/>
      <c r="G551" s="518" t="s">
        <v>124</v>
      </c>
      <c r="H551" s="558">
        <f t="shared" si="145"/>
        <v>0</v>
      </c>
      <c r="I551" s="558">
        <f t="shared" si="146"/>
        <v>0</v>
      </c>
      <c r="J551" s="540"/>
      <c r="U551" s="141"/>
      <c r="V551" s="141"/>
    </row>
    <row r="552" spans="1:22" s="423" customFormat="1" outlineLevel="1" x14ac:dyDescent="0.25">
      <c r="B552" s="518" t="s">
        <v>125</v>
      </c>
      <c r="C552" s="558">
        <f t="shared" si="142"/>
        <v>0</v>
      </c>
      <c r="D552" s="558">
        <f t="shared" si="143"/>
        <v>0</v>
      </c>
      <c r="E552" s="558">
        <f t="shared" si="144"/>
        <v>0</v>
      </c>
      <c r="F552" s="540"/>
      <c r="G552" s="518" t="s">
        <v>125</v>
      </c>
      <c r="H552" s="558">
        <f t="shared" si="145"/>
        <v>0</v>
      </c>
      <c r="I552" s="558">
        <f t="shared" si="146"/>
        <v>0</v>
      </c>
      <c r="J552" s="540"/>
      <c r="U552" s="141"/>
      <c r="V552" s="141"/>
    </row>
    <row r="553" spans="1:22" s="423" customFormat="1" outlineLevel="1" x14ac:dyDescent="0.25">
      <c r="B553" s="549" t="s">
        <v>325</v>
      </c>
      <c r="C553" s="813">
        <f>SUM(C541:C552)</f>
        <v>0</v>
      </c>
      <c r="D553" s="813">
        <f>SUM(D541:D552)</f>
        <v>0</v>
      </c>
      <c r="E553" s="813">
        <f>SUM(E541:E552)</f>
        <v>0</v>
      </c>
      <c r="F553" s="540"/>
      <c r="G553" s="549" t="s">
        <v>325</v>
      </c>
      <c r="H553" s="813">
        <f>SUM(H541:H552)</f>
        <v>0</v>
      </c>
      <c r="I553" s="814">
        <f>SUM(I541:I552)</f>
        <v>0</v>
      </c>
      <c r="J553" s="540"/>
      <c r="U553" s="141"/>
      <c r="V553" s="141"/>
    </row>
    <row r="554" spans="1:22" s="423" customFormat="1" outlineLevel="1" x14ac:dyDescent="0.25">
      <c r="G554" s="18"/>
      <c r="U554" s="141"/>
      <c r="V554" s="141"/>
    </row>
    <row r="555" spans="1:22" s="423" customFormat="1" outlineLevel="1" x14ac:dyDescent="0.25">
      <c r="G555" s="18"/>
      <c r="U555" s="141"/>
      <c r="V555" s="141"/>
    </row>
    <row r="556" spans="1:22" s="423" customFormat="1" outlineLevel="1" x14ac:dyDescent="0.25">
      <c r="B556" s="782"/>
      <c r="C556" s="800" t="s">
        <v>1043</v>
      </c>
      <c r="D556" s="783"/>
      <c r="E556" s="782"/>
      <c r="F556" s="800" t="s">
        <v>1044</v>
      </c>
      <c r="G556" s="783"/>
      <c r="U556" s="141"/>
      <c r="V556" s="141"/>
    </row>
    <row r="557" spans="1:22" s="423" customFormat="1" outlineLevel="1" x14ac:dyDescent="0.25">
      <c r="B557" s="782"/>
      <c r="C557" s="784" t="s">
        <v>892</v>
      </c>
      <c r="D557" s="784" t="s">
        <v>893</v>
      </c>
      <c r="E557" s="782"/>
      <c r="F557" s="784" t="s">
        <v>892</v>
      </c>
      <c r="G557" s="784" t="s">
        <v>893</v>
      </c>
      <c r="U557" s="141"/>
      <c r="V557" s="141"/>
    </row>
    <row r="558" spans="1:22" s="423" customFormat="1" outlineLevel="1" x14ac:dyDescent="0.25">
      <c r="B558" s="785" t="s">
        <v>114</v>
      </c>
      <c r="C558" s="786">
        <f>IF(Inputs!C46=1,E523,0)</f>
        <v>0</v>
      </c>
      <c r="D558" s="786">
        <f t="shared" ref="D558:D569" ca="1" si="147">H523+D541</f>
        <v>6347.0040250160646</v>
      </c>
      <c r="E558" s="786"/>
      <c r="F558" s="786">
        <f ca="1">IF(Inputs!C$46=2,E523,0)+I541</f>
        <v>130498.38518029678</v>
      </c>
      <c r="G558" s="786">
        <f t="shared" ref="G558:G569" si="148">E541</f>
        <v>0</v>
      </c>
      <c r="U558" s="141"/>
      <c r="V558" s="141"/>
    </row>
    <row r="559" spans="1:22" s="423" customFormat="1" outlineLevel="1" x14ac:dyDescent="0.25">
      <c r="B559" s="785" t="s">
        <v>115</v>
      </c>
      <c r="C559" s="786">
        <f>IF(Inputs!C46=1,E524,0)</f>
        <v>0</v>
      </c>
      <c r="D559" s="786">
        <f t="shared" ca="1" si="147"/>
        <v>8489.4766712119963</v>
      </c>
      <c r="E559" s="786"/>
      <c r="F559" s="786">
        <f ca="1">IF(Inputs!C$46=2,E524,0)+I542</f>
        <v>84036.329622784498</v>
      </c>
      <c r="G559" s="786">
        <f t="shared" si="148"/>
        <v>0</v>
      </c>
      <c r="U559" s="141"/>
      <c r="V559" s="141"/>
    </row>
    <row r="560" spans="1:22" s="423" customFormat="1" outlineLevel="1" x14ac:dyDescent="0.25">
      <c r="B560" s="785" t="s">
        <v>116</v>
      </c>
      <c r="C560" s="786">
        <f>IF(Inputs!C46=1,E525,0)</f>
        <v>0</v>
      </c>
      <c r="D560" s="786">
        <f t="shared" ca="1" si="147"/>
        <v>20880.612791496002</v>
      </c>
      <c r="E560" s="786"/>
      <c r="F560" s="786">
        <f ca="1">IF(Inputs!C$46=2,E525,0)+I543</f>
        <v>30114.151644911861</v>
      </c>
      <c r="G560" s="786">
        <f t="shared" si="148"/>
        <v>0</v>
      </c>
      <c r="U560" s="141"/>
      <c r="V560" s="141"/>
    </row>
    <row r="561" spans="2:22" s="423" customFormat="1" outlineLevel="1" x14ac:dyDescent="0.25">
      <c r="B561" s="785" t="s">
        <v>117</v>
      </c>
      <c r="C561" s="786">
        <f>IF(Inputs!C46=1,E526,0)</f>
        <v>0</v>
      </c>
      <c r="D561" s="786">
        <f t="shared" ca="1" si="147"/>
        <v>43006.1047855617</v>
      </c>
      <c r="E561" s="786"/>
      <c r="F561" s="786">
        <f ca="1">IF(Inputs!C$46=2,E526,0)+I544</f>
        <v>4580.435459768074</v>
      </c>
      <c r="G561" s="786">
        <f t="shared" si="148"/>
        <v>0</v>
      </c>
      <c r="U561" s="141"/>
      <c r="V561" s="141"/>
    </row>
    <row r="562" spans="2:22" s="423" customFormat="1" outlineLevel="1" x14ac:dyDescent="0.25">
      <c r="B562" s="785" t="s">
        <v>118</v>
      </c>
      <c r="C562" s="786">
        <f>IF(Inputs!C46=1,E527,0)</f>
        <v>0</v>
      </c>
      <c r="D562" s="786">
        <f t="shared" ca="1" si="147"/>
        <v>77532.872597233218</v>
      </c>
      <c r="E562" s="786"/>
      <c r="F562" s="786">
        <f ca="1">IF(Inputs!C$46=2,E527,0)+I545</f>
        <v>81.024167507821417</v>
      </c>
      <c r="G562" s="786">
        <f t="shared" si="148"/>
        <v>0</v>
      </c>
      <c r="U562" s="141"/>
      <c r="V562" s="141"/>
    </row>
    <row r="563" spans="2:22" s="423" customFormat="1" outlineLevel="1" x14ac:dyDescent="0.25">
      <c r="B563" s="785" t="s">
        <v>119</v>
      </c>
      <c r="C563" s="786">
        <f>IF(Inputs!C46=1,E528,0)</f>
        <v>0</v>
      </c>
      <c r="D563" s="786">
        <f t="shared" ca="1" si="147"/>
        <v>100269.41957399381</v>
      </c>
      <c r="E563" s="786"/>
      <c r="F563" s="786">
        <f ca="1">IF(Inputs!C$46=2,E528,0)+I546</f>
        <v>0</v>
      </c>
      <c r="G563" s="786">
        <f t="shared" si="148"/>
        <v>0</v>
      </c>
      <c r="U563" s="141"/>
      <c r="V563" s="141"/>
    </row>
    <row r="564" spans="2:22" s="423" customFormat="1" outlineLevel="1" x14ac:dyDescent="0.25">
      <c r="B564" s="785" t="s">
        <v>120</v>
      </c>
      <c r="C564" s="786">
        <f>IF(Inputs!C46=1,E529,0)</f>
        <v>0</v>
      </c>
      <c r="D564" s="786">
        <f t="shared" ca="1" si="147"/>
        <v>119034.32356390868</v>
      </c>
      <c r="E564" s="786"/>
      <c r="F564" s="786">
        <f ca="1">IF(Inputs!C$46=2,E529,0)+I547</f>
        <v>0</v>
      </c>
      <c r="G564" s="786">
        <f t="shared" si="148"/>
        <v>0</v>
      </c>
      <c r="U564" s="141"/>
      <c r="V564" s="141"/>
    </row>
    <row r="565" spans="2:22" s="423" customFormat="1" outlineLevel="1" x14ac:dyDescent="0.25">
      <c r="B565" s="785" t="s">
        <v>121</v>
      </c>
      <c r="C565" s="786">
        <f>IF(Inputs!C46=1,E530,0)</f>
        <v>0</v>
      </c>
      <c r="D565" s="786">
        <f t="shared" ca="1" si="147"/>
        <v>103813.20543720515</v>
      </c>
      <c r="E565" s="786"/>
      <c r="F565" s="786">
        <f ca="1">IF(Inputs!C$46=2,E530,0)+I548</f>
        <v>0</v>
      </c>
      <c r="G565" s="786">
        <f t="shared" si="148"/>
        <v>0</v>
      </c>
      <c r="U565" s="141"/>
      <c r="V565" s="141"/>
    </row>
    <row r="566" spans="2:22" s="423" customFormat="1" outlineLevel="1" x14ac:dyDescent="0.25">
      <c r="B566" s="785" t="s">
        <v>122</v>
      </c>
      <c r="C566" s="786">
        <f>IF(Inputs!C46=1,E531,0)</f>
        <v>0</v>
      </c>
      <c r="D566" s="786">
        <f t="shared" ca="1" si="147"/>
        <v>81792.898708160792</v>
      </c>
      <c r="E566" s="786"/>
      <c r="F566" s="786">
        <f ca="1">IF(Inputs!C$46=2,E531,0)+I549</f>
        <v>1.4524312246805495</v>
      </c>
      <c r="G566" s="786">
        <f t="shared" si="148"/>
        <v>0</v>
      </c>
      <c r="U566" s="141"/>
      <c r="V566" s="141"/>
    </row>
    <row r="567" spans="2:22" s="423" customFormat="1" outlineLevel="1" x14ac:dyDescent="0.25">
      <c r="B567" s="785" t="s">
        <v>123</v>
      </c>
      <c r="C567" s="786">
        <f>IF(Inputs!C46=1,E532,0)</f>
        <v>0</v>
      </c>
      <c r="D567" s="786">
        <f t="shared" ca="1" si="147"/>
        <v>44816.245252991685</v>
      </c>
      <c r="E567" s="786"/>
      <c r="F567" s="786">
        <f ca="1">IF(Inputs!C$46=2,E532,0)+I550</f>
        <v>3300.2798681849208</v>
      </c>
      <c r="G567" s="786">
        <f t="shared" si="148"/>
        <v>0</v>
      </c>
      <c r="U567" s="141"/>
      <c r="V567" s="141"/>
    </row>
    <row r="568" spans="2:22" s="423" customFormat="1" outlineLevel="1" x14ac:dyDescent="0.25">
      <c r="B568" s="785" t="s">
        <v>124</v>
      </c>
      <c r="C568" s="786">
        <f>IF(Inputs!C46=1,E533,0)</f>
        <v>0</v>
      </c>
      <c r="D568" s="786">
        <f t="shared" ca="1" si="147"/>
        <v>16997.313839606155</v>
      </c>
      <c r="E568" s="786"/>
      <c r="F568" s="786">
        <f ca="1">IF(Inputs!C$46=2,E533,0)+I551</f>
        <v>27846.745511017798</v>
      </c>
      <c r="G568" s="786">
        <f t="shared" si="148"/>
        <v>0</v>
      </c>
      <c r="U568" s="141"/>
      <c r="V568" s="141"/>
    </row>
    <row r="569" spans="2:22" s="423" customFormat="1" outlineLevel="1" x14ac:dyDescent="0.25">
      <c r="B569" s="785" t="s">
        <v>125</v>
      </c>
      <c r="C569" s="786">
        <f>IF(Inputs!C46=1,E534,0)</f>
        <v>0</v>
      </c>
      <c r="D569" s="786">
        <f t="shared" ca="1" si="147"/>
        <v>7150.0937815002781</v>
      </c>
      <c r="E569" s="786"/>
      <c r="F569" s="786">
        <f ca="1">IF(Inputs!C$46=2,E534,0)+I552</f>
        <v>110058.23581206497</v>
      </c>
      <c r="G569" s="786">
        <f t="shared" si="148"/>
        <v>0</v>
      </c>
      <c r="U569" s="141"/>
      <c r="V569" s="141"/>
    </row>
    <row r="570" spans="2:22" s="423" customFormat="1" outlineLevel="1" x14ac:dyDescent="0.25">
      <c r="B570" s="787" t="s">
        <v>325</v>
      </c>
      <c r="C570" s="788">
        <f>SUM(C558:C569)</f>
        <v>0</v>
      </c>
      <c r="D570" s="788">
        <f ca="1">SUM(D558:D569)</f>
        <v>630129.57102788554</v>
      </c>
      <c r="E570" s="782"/>
      <c r="F570" s="788">
        <f ca="1">SUM(F558:F569)</f>
        <v>390517.03969776141</v>
      </c>
      <c r="G570" s="788">
        <f>SUM(G558:G569)</f>
        <v>0</v>
      </c>
      <c r="U570" s="141"/>
      <c r="V570" s="141"/>
    </row>
    <row r="571" spans="2:22" s="423" customFormat="1" outlineLevel="1" x14ac:dyDescent="0.25">
      <c r="F571" s="36"/>
      <c r="U571" s="141"/>
      <c r="V571" s="141"/>
    </row>
    <row r="572" spans="2:22" s="423" customFormat="1" outlineLevel="1" x14ac:dyDescent="0.25">
      <c r="F572" s="36"/>
      <c r="U572" s="141"/>
      <c r="V572" s="141"/>
    </row>
    <row r="573" spans="2:22" s="423" customFormat="1" outlineLevel="1" x14ac:dyDescent="0.25">
      <c r="F573" s="36"/>
      <c r="U573" s="141"/>
      <c r="V573" s="141"/>
    </row>
    <row r="574" spans="2:22" s="423" customFormat="1" outlineLevel="1" x14ac:dyDescent="0.25">
      <c r="F574" s="36"/>
      <c r="U574" s="141"/>
      <c r="V574" s="141"/>
    </row>
    <row r="575" spans="2:22" s="423" customFormat="1" outlineLevel="1" x14ac:dyDescent="0.25">
      <c r="F575" s="36"/>
      <c r="U575" s="141"/>
      <c r="V575" s="141"/>
    </row>
    <row r="576" spans="2:22" s="423" customFormat="1" outlineLevel="1" x14ac:dyDescent="0.25">
      <c r="F576" s="36"/>
      <c r="U576" s="141"/>
      <c r="V576" s="141"/>
    </row>
    <row r="577" spans="6:22" s="423" customFormat="1" outlineLevel="1" x14ac:dyDescent="0.25">
      <c r="F577" s="36"/>
      <c r="U577" s="141"/>
      <c r="V577" s="141"/>
    </row>
    <row r="578" spans="6:22" s="423" customFormat="1" outlineLevel="1" x14ac:dyDescent="0.25">
      <c r="F578" s="36"/>
      <c r="U578" s="141"/>
      <c r="V578" s="141"/>
    </row>
    <row r="579" spans="6:22" s="423" customFormat="1" outlineLevel="1" x14ac:dyDescent="0.25">
      <c r="F579" s="36"/>
      <c r="U579" s="141"/>
      <c r="V579" s="141"/>
    </row>
    <row r="580" spans="6:22" s="423" customFormat="1" outlineLevel="1" x14ac:dyDescent="0.25">
      <c r="F580" s="36"/>
      <c r="U580" s="141"/>
      <c r="V580" s="141"/>
    </row>
    <row r="581" spans="6:22" s="423" customFormat="1" outlineLevel="1" x14ac:dyDescent="0.25">
      <c r="F581" s="36"/>
      <c r="U581" s="141"/>
      <c r="V581" s="141"/>
    </row>
    <row r="582" spans="6:22" s="423" customFormat="1" outlineLevel="1" x14ac:dyDescent="0.25">
      <c r="U582" s="141"/>
      <c r="V582" s="141"/>
    </row>
    <row r="583" spans="6:22" s="423" customFormat="1" outlineLevel="1" x14ac:dyDescent="0.25">
      <c r="U583" s="141"/>
      <c r="V583" s="141"/>
    </row>
    <row r="584" spans="6:22" s="423" customFormat="1" outlineLevel="1" x14ac:dyDescent="0.25">
      <c r="U584" s="141"/>
      <c r="V584" s="141"/>
    </row>
    <row r="585" spans="6:22" s="423" customFormat="1" outlineLevel="1" x14ac:dyDescent="0.25">
      <c r="U585" s="141"/>
      <c r="V585" s="141"/>
    </row>
    <row r="586" spans="6:22" s="423" customFormat="1" outlineLevel="1" x14ac:dyDescent="0.25">
      <c r="U586" s="141"/>
      <c r="V586" s="141"/>
    </row>
    <row r="587" spans="6:22" s="423" customFormat="1" outlineLevel="1" x14ac:dyDescent="0.25">
      <c r="U587" s="141"/>
      <c r="V587" s="141"/>
    </row>
    <row r="588" spans="6:22" s="423" customFormat="1" outlineLevel="1" x14ac:dyDescent="0.25">
      <c r="U588" s="141"/>
      <c r="V588" s="141"/>
    </row>
    <row r="589" spans="6:22" s="423" customFormat="1" outlineLevel="1" x14ac:dyDescent="0.25">
      <c r="U589" s="141"/>
      <c r="V589" s="141"/>
    </row>
    <row r="590" spans="6:22" s="423" customFormat="1" outlineLevel="1" x14ac:dyDescent="0.25">
      <c r="U590" s="141"/>
      <c r="V590" s="141"/>
    </row>
    <row r="591" spans="6:22" s="423" customFormat="1" outlineLevel="1" x14ac:dyDescent="0.25">
      <c r="U591" s="141"/>
      <c r="V591" s="141"/>
    </row>
    <row r="592" spans="6:22" s="423" customFormat="1" outlineLevel="1" x14ac:dyDescent="0.25">
      <c r="U592" s="141"/>
      <c r="V592" s="141"/>
    </row>
    <row r="593" spans="21:22" s="423" customFormat="1" outlineLevel="1" x14ac:dyDescent="0.25">
      <c r="U593" s="141"/>
      <c r="V593" s="141"/>
    </row>
    <row r="594" spans="21:22" s="423" customFormat="1" outlineLevel="1" x14ac:dyDescent="0.25">
      <c r="U594" s="141"/>
      <c r="V594" s="141"/>
    </row>
    <row r="595" spans="21:22" s="423" customFormat="1" outlineLevel="1" x14ac:dyDescent="0.25">
      <c r="U595" s="141"/>
      <c r="V595" s="141"/>
    </row>
    <row r="596" spans="21:22" s="423" customFormat="1" outlineLevel="1" x14ac:dyDescent="0.25">
      <c r="U596" s="141"/>
      <c r="V596" s="141"/>
    </row>
    <row r="597" spans="21:22" s="423" customFormat="1" outlineLevel="1" x14ac:dyDescent="0.25">
      <c r="U597" s="141"/>
      <c r="V597" s="141"/>
    </row>
    <row r="598" spans="21:22" s="423" customFormat="1" outlineLevel="1" x14ac:dyDescent="0.25">
      <c r="U598" s="141"/>
      <c r="V598" s="141"/>
    </row>
    <row r="599" spans="21:22" s="423" customFormat="1" outlineLevel="1" x14ac:dyDescent="0.25">
      <c r="U599" s="141"/>
      <c r="V599" s="141"/>
    </row>
    <row r="600" spans="21:22" s="423" customFormat="1" outlineLevel="1" x14ac:dyDescent="0.25">
      <c r="U600" s="141"/>
      <c r="V600" s="141"/>
    </row>
    <row r="601" spans="21:22" s="423" customFormat="1" outlineLevel="1" x14ac:dyDescent="0.25">
      <c r="U601" s="141"/>
      <c r="V601" s="141"/>
    </row>
    <row r="602" spans="21:22" s="423" customFormat="1" outlineLevel="1" x14ac:dyDescent="0.25">
      <c r="U602" s="141"/>
      <c r="V602" s="141"/>
    </row>
    <row r="603" spans="21:22" s="423" customFormat="1" outlineLevel="1" x14ac:dyDescent="0.25">
      <c r="U603" s="141"/>
      <c r="V603" s="141"/>
    </row>
    <row r="604" spans="21:22" s="423" customFormat="1" outlineLevel="1" x14ac:dyDescent="0.25">
      <c r="U604" s="141"/>
      <c r="V604" s="141"/>
    </row>
    <row r="605" spans="21:22" s="423" customFormat="1" outlineLevel="1" x14ac:dyDescent="0.25">
      <c r="U605" s="141"/>
      <c r="V605" s="141"/>
    </row>
    <row r="606" spans="21:22" s="423" customFormat="1" outlineLevel="1" x14ac:dyDescent="0.25">
      <c r="U606" s="141"/>
      <c r="V606" s="141"/>
    </row>
    <row r="607" spans="21:22" s="423" customFormat="1" outlineLevel="1" x14ac:dyDescent="0.25">
      <c r="U607" s="141"/>
      <c r="V607" s="141"/>
    </row>
    <row r="608" spans="21:22" s="423" customFormat="1" outlineLevel="1" x14ac:dyDescent="0.25">
      <c r="U608" s="141"/>
      <c r="V608" s="141"/>
    </row>
    <row r="609" spans="1:22" s="423" customFormat="1" outlineLevel="1" x14ac:dyDescent="0.25">
      <c r="U609" s="141"/>
      <c r="V609" s="141"/>
    </row>
    <row r="610" spans="1:22" s="423" customFormat="1" outlineLevel="1" x14ac:dyDescent="0.25">
      <c r="U610" s="141"/>
      <c r="V610" s="141"/>
    </row>
    <row r="611" spans="1:22" s="423" customFormat="1" outlineLevel="1" x14ac:dyDescent="0.25">
      <c r="U611" s="141"/>
      <c r="V611" s="141"/>
    </row>
    <row r="612" spans="1:22" s="423" customFormat="1" outlineLevel="1" x14ac:dyDescent="0.25">
      <c r="U612" s="141"/>
      <c r="V612" s="141"/>
    </row>
    <row r="613" spans="1:22" s="423" customFormat="1" outlineLevel="1" x14ac:dyDescent="0.25">
      <c r="U613" s="141"/>
      <c r="V613" s="141"/>
    </row>
    <row r="614" spans="1:22" s="423" customFormat="1" outlineLevel="1" x14ac:dyDescent="0.25">
      <c r="U614" s="141"/>
      <c r="V614" s="141"/>
    </row>
    <row r="615" spans="1:22" s="423" customFormat="1" outlineLevel="1" x14ac:dyDescent="0.25">
      <c r="U615" s="141"/>
      <c r="V615" s="141"/>
    </row>
    <row r="616" spans="1:22" s="423" customFormat="1" outlineLevel="1" x14ac:dyDescent="0.25">
      <c r="U616" s="141"/>
      <c r="V616" s="141"/>
    </row>
    <row r="617" spans="1:22" s="423" customFormat="1" ht="13.5" outlineLevel="1" thickBot="1" x14ac:dyDescent="0.3">
      <c r="A617" s="743"/>
      <c r="B617" s="789" t="s">
        <v>936</v>
      </c>
      <c r="C617" s="789"/>
      <c r="D617" s="789"/>
      <c r="E617" s="789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90"/>
      <c r="V617" s="141"/>
    </row>
    <row r="618" spans="1:22" s="423" customFormat="1" outlineLevel="1" x14ac:dyDescent="0.25">
      <c r="A618" s="743"/>
      <c r="B618" s="743"/>
      <c r="C618" s="791"/>
      <c r="D618" s="743"/>
      <c r="E618" s="743"/>
      <c r="F618" s="743"/>
      <c r="G618" s="743"/>
      <c r="H618" s="743"/>
      <c r="I618" s="743"/>
      <c r="J618" s="743"/>
      <c r="K618" s="743"/>
      <c r="L618" s="743"/>
      <c r="M618" s="743"/>
      <c r="N618" s="743"/>
      <c r="O618" s="743"/>
      <c r="P618" s="743"/>
      <c r="Q618" s="743"/>
      <c r="R618" s="743"/>
      <c r="S618" s="743"/>
      <c r="T618" s="743"/>
      <c r="U618" s="790"/>
      <c r="V618" s="141"/>
    </row>
    <row r="619" spans="1:22" s="423" customFormat="1" outlineLevel="1" x14ac:dyDescent="0.25">
      <c r="A619" s="743"/>
      <c r="B619" s="743"/>
      <c r="C619" s="791" t="s">
        <v>937</v>
      </c>
      <c r="D619" s="792" t="s">
        <v>938</v>
      </c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3"/>
      <c r="P619" s="743"/>
      <c r="Q619" s="743"/>
      <c r="R619" s="743"/>
      <c r="S619" s="743"/>
      <c r="T619" s="743"/>
      <c r="U619" s="790"/>
      <c r="V619" s="141"/>
    </row>
    <row r="620" spans="1:22" s="423" customFormat="1" outlineLevel="1" x14ac:dyDescent="0.25">
      <c r="A620" s="743"/>
      <c r="B620" s="743"/>
      <c r="C620" s="709" t="s">
        <v>956</v>
      </c>
      <c r="D620" s="792" t="s">
        <v>955</v>
      </c>
      <c r="E620" s="743"/>
      <c r="F620" s="743" t="s">
        <v>971</v>
      </c>
      <c r="G620" s="743"/>
      <c r="H620" s="743"/>
      <c r="I620" s="743" t="s">
        <v>952</v>
      </c>
      <c r="J620" s="743"/>
      <c r="K620" s="743"/>
      <c r="L620" s="743"/>
      <c r="M620" s="743"/>
      <c r="N620" s="743"/>
      <c r="O620" s="743"/>
      <c r="P620" s="743"/>
      <c r="Q620" s="743"/>
      <c r="R620" s="743"/>
      <c r="S620" s="743"/>
      <c r="T620" s="743"/>
      <c r="U620" s="790"/>
      <c r="V620" s="141"/>
    </row>
    <row r="621" spans="1:22" s="423" customFormat="1" outlineLevel="1" x14ac:dyDescent="0.25">
      <c r="A621" s="743"/>
      <c r="B621" s="743"/>
      <c r="C621" s="791" t="s">
        <v>939</v>
      </c>
      <c r="D621" s="792" t="s">
        <v>940</v>
      </c>
      <c r="E621" s="743"/>
      <c r="F621" s="743">
        <f>$D$295</f>
        <v>1</v>
      </c>
      <c r="G621" s="743"/>
      <c r="H621" s="743"/>
      <c r="I621" s="743">
        <f>1-D446</f>
        <v>1</v>
      </c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90"/>
      <c r="V621" s="141"/>
    </row>
    <row r="622" spans="1:22" s="423" customFormat="1" outlineLevel="1" x14ac:dyDescent="0.25">
      <c r="A622" s="743"/>
      <c r="B622" s="743"/>
      <c r="C622" s="791" t="s">
        <v>941</v>
      </c>
      <c r="D622" s="792" t="s">
        <v>942</v>
      </c>
      <c r="E622" s="743"/>
      <c r="F622" s="743" t="s">
        <v>972</v>
      </c>
      <c r="G622" s="743"/>
      <c r="H622" s="743"/>
      <c r="I622" s="743" t="s">
        <v>953</v>
      </c>
      <c r="J622" s="743"/>
      <c r="K622" s="743"/>
      <c r="L622" s="743"/>
      <c r="M622" s="743"/>
      <c r="N622" s="743"/>
      <c r="O622" s="743"/>
      <c r="P622" s="743"/>
      <c r="Q622" s="743"/>
      <c r="R622" s="743"/>
      <c r="S622" s="743"/>
      <c r="T622" s="743"/>
      <c r="U622" s="790"/>
      <c r="V622" s="141"/>
    </row>
    <row r="623" spans="1:22" s="423" customFormat="1" outlineLevel="1" x14ac:dyDescent="0.25">
      <c r="A623" s="743"/>
      <c r="B623" s="743"/>
      <c r="C623" s="743"/>
      <c r="D623" s="743"/>
      <c r="E623" s="743"/>
      <c r="F623" s="743">
        <f>1-$D$293</f>
        <v>1</v>
      </c>
      <c r="G623" s="743"/>
      <c r="H623" s="743"/>
      <c r="I623" s="743" t="s">
        <v>954</v>
      </c>
      <c r="J623" s="743"/>
      <c r="K623" s="743"/>
      <c r="L623" s="743"/>
      <c r="M623" s="743"/>
      <c r="N623" s="743"/>
      <c r="O623" s="743"/>
      <c r="P623" s="743"/>
      <c r="Q623" s="743"/>
      <c r="R623" s="743"/>
      <c r="S623" s="743"/>
      <c r="T623" s="743"/>
      <c r="U623" s="790"/>
      <c r="V623" s="141"/>
    </row>
    <row r="624" spans="1:22" s="423" customFormat="1" outlineLevel="1" x14ac:dyDescent="0.25">
      <c r="A624" s="743"/>
      <c r="B624" s="743"/>
      <c r="C624" s="791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3"/>
      <c r="P624" s="743"/>
      <c r="Q624" s="743"/>
      <c r="R624" s="743"/>
      <c r="S624" s="743"/>
      <c r="T624" s="743"/>
      <c r="U624" s="790"/>
      <c r="V624" s="141"/>
    </row>
    <row r="625" spans="1:22" s="423" customFormat="1" outlineLevel="1" x14ac:dyDescent="0.25">
      <c r="A625" s="743"/>
      <c r="B625" s="743" t="s">
        <v>219</v>
      </c>
      <c r="C625" s="791"/>
      <c r="D625" s="793" t="s">
        <v>943</v>
      </c>
      <c r="E625" s="793" t="s">
        <v>129</v>
      </c>
      <c r="F625" s="793" t="s">
        <v>946</v>
      </c>
      <c r="G625" s="793" t="s">
        <v>939</v>
      </c>
      <c r="H625" s="743" t="s">
        <v>949</v>
      </c>
      <c r="I625" s="743" t="s">
        <v>948</v>
      </c>
      <c r="J625" s="743" t="s">
        <v>950</v>
      </c>
      <c r="K625" s="743" t="s">
        <v>951</v>
      </c>
      <c r="L625" s="743" t="s">
        <v>957</v>
      </c>
      <c r="M625" s="743" t="s">
        <v>968</v>
      </c>
      <c r="N625" s="743" t="s">
        <v>965</v>
      </c>
      <c r="O625" s="743" t="s">
        <v>969</v>
      </c>
      <c r="P625" s="743" t="s">
        <v>947</v>
      </c>
      <c r="Q625" s="646" t="s">
        <v>937</v>
      </c>
      <c r="R625" s="743"/>
      <c r="S625" s="743"/>
      <c r="T625" s="743"/>
      <c r="U625" s="790"/>
      <c r="V625" s="141"/>
    </row>
    <row r="626" spans="1:22" s="423" customFormat="1" outlineLevel="1" x14ac:dyDescent="0.25">
      <c r="A626" s="743"/>
      <c r="B626" s="743"/>
      <c r="C626" s="794" t="s">
        <v>114</v>
      </c>
      <c r="D626" s="795">
        <f t="shared" ref="D626:D637" ca="1" si="149">Z231</f>
        <v>18.269430779455973</v>
      </c>
      <c r="E626" s="795">
        <f t="shared" ref="E626:E637" ca="1" si="150">AG5</f>
        <v>-4.6449528936742839</v>
      </c>
      <c r="F626" s="743">
        <f>1-MIN($F$621,$F$623)</f>
        <v>0</v>
      </c>
      <c r="G626" s="796">
        <f ca="1">F626*D626+(1-F626)*E626</f>
        <v>-4.6449528936742839</v>
      </c>
      <c r="H626" s="743">
        <v>0.4</v>
      </c>
      <c r="I626" s="796">
        <f t="shared" ref="I626:I637" si="151">IF($I$621=1,$D$410,G626+H626)</f>
        <v>27.6</v>
      </c>
      <c r="J626" s="797">
        <f>$D$291</f>
        <v>0.26785714285714285</v>
      </c>
      <c r="K626" s="798">
        <f t="shared" ref="K626:K637" ca="1" si="152">1.205*1.008*E424/3600</f>
        <v>2819.144019883161</v>
      </c>
      <c r="L626" s="743">
        <f t="shared" ref="L626:L637" si="153">O5</f>
        <v>2.6783999999999999</v>
      </c>
      <c r="M626" s="796">
        <f ca="1">K626*((I626-H626)-G626)*J626*L626</f>
        <v>64407.514822230674</v>
      </c>
      <c r="N626" s="799">
        <f ca="1">Calcs!L345</f>
        <v>96665.470503923541</v>
      </c>
      <c r="O626" s="798">
        <f ca="1">M626+N626</f>
        <v>161072.98532615422</v>
      </c>
      <c r="P626" s="796">
        <f ca="1">O626/(O626+O648)</f>
        <v>0.83447339433101186</v>
      </c>
      <c r="Q626" s="796">
        <f t="shared" ref="Q626:Q637" ca="1" si="154">M626*P626</f>
        <v>53746.357514131792</v>
      </c>
      <c r="R626" s="743"/>
      <c r="S626" s="743"/>
      <c r="T626" s="743"/>
      <c r="U626" s="790"/>
      <c r="V626" s="141"/>
    </row>
    <row r="627" spans="1:22" s="423" customFormat="1" outlineLevel="1" x14ac:dyDescent="0.25">
      <c r="A627" s="743"/>
      <c r="B627" s="743"/>
      <c r="C627" s="794" t="s">
        <v>115</v>
      </c>
      <c r="D627" s="795">
        <f t="shared" ca="1" si="149"/>
        <v>18.416363150790446</v>
      </c>
      <c r="E627" s="795">
        <f t="shared" ca="1" si="150"/>
        <v>-2.5291666666666686</v>
      </c>
      <c r="F627" s="743">
        <f t="shared" ref="F627:F637" si="155">1-MIN($F$621,$F$623)</f>
        <v>0</v>
      </c>
      <c r="G627" s="796">
        <f t="shared" ref="G627:G637" ca="1" si="156">F627*D627+(1-F627)*E627</f>
        <v>-2.5291666666666686</v>
      </c>
      <c r="H627" s="743">
        <v>0.4</v>
      </c>
      <c r="I627" s="796">
        <f t="shared" si="151"/>
        <v>27.6</v>
      </c>
      <c r="J627" s="797">
        <f t="shared" ref="J627:J637" si="157">$D$291</f>
        <v>0.26785714285714285</v>
      </c>
      <c r="K627" s="798">
        <f t="shared" ca="1" si="152"/>
        <v>1844.4744273316105</v>
      </c>
      <c r="L627" s="743">
        <f t="shared" si="153"/>
        <v>2.4192</v>
      </c>
      <c r="M627" s="796">
        <f t="shared" ref="M627:M637" ca="1" si="158">K627*((I627-H627)-G627)*J627*L627</f>
        <v>35532.877605329821</v>
      </c>
      <c r="N627" s="799">
        <f ca="1">Calcs!L346</f>
        <v>62249.13305391444</v>
      </c>
      <c r="O627" s="798">
        <f t="shared" ref="O627:O637" ca="1" si="159">M627+N627</f>
        <v>97782.010659244261</v>
      </c>
      <c r="P627" s="796">
        <f t="shared" ref="P627:P637" ca="1" si="160">O627/(O627+O649)</f>
        <v>0.7109113006572314</v>
      </c>
      <c r="Q627" s="796">
        <f t="shared" ca="1" si="154"/>
        <v>25260.724234499234</v>
      </c>
      <c r="R627" s="743"/>
      <c r="S627" s="743"/>
      <c r="T627" s="743"/>
      <c r="U627" s="790"/>
      <c r="V627" s="141"/>
    </row>
    <row r="628" spans="1:22" s="423" customFormat="1" outlineLevel="1" x14ac:dyDescent="0.25">
      <c r="A628" s="743"/>
      <c r="B628" s="743"/>
      <c r="C628" s="794" t="s">
        <v>116</v>
      </c>
      <c r="D628" s="795">
        <f t="shared" ca="1" si="149"/>
        <v>19.254631360541367</v>
      </c>
      <c r="E628" s="795">
        <f t="shared" ca="1" si="150"/>
        <v>3.8249999999999953</v>
      </c>
      <c r="F628" s="743">
        <f t="shared" si="155"/>
        <v>0</v>
      </c>
      <c r="G628" s="796">
        <f t="shared" ca="1" si="156"/>
        <v>3.8249999999999953</v>
      </c>
      <c r="H628" s="743">
        <v>0.4</v>
      </c>
      <c r="I628" s="796">
        <f t="shared" si="151"/>
        <v>27.6</v>
      </c>
      <c r="J628" s="797">
        <f t="shared" si="157"/>
        <v>0.26785714285714285</v>
      </c>
      <c r="K628" s="798">
        <f t="shared" ca="1" si="152"/>
        <v>727.35323035435113</v>
      </c>
      <c r="L628" s="743">
        <f t="shared" si="153"/>
        <v>2.6783999999999999</v>
      </c>
      <c r="M628" s="796">
        <f t="shared" ca="1" si="158"/>
        <v>12197.63574233922</v>
      </c>
      <c r="N628" s="799">
        <f ca="1">Calcs!L347</f>
        <v>22306.778996231005</v>
      </c>
      <c r="O628" s="798">
        <f t="shared" ca="1" si="159"/>
        <v>34504.414738570224</v>
      </c>
      <c r="P628" s="796">
        <f t="shared" ca="1" si="160"/>
        <v>0.27808339352290845</v>
      </c>
      <c r="Q628" s="796">
        <f t="shared" ca="1" si="154"/>
        <v>3391.959940186011</v>
      </c>
      <c r="R628" s="743"/>
      <c r="S628" s="743"/>
      <c r="T628" s="743"/>
      <c r="U628" s="790"/>
      <c r="V628" s="141"/>
    </row>
    <row r="629" spans="1:22" s="423" customFormat="1" outlineLevel="1" x14ac:dyDescent="0.25">
      <c r="A629" s="743"/>
      <c r="B629" s="743"/>
      <c r="C629" s="794" t="s">
        <v>117</v>
      </c>
      <c r="D629" s="795">
        <f t="shared" ca="1" si="149"/>
        <v>20.6</v>
      </c>
      <c r="E629" s="795">
        <f t="shared" ca="1" si="150"/>
        <v>9.9386111111111219</v>
      </c>
      <c r="F629" s="743">
        <f t="shared" si="155"/>
        <v>0</v>
      </c>
      <c r="G629" s="796">
        <f t="shared" ca="1" si="156"/>
        <v>9.9386111111111219</v>
      </c>
      <c r="H629" s="743">
        <v>0.4</v>
      </c>
      <c r="I629" s="796">
        <f t="shared" si="151"/>
        <v>27.6</v>
      </c>
      <c r="J629" s="797">
        <f t="shared" si="157"/>
        <v>0.26785714285714285</v>
      </c>
      <c r="K629" s="798">
        <f t="shared" ca="1" si="152"/>
        <v>131.89520054971069</v>
      </c>
      <c r="L629" s="743">
        <f t="shared" si="153"/>
        <v>2.5920000000000001</v>
      </c>
      <c r="M629" s="796">
        <f t="shared" ca="1" si="158"/>
        <v>1580.676362490774</v>
      </c>
      <c r="N629" s="799">
        <f ca="1">Calcs!L348</f>
        <v>3392.9151553837582</v>
      </c>
      <c r="O629" s="798">
        <f t="shared" ca="1" si="159"/>
        <v>4973.5915178745327</v>
      </c>
      <c r="P629" s="796">
        <f t="shared" ca="1" si="160"/>
        <v>3.0046517369720725E-2</v>
      </c>
      <c r="Q629" s="796">
        <f t="shared" ca="1" si="154"/>
        <v>47.49381978148601</v>
      </c>
      <c r="R629" s="743"/>
      <c r="S629" s="743"/>
      <c r="T629" s="743"/>
      <c r="U629" s="790"/>
      <c r="V629" s="141"/>
    </row>
    <row r="630" spans="1:22" s="423" customFormat="1" outlineLevel="1" x14ac:dyDescent="0.25">
      <c r="A630" s="743"/>
      <c r="B630" s="743"/>
      <c r="C630" s="794" t="s">
        <v>118</v>
      </c>
      <c r="D630" s="795">
        <f t="shared" ca="1" si="149"/>
        <v>20.6</v>
      </c>
      <c r="E630" s="795">
        <f t="shared" ca="1" si="150"/>
        <v>15.297177419354838</v>
      </c>
      <c r="F630" s="743">
        <f t="shared" si="155"/>
        <v>0</v>
      </c>
      <c r="G630" s="796">
        <f t="shared" ca="1" si="156"/>
        <v>15.297177419354838</v>
      </c>
      <c r="H630" s="743">
        <v>0.4</v>
      </c>
      <c r="I630" s="796">
        <f t="shared" si="151"/>
        <v>27.6</v>
      </c>
      <c r="J630" s="797">
        <f t="shared" si="157"/>
        <v>0.26785714285714285</v>
      </c>
      <c r="K630" s="798">
        <f t="shared" ca="1" si="152"/>
        <v>2.333118524796018</v>
      </c>
      <c r="L630" s="743">
        <f t="shared" si="153"/>
        <v>2.6783999999999999</v>
      </c>
      <c r="M630" s="796">
        <f t="shared" ca="1" si="158"/>
        <v>19.923490658606241</v>
      </c>
      <c r="N630" s="799">
        <f ca="1">Calcs!L349</f>
        <v>60.017901857645484</v>
      </c>
      <c r="O630" s="798">
        <f t="shared" ca="1" si="159"/>
        <v>79.941392516251724</v>
      </c>
      <c r="P630" s="796">
        <f t="shared" ca="1" si="160"/>
        <v>3.1454996002977791E-4</v>
      </c>
      <c r="Q630" s="796">
        <f t="shared" ca="1" si="154"/>
        <v>6.266933190318247E-3</v>
      </c>
      <c r="R630" s="743"/>
      <c r="S630" s="743"/>
      <c r="T630" s="743"/>
      <c r="U630" s="790"/>
      <c r="V630" s="141"/>
    </row>
    <row r="631" spans="1:22" s="423" customFormat="1" outlineLevel="1" x14ac:dyDescent="0.25">
      <c r="A631" s="743"/>
      <c r="B631" s="743"/>
      <c r="C631" s="794" t="s">
        <v>119</v>
      </c>
      <c r="D631" s="795">
        <f t="shared" ca="1" si="149"/>
        <v>20.6</v>
      </c>
      <c r="E631" s="795">
        <f t="shared" ca="1" si="150"/>
        <v>21.110000000000003</v>
      </c>
      <c r="F631" s="743">
        <f t="shared" si="155"/>
        <v>0</v>
      </c>
      <c r="G631" s="796">
        <f t="shared" ca="1" si="156"/>
        <v>21.110000000000003</v>
      </c>
      <c r="H631" s="743">
        <v>0.4</v>
      </c>
      <c r="I631" s="796">
        <f t="shared" si="151"/>
        <v>27.6</v>
      </c>
      <c r="J631" s="797">
        <f t="shared" si="157"/>
        <v>0.26785714285714285</v>
      </c>
      <c r="K631" s="798">
        <f t="shared" ca="1" si="152"/>
        <v>0</v>
      </c>
      <c r="L631" s="743">
        <f t="shared" si="153"/>
        <v>2.5920000000000001</v>
      </c>
      <c r="M631" s="796">
        <f t="shared" ca="1" si="158"/>
        <v>0</v>
      </c>
      <c r="N631" s="799">
        <f ca="1">Calcs!L350</f>
        <v>0</v>
      </c>
      <c r="O631" s="798">
        <f t="shared" ca="1" si="159"/>
        <v>0</v>
      </c>
      <c r="P631" s="796">
        <f t="shared" ca="1" si="160"/>
        <v>0</v>
      </c>
      <c r="Q631" s="796">
        <f t="shared" ca="1" si="154"/>
        <v>0</v>
      </c>
      <c r="R631" s="743"/>
      <c r="S631" s="743"/>
      <c r="T631" s="743"/>
      <c r="U631" s="790"/>
      <c r="V631" s="141"/>
    </row>
    <row r="632" spans="1:22" s="423" customFormat="1" outlineLevel="1" x14ac:dyDescent="0.25">
      <c r="A632" s="743"/>
      <c r="B632" s="743"/>
      <c r="C632" s="794" t="s">
        <v>120</v>
      </c>
      <c r="D632" s="795">
        <f t="shared" ca="1" si="149"/>
        <v>20.6</v>
      </c>
      <c r="E632" s="795">
        <f t="shared" ca="1" si="150"/>
        <v>24.129569892473107</v>
      </c>
      <c r="F632" s="743">
        <f t="shared" si="155"/>
        <v>0</v>
      </c>
      <c r="G632" s="796">
        <f t="shared" ca="1" si="156"/>
        <v>24.129569892473107</v>
      </c>
      <c r="H632" s="743">
        <v>0.4</v>
      </c>
      <c r="I632" s="796">
        <f t="shared" si="151"/>
        <v>27.6</v>
      </c>
      <c r="J632" s="797">
        <f t="shared" si="157"/>
        <v>0.26785714285714285</v>
      </c>
      <c r="K632" s="798">
        <f t="shared" ca="1" si="152"/>
        <v>0</v>
      </c>
      <c r="L632" s="743">
        <f t="shared" si="153"/>
        <v>2.6783999999999999</v>
      </c>
      <c r="M632" s="796">
        <f t="shared" ca="1" si="158"/>
        <v>0</v>
      </c>
      <c r="N632" s="799">
        <f ca="1">Calcs!L351</f>
        <v>0</v>
      </c>
      <c r="O632" s="798">
        <f t="shared" ca="1" si="159"/>
        <v>0</v>
      </c>
      <c r="P632" s="796">
        <f t="shared" ca="1" si="160"/>
        <v>0</v>
      </c>
      <c r="Q632" s="796">
        <f t="shared" ca="1" si="154"/>
        <v>0</v>
      </c>
      <c r="R632" s="743"/>
      <c r="S632" s="743"/>
      <c r="T632" s="743"/>
      <c r="U632" s="790"/>
      <c r="V632" s="141"/>
    </row>
    <row r="633" spans="1:22" s="423" customFormat="1" outlineLevel="1" x14ac:dyDescent="0.25">
      <c r="A633" s="743"/>
      <c r="B633" s="743"/>
      <c r="C633" s="794" t="s">
        <v>121</v>
      </c>
      <c r="D633" s="795">
        <f t="shared" ca="1" si="149"/>
        <v>20.6</v>
      </c>
      <c r="E633" s="795">
        <f t="shared" ca="1" si="150"/>
        <v>21.780376344086033</v>
      </c>
      <c r="F633" s="743">
        <f t="shared" si="155"/>
        <v>0</v>
      </c>
      <c r="G633" s="796">
        <f t="shared" ca="1" si="156"/>
        <v>21.780376344086033</v>
      </c>
      <c r="H633" s="743">
        <v>0.4</v>
      </c>
      <c r="I633" s="796">
        <f t="shared" si="151"/>
        <v>27.6</v>
      </c>
      <c r="J633" s="797">
        <f t="shared" si="157"/>
        <v>0.26785714285714285</v>
      </c>
      <c r="K633" s="798">
        <f t="shared" ca="1" si="152"/>
        <v>0</v>
      </c>
      <c r="L633" s="743">
        <f t="shared" si="153"/>
        <v>2.6783999999999999</v>
      </c>
      <c r="M633" s="796">
        <f t="shared" ca="1" si="158"/>
        <v>0</v>
      </c>
      <c r="N633" s="799">
        <f ca="1">Calcs!L352</f>
        <v>0</v>
      </c>
      <c r="O633" s="798">
        <f t="shared" ca="1" si="159"/>
        <v>0</v>
      </c>
      <c r="P633" s="796">
        <f t="shared" ca="1" si="160"/>
        <v>0</v>
      </c>
      <c r="Q633" s="796">
        <f t="shared" ca="1" si="154"/>
        <v>0</v>
      </c>
      <c r="R633" s="743"/>
      <c r="S633" s="743"/>
      <c r="T633" s="743"/>
      <c r="U633" s="790"/>
      <c r="V633" s="141"/>
    </row>
    <row r="634" spans="1:22" s="423" customFormat="1" outlineLevel="1" x14ac:dyDescent="0.25">
      <c r="A634" s="743"/>
      <c r="B634" s="743"/>
      <c r="C634" s="794" t="s">
        <v>122</v>
      </c>
      <c r="D634" s="795">
        <f t="shared" ca="1" si="149"/>
        <v>20.6</v>
      </c>
      <c r="E634" s="795">
        <f t="shared" ca="1" si="150"/>
        <v>18.14208333333336</v>
      </c>
      <c r="F634" s="743">
        <f t="shared" si="155"/>
        <v>0</v>
      </c>
      <c r="G634" s="796">
        <f t="shared" ca="1" si="156"/>
        <v>18.14208333333336</v>
      </c>
      <c r="H634" s="743">
        <v>0.4</v>
      </c>
      <c r="I634" s="796">
        <f t="shared" si="151"/>
        <v>27.6</v>
      </c>
      <c r="J634" s="797">
        <f t="shared" si="157"/>
        <v>0.26785714285714285</v>
      </c>
      <c r="K634" s="798">
        <f t="shared" ca="1" si="152"/>
        <v>4.1823252253313681E-2</v>
      </c>
      <c r="L634" s="743">
        <f t="shared" si="153"/>
        <v>2.5920000000000001</v>
      </c>
      <c r="M634" s="796">
        <f t="shared" ca="1" si="158"/>
        <v>0.26301732192684812</v>
      </c>
      <c r="N634" s="799">
        <f ca="1">Calcs!L353</f>
        <v>1.0758749812448514</v>
      </c>
      <c r="O634" s="798">
        <f t="shared" ca="1" si="159"/>
        <v>1.3388923031716995</v>
      </c>
      <c r="P634" s="796">
        <f t="shared" ca="1" si="160"/>
        <v>5.3783498110977275E-6</v>
      </c>
      <c r="Q634" s="796">
        <f t="shared" ca="1" si="154"/>
        <v>1.4145991637006938E-6</v>
      </c>
      <c r="R634" s="743"/>
      <c r="S634" s="743"/>
      <c r="T634" s="743"/>
      <c r="U634" s="790"/>
      <c r="V634" s="141"/>
    </row>
    <row r="635" spans="1:22" s="423" customFormat="1" outlineLevel="1" x14ac:dyDescent="0.25">
      <c r="A635" s="743"/>
      <c r="B635" s="743"/>
      <c r="C635" s="794" t="s">
        <v>123</v>
      </c>
      <c r="D635" s="795">
        <f t="shared" ca="1" si="149"/>
        <v>20.583542209125021</v>
      </c>
      <c r="E635" s="795">
        <f t="shared" ca="1" si="150"/>
        <v>10.98319892473118</v>
      </c>
      <c r="F635" s="743">
        <f t="shared" si="155"/>
        <v>0</v>
      </c>
      <c r="G635" s="796">
        <f t="shared" ca="1" si="156"/>
        <v>10.98319892473118</v>
      </c>
      <c r="H635" s="743">
        <v>0.4</v>
      </c>
      <c r="I635" s="796">
        <f t="shared" si="151"/>
        <v>27.6</v>
      </c>
      <c r="J635" s="797">
        <f t="shared" si="157"/>
        <v>0.26785714285714285</v>
      </c>
      <c r="K635" s="798">
        <f t="shared" ca="1" si="152"/>
        <v>94.809775387026875</v>
      </c>
      <c r="L635" s="743">
        <f t="shared" si="153"/>
        <v>2.6783999999999999</v>
      </c>
      <c r="M635" s="796">
        <f t="shared" ca="1" si="158"/>
        <v>1103.0545121564851</v>
      </c>
      <c r="N635" s="799">
        <f ca="1">Calcs!L354</f>
        <v>2444.6517542110523</v>
      </c>
      <c r="O635" s="798">
        <f t="shared" ca="1" si="159"/>
        <v>3547.7062663675374</v>
      </c>
      <c r="P635" s="796">
        <f t="shared" ca="1" si="160"/>
        <v>2.1165118542264334E-2</v>
      </c>
      <c r="Q635" s="796">
        <f t="shared" ca="1" si="154"/>
        <v>23.346279508371563</v>
      </c>
      <c r="R635" s="743"/>
      <c r="S635" s="743"/>
      <c r="T635" s="743"/>
      <c r="U635" s="790"/>
      <c r="V635" s="141"/>
    </row>
    <row r="636" spans="1:22" s="423" customFormat="1" outlineLevel="1" x14ac:dyDescent="0.25">
      <c r="A636" s="743"/>
      <c r="B636" s="743"/>
      <c r="C636" s="794" t="s">
        <v>124</v>
      </c>
      <c r="D636" s="795">
        <f t="shared" ca="1" si="149"/>
        <v>19.128620079529263</v>
      </c>
      <c r="E636" s="795">
        <f t="shared" ca="1" si="150"/>
        <v>4.7393055555555428</v>
      </c>
      <c r="F636" s="743">
        <f t="shared" si="155"/>
        <v>0</v>
      </c>
      <c r="G636" s="796">
        <f t="shared" ca="1" si="156"/>
        <v>4.7393055555555428</v>
      </c>
      <c r="H636" s="743">
        <v>0.4</v>
      </c>
      <c r="I636" s="796">
        <f t="shared" si="151"/>
        <v>27.6</v>
      </c>
      <c r="J636" s="797">
        <f t="shared" si="157"/>
        <v>0.26785714285714285</v>
      </c>
      <c r="K636" s="798">
        <f t="shared" ca="1" si="152"/>
        <v>662.58339998447445</v>
      </c>
      <c r="L636" s="743">
        <f t="shared" si="153"/>
        <v>2.5920000000000001</v>
      </c>
      <c r="M636" s="796">
        <f t="shared" ca="1" si="158"/>
        <v>10332.417827760042</v>
      </c>
      <c r="N636" s="799">
        <f ca="1">Calcs!L355</f>
        <v>20627.218897050217</v>
      </c>
      <c r="O636" s="798">
        <f t="shared" ca="1" si="159"/>
        <v>30959.636724810262</v>
      </c>
      <c r="P636" s="796">
        <f t="shared" ca="1" si="160"/>
        <v>0.30373557694475872</v>
      </c>
      <c r="Q636" s="796">
        <f t="shared" ca="1" si="154"/>
        <v>3138.322890149007</v>
      </c>
      <c r="R636" s="743"/>
      <c r="S636" s="743"/>
      <c r="T636" s="743"/>
      <c r="U636" s="790"/>
      <c r="V636" s="141"/>
    </row>
    <row r="637" spans="1:22" s="423" customFormat="1" outlineLevel="1" x14ac:dyDescent="0.25">
      <c r="A637" s="743"/>
      <c r="B637" s="743"/>
      <c r="C637" s="794" t="s">
        <v>125</v>
      </c>
      <c r="D637" s="795">
        <f t="shared" ca="1" si="149"/>
        <v>18.317217789262237</v>
      </c>
      <c r="E637" s="795">
        <f t="shared" ca="1" si="150"/>
        <v>-3.6770469798657768</v>
      </c>
      <c r="F637" s="743">
        <f t="shared" si="155"/>
        <v>0</v>
      </c>
      <c r="G637" s="796">
        <f t="shared" ca="1" si="156"/>
        <v>-3.6770469798657768</v>
      </c>
      <c r="H637" s="743">
        <v>0.4</v>
      </c>
      <c r="I637" s="796">
        <f t="shared" si="151"/>
        <v>27.6</v>
      </c>
      <c r="J637" s="797">
        <f t="shared" si="157"/>
        <v>0.26785714285714285</v>
      </c>
      <c r="K637" s="798">
        <f t="shared" ca="1" si="152"/>
        <v>2389.8170217038087</v>
      </c>
      <c r="L637" s="743">
        <f t="shared" si="153"/>
        <v>2.6783999999999999</v>
      </c>
      <c r="M637" s="796">
        <f t="shared" ca="1" si="158"/>
        <v>52939.407585158653</v>
      </c>
      <c r="N637" s="799">
        <f ca="1">Calcs!L356</f>
        <v>81524.619120048126</v>
      </c>
      <c r="O637" s="798">
        <f t="shared" ca="1" si="159"/>
        <v>134464.02670520678</v>
      </c>
      <c r="P637" s="796">
        <f t="shared" ca="1" si="160"/>
        <v>0.79166670202862965</v>
      </c>
      <c r="Q637" s="796">
        <f t="shared" ca="1" si="154"/>
        <v>41910.36621029197</v>
      </c>
      <c r="R637" s="743"/>
      <c r="S637" s="743"/>
      <c r="T637" s="743"/>
      <c r="U637" s="790"/>
      <c r="V637" s="141"/>
    </row>
    <row r="638" spans="1:22" s="423" customFormat="1" outlineLevel="1" x14ac:dyDescent="0.25">
      <c r="A638" s="743"/>
      <c r="B638" s="743"/>
      <c r="C638" s="791"/>
      <c r="D638" s="795"/>
      <c r="E638" s="743"/>
      <c r="F638" s="743"/>
      <c r="G638" s="743"/>
      <c r="H638" s="743"/>
      <c r="I638" s="743"/>
      <c r="J638" s="743"/>
      <c r="K638" s="743"/>
      <c r="L638" s="743"/>
      <c r="M638" s="743"/>
      <c r="N638" s="743"/>
      <c r="O638" s="743"/>
      <c r="P638" s="743"/>
      <c r="Q638" s="743"/>
      <c r="R638" s="743"/>
      <c r="S638" s="743"/>
      <c r="T638" s="743"/>
      <c r="U638" s="790"/>
      <c r="V638" s="141"/>
    </row>
    <row r="639" spans="1:22" s="423" customFormat="1" outlineLevel="1" x14ac:dyDescent="0.25">
      <c r="A639" s="743"/>
      <c r="B639" s="743"/>
      <c r="C639" s="791"/>
      <c r="D639" s="795"/>
      <c r="E639" s="743"/>
      <c r="F639" s="743"/>
      <c r="G639" s="743"/>
      <c r="H639" s="743"/>
      <c r="I639" s="743"/>
      <c r="J639" s="743"/>
      <c r="K639" s="743"/>
      <c r="L639" s="743"/>
      <c r="M639" s="743"/>
      <c r="N639" s="743"/>
      <c r="O639" s="743"/>
      <c r="P639" s="743"/>
      <c r="Q639" s="743"/>
      <c r="R639" s="743"/>
      <c r="S639" s="743"/>
      <c r="T639" s="743"/>
      <c r="U639" s="790"/>
      <c r="V639" s="141"/>
    </row>
    <row r="640" spans="1:22" s="423" customFormat="1" outlineLevel="1" x14ac:dyDescent="0.25">
      <c r="A640" s="743"/>
      <c r="B640" s="743"/>
      <c r="C640" s="791"/>
      <c r="D640" s="795"/>
      <c r="E640" s="743"/>
      <c r="F640" s="743"/>
      <c r="G640" s="743"/>
      <c r="H640" s="743"/>
      <c r="I640" s="743"/>
      <c r="J640" s="743"/>
      <c r="K640" s="743"/>
      <c r="L640" s="743"/>
      <c r="M640" s="743"/>
      <c r="N640" s="743"/>
      <c r="O640" s="743"/>
      <c r="P640" s="743"/>
      <c r="Q640" s="743"/>
      <c r="R640" s="743"/>
      <c r="S640" s="743"/>
      <c r="T640" s="743"/>
      <c r="U640" s="790"/>
      <c r="V640" s="141"/>
    </row>
    <row r="641" spans="1:22" s="423" customFormat="1" outlineLevel="1" x14ac:dyDescent="0.25">
      <c r="A641" s="743"/>
      <c r="B641" s="743"/>
      <c r="C641" s="791" t="s">
        <v>962</v>
      </c>
      <c r="D641" s="792" t="s">
        <v>963</v>
      </c>
      <c r="E641" s="743"/>
      <c r="F641" s="743"/>
      <c r="G641" s="743"/>
      <c r="H641" s="743"/>
      <c r="I641" s="743"/>
      <c r="J641" s="743"/>
      <c r="K641" s="743"/>
      <c r="L641" s="743"/>
      <c r="M641" s="743"/>
      <c r="N641" s="743"/>
      <c r="O641" s="743"/>
      <c r="P641" s="743"/>
      <c r="Q641" s="743"/>
      <c r="R641" s="743"/>
      <c r="S641" s="743"/>
      <c r="T641" s="743"/>
      <c r="U641" s="790"/>
      <c r="V641" s="141"/>
    </row>
    <row r="642" spans="1:22" s="423" customFormat="1" outlineLevel="1" x14ac:dyDescent="0.25">
      <c r="A642" s="743"/>
      <c r="B642" s="743"/>
      <c r="C642" s="709" t="s">
        <v>960</v>
      </c>
      <c r="D642" s="792" t="s">
        <v>964</v>
      </c>
      <c r="E642" s="743"/>
      <c r="F642" s="743"/>
      <c r="G642" s="743"/>
      <c r="H642" s="743"/>
      <c r="I642" s="743" t="s">
        <v>973</v>
      </c>
      <c r="J642" s="743"/>
      <c r="K642" s="743"/>
      <c r="L642" s="743"/>
      <c r="M642" s="743"/>
      <c r="N642" s="743"/>
      <c r="O642" s="743"/>
      <c r="P642" s="743"/>
      <c r="Q642" s="743"/>
      <c r="R642" s="743"/>
      <c r="S642" s="743"/>
      <c r="T642" s="743"/>
      <c r="U642" s="790"/>
      <c r="V642" s="141"/>
    </row>
    <row r="643" spans="1:22" s="423" customFormat="1" outlineLevel="1" x14ac:dyDescent="0.25">
      <c r="A643" s="743"/>
      <c r="B643" s="743"/>
      <c r="C643" s="791" t="s">
        <v>939</v>
      </c>
      <c r="D643" s="792" t="s">
        <v>940</v>
      </c>
      <c r="E643" s="743"/>
      <c r="F643" s="743"/>
      <c r="G643" s="743"/>
      <c r="H643" s="743"/>
      <c r="I643" s="743">
        <f>1-D451</f>
        <v>1</v>
      </c>
      <c r="J643" s="743"/>
      <c r="K643" s="743"/>
      <c r="L643" s="743"/>
      <c r="M643" s="743"/>
      <c r="N643" s="743"/>
      <c r="O643" s="743"/>
      <c r="P643" s="743"/>
      <c r="Q643" s="743"/>
      <c r="R643" s="743"/>
      <c r="S643" s="743"/>
      <c r="T643" s="743"/>
      <c r="U643" s="790"/>
      <c r="V643" s="141"/>
    </row>
    <row r="644" spans="1:22" s="423" customFormat="1" outlineLevel="1" x14ac:dyDescent="0.25">
      <c r="A644" s="743"/>
      <c r="B644" s="743"/>
      <c r="C644" s="791" t="s">
        <v>941</v>
      </c>
      <c r="D644" s="792" t="s">
        <v>942</v>
      </c>
      <c r="E644" s="743"/>
      <c r="F644" s="743"/>
      <c r="G644" s="743"/>
      <c r="H644" s="743"/>
      <c r="I644" s="743" t="s">
        <v>974</v>
      </c>
      <c r="J644" s="743"/>
      <c r="K644" s="743"/>
      <c r="L644" s="743"/>
      <c r="M644" s="743"/>
      <c r="N644" s="743"/>
      <c r="O644" s="743"/>
      <c r="P644" s="743"/>
      <c r="Q644" s="743"/>
      <c r="R644" s="743"/>
      <c r="S644" s="743"/>
      <c r="T644" s="743"/>
      <c r="U644" s="790"/>
      <c r="V644" s="141"/>
    </row>
    <row r="645" spans="1:22" s="423" customFormat="1" outlineLevel="1" x14ac:dyDescent="0.25">
      <c r="A645" s="743"/>
      <c r="B645" s="743"/>
      <c r="C645" s="791"/>
      <c r="D645" s="795"/>
      <c r="E645" s="743"/>
      <c r="F645" s="743"/>
      <c r="G645" s="743"/>
      <c r="H645" s="743"/>
      <c r="I645" s="743" t="s">
        <v>975</v>
      </c>
      <c r="J645" s="743"/>
      <c r="K645" s="743"/>
      <c r="L645" s="743"/>
      <c r="M645" s="743"/>
      <c r="N645" s="743"/>
      <c r="O645" s="743"/>
      <c r="P645" s="743"/>
      <c r="Q645" s="743"/>
      <c r="R645" s="743"/>
      <c r="S645" s="743"/>
      <c r="T645" s="743"/>
      <c r="U645" s="790"/>
      <c r="V645" s="141"/>
    </row>
    <row r="646" spans="1:22" s="423" customFormat="1" outlineLevel="1" x14ac:dyDescent="0.25">
      <c r="A646" s="743"/>
      <c r="B646" s="743"/>
      <c r="C646" s="791"/>
      <c r="D646" s="795"/>
      <c r="E646" s="743"/>
      <c r="F646" s="743"/>
      <c r="G646" s="743"/>
      <c r="H646" s="743"/>
      <c r="I646" s="743"/>
      <c r="J646" s="743"/>
      <c r="K646" s="743"/>
      <c r="L646" s="743"/>
      <c r="M646" s="743"/>
      <c r="N646" s="743"/>
      <c r="O646" s="743"/>
      <c r="P646" s="743"/>
      <c r="Q646" s="743"/>
      <c r="R646" s="743" t="s">
        <v>984</v>
      </c>
      <c r="S646" s="743"/>
      <c r="T646" s="743"/>
      <c r="U646" s="790"/>
      <c r="V646" s="141"/>
    </row>
    <row r="647" spans="1:22" s="423" customFormat="1" outlineLevel="1" x14ac:dyDescent="0.25">
      <c r="A647" s="743"/>
      <c r="B647" s="743"/>
      <c r="C647" s="791"/>
      <c r="D647" s="793" t="s">
        <v>943</v>
      </c>
      <c r="E647" s="743" t="s">
        <v>129</v>
      </c>
      <c r="F647" s="793" t="s">
        <v>946</v>
      </c>
      <c r="G647" s="743" t="s">
        <v>939</v>
      </c>
      <c r="H647" s="743" t="s">
        <v>949</v>
      </c>
      <c r="I647" s="743" t="s">
        <v>958</v>
      </c>
      <c r="J647" s="743" t="s">
        <v>950</v>
      </c>
      <c r="K647" s="743" t="s">
        <v>959</v>
      </c>
      <c r="L647" s="743" t="s">
        <v>957</v>
      </c>
      <c r="M647" s="743" t="s">
        <v>967</v>
      </c>
      <c r="N647" s="743" t="s">
        <v>966</v>
      </c>
      <c r="O647" s="743" t="s">
        <v>970</v>
      </c>
      <c r="P647" s="743" t="s">
        <v>961</v>
      </c>
      <c r="Q647" s="646" t="s">
        <v>937</v>
      </c>
      <c r="R647" s="743" t="s">
        <v>976</v>
      </c>
      <c r="S647" s="743" t="s">
        <v>977</v>
      </c>
      <c r="T647" s="743"/>
      <c r="U647" s="790"/>
      <c r="V647" s="141"/>
    </row>
    <row r="648" spans="1:22" s="423" customFormat="1" outlineLevel="1" x14ac:dyDescent="0.25">
      <c r="A648" s="743"/>
      <c r="B648" s="743" t="s">
        <v>262</v>
      </c>
      <c r="C648" s="794" t="s">
        <v>114</v>
      </c>
      <c r="D648" s="795">
        <f t="shared" ref="D648:D659" ca="1" si="161">Z259</f>
        <v>24.2</v>
      </c>
      <c r="E648" s="795">
        <f t="shared" ref="E648:E659" ca="1" si="162">AG5</f>
        <v>-4.6449528936742839</v>
      </c>
      <c r="F648" s="743">
        <f>1-MIN($F$621,$F$623)</f>
        <v>0</v>
      </c>
      <c r="G648" s="796">
        <f ca="1">F648*D648+(1-F648)*E648</f>
        <v>-4.6449528936742839</v>
      </c>
      <c r="H648" s="743">
        <v>0.4</v>
      </c>
      <c r="I648" s="796">
        <f t="shared" ref="I648:I659" si="163">IF($I$621=1,$D$411,G648+H648)</f>
        <v>17.2</v>
      </c>
      <c r="J648" s="797">
        <f>$D$291</f>
        <v>0.26785714285714285</v>
      </c>
      <c r="K648" s="798">
        <f t="shared" ref="K648:K659" ca="1" si="164">1.205*1.008*H424/3600</f>
        <v>777.20452497583403</v>
      </c>
      <c r="L648" s="743">
        <f t="shared" ref="L648:L659" si="165">O5</f>
        <v>2.6783999999999999</v>
      </c>
      <c r="M648" s="796">
        <f ca="1">K648*((I648-H648)-G648)*J648*L648</f>
        <v>11957.464093096736</v>
      </c>
      <c r="N648" s="799">
        <f ca="1">Calcs!L371</f>
        <v>19993.062678800605</v>
      </c>
      <c r="O648" s="798">
        <f ca="1">M648+N648</f>
        <v>31950.526771897341</v>
      </c>
      <c r="P648" s="796">
        <f ca="1">O648/(O648+O626)</f>
        <v>0.16552660566898814</v>
      </c>
      <c r="Q648" s="796">
        <f t="shared" ref="Q648:Q659" ca="1" si="166">M648*P648</f>
        <v>1979.2784437391083</v>
      </c>
      <c r="R648" s="743">
        <v>1</v>
      </c>
      <c r="S648" s="743">
        <f t="shared" ref="S648:S659" si="167">MIN(0.2+0.71*I648,R648)</f>
        <v>1</v>
      </c>
      <c r="T648" s="743"/>
      <c r="U648" s="790"/>
      <c r="V648" s="141"/>
    </row>
    <row r="649" spans="1:22" s="423" customFormat="1" outlineLevel="1" x14ac:dyDescent="0.25">
      <c r="A649" s="743"/>
      <c r="B649" s="743"/>
      <c r="C649" s="794" t="s">
        <v>115</v>
      </c>
      <c r="D649" s="795">
        <f t="shared" ca="1" si="161"/>
        <v>24.2</v>
      </c>
      <c r="E649" s="795">
        <f t="shared" ca="1" si="162"/>
        <v>-2.5291666666666686</v>
      </c>
      <c r="F649" s="743">
        <f t="shared" ref="F649:F659" si="168">1-MIN($F$621,$F$623)</f>
        <v>0</v>
      </c>
      <c r="G649" s="796">
        <f t="shared" ref="G649:G659" ca="1" si="169">F649*D649+(1-F649)*E649</f>
        <v>-2.5291666666666686</v>
      </c>
      <c r="H649" s="743">
        <v>0.4</v>
      </c>
      <c r="I649" s="796">
        <f t="shared" si="163"/>
        <v>17.2</v>
      </c>
      <c r="J649" s="797">
        <f t="shared" ref="J649:J659" si="170">$D$291</f>
        <v>0.26785714285714285</v>
      </c>
      <c r="K649" s="798">
        <f t="shared" ca="1" si="164"/>
        <v>1039.5549865002718</v>
      </c>
      <c r="L649" s="743">
        <f t="shared" si="165"/>
        <v>2.4192</v>
      </c>
      <c r="M649" s="796">
        <f t="shared" ref="M649:M659" ca="1" si="171">K649*((I649-H649)-G649)*J649*L649</f>
        <v>13020.738072411854</v>
      </c>
      <c r="N649" s="799">
        <f ca="1">Calcs!L372</f>
        <v>26741.851514317794</v>
      </c>
      <c r="O649" s="798">
        <f t="shared" ref="O649:O659" ca="1" si="172">M649+N649</f>
        <v>39762.589586729649</v>
      </c>
      <c r="P649" s="796">
        <f t="shared" ref="P649:P659" ca="1" si="173">O649/(O649+O627)</f>
        <v>0.2890886993427686</v>
      </c>
      <c r="Q649" s="796">
        <f t="shared" ca="1" si="166"/>
        <v>3764.1482338364108</v>
      </c>
      <c r="R649" s="743">
        <v>1</v>
      </c>
      <c r="S649" s="743">
        <f t="shared" si="167"/>
        <v>1</v>
      </c>
      <c r="T649" s="743"/>
      <c r="U649" s="790"/>
      <c r="V649" s="141"/>
    </row>
    <row r="650" spans="1:22" s="423" customFormat="1" outlineLevel="1" x14ac:dyDescent="0.25">
      <c r="A650" s="743"/>
      <c r="B650" s="743"/>
      <c r="C650" s="794" t="s">
        <v>116</v>
      </c>
      <c r="D650" s="795">
        <f t="shared" ca="1" si="161"/>
        <v>24.2</v>
      </c>
      <c r="E650" s="795">
        <f t="shared" ca="1" si="162"/>
        <v>3.8249999999999953</v>
      </c>
      <c r="F650" s="743">
        <f t="shared" si="168"/>
        <v>0</v>
      </c>
      <c r="G650" s="796">
        <f t="shared" ca="1" si="169"/>
        <v>3.8249999999999953</v>
      </c>
      <c r="H650" s="743">
        <v>0.4</v>
      </c>
      <c r="I650" s="796">
        <f t="shared" si="163"/>
        <v>17.2</v>
      </c>
      <c r="J650" s="797">
        <f t="shared" si="170"/>
        <v>0.26785714285714285</v>
      </c>
      <c r="K650" s="798">
        <f t="shared" ca="1" si="164"/>
        <v>2556.876706215402</v>
      </c>
      <c r="L650" s="743">
        <f t="shared" si="165"/>
        <v>2.6783999999999999</v>
      </c>
      <c r="M650" s="796">
        <f t="shared" ca="1" si="171"/>
        <v>23801.033824501923</v>
      </c>
      <c r="N650" s="799">
        <f ca="1">Calcs!L373</f>
        <v>65773.930293212412</v>
      </c>
      <c r="O650" s="798">
        <f t="shared" ca="1" si="172"/>
        <v>89574.964117714335</v>
      </c>
      <c r="P650" s="796">
        <f t="shared" ca="1" si="173"/>
        <v>0.72191660647709155</v>
      </c>
      <c r="Q650" s="796">
        <f t="shared" ca="1" si="166"/>
        <v>17182.361569230899</v>
      </c>
      <c r="R650" s="743">
        <v>1</v>
      </c>
      <c r="S650" s="743">
        <f t="shared" si="167"/>
        <v>1</v>
      </c>
      <c r="T650" s="743"/>
      <c r="U650" s="790"/>
      <c r="V650" s="141"/>
    </row>
    <row r="651" spans="1:22" s="423" customFormat="1" outlineLevel="1" x14ac:dyDescent="0.25">
      <c r="A651" s="743"/>
      <c r="B651" s="743"/>
      <c r="C651" s="794" t="s">
        <v>117</v>
      </c>
      <c r="D651" s="795">
        <f t="shared" ca="1" si="161"/>
        <v>24.2</v>
      </c>
      <c r="E651" s="795">
        <f t="shared" ca="1" si="162"/>
        <v>9.9386111111111219</v>
      </c>
      <c r="F651" s="743">
        <f t="shared" si="168"/>
        <v>0</v>
      </c>
      <c r="G651" s="796">
        <f t="shared" ca="1" si="169"/>
        <v>9.9386111111111219</v>
      </c>
      <c r="H651" s="743">
        <v>0.4</v>
      </c>
      <c r="I651" s="796">
        <f t="shared" si="163"/>
        <v>17.2</v>
      </c>
      <c r="J651" s="797">
        <f t="shared" si="170"/>
        <v>0.26785714285714285</v>
      </c>
      <c r="K651" s="798">
        <f t="shared" ca="1" si="164"/>
        <v>5266.1915935745492</v>
      </c>
      <c r="L651" s="743">
        <f t="shared" si="165"/>
        <v>2.5920000000000001</v>
      </c>
      <c r="M651" s="796">
        <f t="shared" ca="1" si="171"/>
        <v>25086.895435199203</v>
      </c>
      <c r="N651" s="799">
        <f ca="1">Calcs!L374</f>
        <v>135469.23007451938</v>
      </c>
      <c r="O651" s="798">
        <f t="shared" ca="1" si="172"/>
        <v>160556.12550971858</v>
      </c>
      <c r="P651" s="796">
        <f t="shared" ca="1" si="173"/>
        <v>0.96995348263027925</v>
      </c>
      <c r="Q651" s="796">
        <f t="shared" ca="1" si="166"/>
        <v>24333.121595753124</v>
      </c>
      <c r="R651" s="743">
        <v>1</v>
      </c>
      <c r="S651" s="743">
        <f t="shared" si="167"/>
        <v>1</v>
      </c>
      <c r="T651" s="743"/>
      <c r="U651" s="790"/>
      <c r="V651" s="141"/>
    </row>
    <row r="652" spans="1:22" s="423" customFormat="1" outlineLevel="1" x14ac:dyDescent="0.25">
      <c r="A652" s="743"/>
      <c r="B652" s="743"/>
      <c r="C652" s="794" t="s">
        <v>118</v>
      </c>
      <c r="D652" s="795">
        <f t="shared" ca="1" si="161"/>
        <v>24.484215142517382</v>
      </c>
      <c r="E652" s="795">
        <f t="shared" ca="1" si="162"/>
        <v>15.297177419354838</v>
      </c>
      <c r="F652" s="743">
        <f t="shared" si="168"/>
        <v>0</v>
      </c>
      <c r="G652" s="796">
        <f t="shared" ca="1" si="169"/>
        <v>15.297177419354838</v>
      </c>
      <c r="H652" s="743">
        <v>0.4</v>
      </c>
      <c r="I652" s="796">
        <f t="shared" si="163"/>
        <v>17.2</v>
      </c>
      <c r="J652" s="797">
        <f t="shared" si="170"/>
        <v>0.26785714285714285</v>
      </c>
      <c r="K652" s="798">
        <f t="shared" ca="1" si="164"/>
        <v>9123.6306865005245</v>
      </c>
      <c r="L652" s="743">
        <f t="shared" si="165"/>
        <v>2.6783999999999999</v>
      </c>
      <c r="M652" s="796">
        <f t="shared" ca="1" si="171"/>
        <v>9836.8053466270903</v>
      </c>
      <c r="N652" s="799">
        <f ca="1">Calcs!L375</f>
        <v>244228.54868128465</v>
      </c>
      <c r="O652" s="798">
        <f t="shared" ca="1" si="172"/>
        <v>254065.35402791173</v>
      </c>
      <c r="P652" s="796">
        <f t="shared" ca="1" si="173"/>
        <v>0.99968545003997022</v>
      </c>
      <c r="Q652" s="796">
        <f t="shared" ca="1" si="166"/>
        <v>9833.7111798984879</v>
      </c>
      <c r="R652" s="743">
        <v>1</v>
      </c>
      <c r="S652" s="743">
        <f t="shared" si="167"/>
        <v>1</v>
      </c>
      <c r="T652" s="743"/>
      <c r="U652" s="790"/>
      <c r="V652" s="141"/>
    </row>
    <row r="653" spans="1:22" s="423" customFormat="1" outlineLevel="1" x14ac:dyDescent="0.25">
      <c r="A653" s="743"/>
      <c r="B653" s="743"/>
      <c r="C653" s="794" t="s">
        <v>119</v>
      </c>
      <c r="D653" s="795">
        <f t="shared" ca="1" si="161"/>
        <v>25.036961777186072</v>
      </c>
      <c r="E653" s="795">
        <f t="shared" ca="1" si="162"/>
        <v>21.110000000000003</v>
      </c>
      <c r="F653" s="743">
        <f t="shared" si="168"/>
        <v>0</v>
      </c>
      <c r="G653" s="796">
        <f t="shared" ca="1" si="169"/>
        <v>21.110000000000003</v>
      </c>
      <c r="H653" s="743">
        <v>0.4</v>
      </c>
      <c r="I653" s="796">
        <f t="shared" si="163"/>
        <v>17.2</v>
      </c>
      <c r="J653" s="797">
        <f t="shared" si="170"/>
        <v>0.26785714285714285</v>
      </c>
      <c r="K653" s="798">
        <f t="shared" ca="1" si="164"/>
        <v>10966.937263485535</v>
      </c>
      <c r="L653" s="743">
        <f t="shared" si="165"/>
        <v>2.5920000000000001</v>
      </c>
      <c r="M653" s="796">
        <f t="shared" ca="1" si="171"/>
        <v>-32817.149726189462</v>
      </c>
      <c r="N653" s="799">
        <f ca="1">Calcs!L376</f>
        <v>315848.67165808054</v>
      </c>
      <c r="O653" s="798">
        <f t="shared" ca="1" si="172"/>
        <v>283031.5219318911</v>
      </c>
      <c r="P653" s="796">
        <f t="shared" ca="1" si="173"/>
        <v>1</v>
      </c>
      <c r="Q653" s="796">
        <f t="shared" ca="1" si="166"/>
        <v>-32817.149726189462</v>
      </c>
      <c r="R653" s="743">
        <v>1</v>
      </c>
      <c r="S653" s="743">
        <f t="shared" si="167"/>
        <v>1</v>
      </c>
      <c r="T653" s="743"/>
      <c r="U653" s="790"/>
      <c r="V653" s="141"/>
    </row>
    <row r="654" spans="1:22" s="423" customFormat="1" outlineLevel="1" x14ac:dyDescent="0.25">
      <c r="A654" s="743"/>
      <c r="B654" s="743"/>
      <c r="C654" s="794" t="s">
        <v>120</v>
      </c>
      <c r="D654" s="795">
        <f t="shared" ca="1" si="161"/>
        <v>25.20443663712183</v>
      </c>
      <c r="E654" s="795">
        <f t="shared" ca="1" si="162"/>
        <v>24.129569892473107</v>
      </c>
      <c r="F654" s="743">
        <f t="shared" si="168"/>
        <v>0</v>
      </c>
      <c r="G654" s="796">
        <f t="shared" ca="1" si="169"/>
        <v>24.129569892473107</v>
      </c>
      <c r="H654" s="743">
        <v>0.4</v>
      </c>
      <c r="I654" s="796">
        <f t="shared" si="163"/>
        <v>17.2</v>
      </c>
      <c r="J654" s="797">
        <f t="shared" si="170"/>
        <v>0.26785714285714285</v>
      </c>
      <c r="K654" s="798">
        <f t="shared" ca="1" si="164"/>
        <v>12746.942417603232</v>
      </c>
      <c r="L654" s="743">
        <f t="shared" si="165"/>
        <v>2.6783999999999999</v>
      </c>
      <c r="M654" s="796">
        <f t="shared" ca="1" si="171"/>
        <v>-67029.068306256901</v>
      </c>
      <c r="N654" s="799">
        <f ca="1">Calcs!L377</f>
        <v>374958.11922631238</v>
      </c>
      <c r="O654" s="798">
        <f t="shared" ca="1" si="172"/>
        <v>307929.05092005548</v>
      </c>
      <c r="P654" s="796">
        <f t="shared" ca="1" si="173"/>
        <v>1</v>
      </c>
      <c r="Q654" s="796">
        <f t="shared" ca="1" si="166"/>
        <v>-67029.068306256901</v>
      </c>
      <c r="R654" s="743">
        <v>1</v>
      </c>
      <c r="S654" s="743">
        <f t="shared" si="167"/>
        <v>1</v>
      </c>
      <c r="T654" s="743"/>
      <c r="U654" s="790"/>
      <c r="V654" s="141"/>
    </row>
    <row r="655" spans="1:22" s="423" customFormat="1" outlineLevel="1" x14ac:dyDescent="0.25">
      <c r="A655" s="743"/>
      <c r="B655" s="743"/>
      <c r="C655" s="794" t="s">
        <v>121</v>
      </c>
      <c r="D655" s="795">
        <f t="shared" ca="1" si="161"/>
        <v>25.040964314591935</v>
      </c>
      <c r="E655" s="795">
        <f t="shared" ca="1" si="162"/>
        <v>21.780376344086033</v>
      </c>
      <c r="F655" s="743">
        <f t="shared" si="168"/>
        <v>0</v>
      </c>
      <c r="G655" s="796">
        <f t="shared" ca="1" si="169"/>
        <v>21.780376344086033</v>
      </c>
      <c r="H655" s="743">
        <v>0.4</v>
      </c>
      <c r="I655" s="796">
        <f t="shared" si="163"/>
        <v>17.2</v>
      </c>
      <c r="J655" s="797">
        <f t="shared" si="170"/>
        <v>0.26785714285714285</v>
      </c>
      <c r="K655" s="798">
        <f t="shared" ca="1" si="164"/>
        <v>11348.741670759933</v>
      </c>
      <c r="L655" s="743">
        <f t="shared" si="165"/>
        <v>2.6783999999999999</v>
      </c>
      <c r="M655" s="796">
        <f t="shared" ca="1" si="171"/>
        <v>-40549.783551589877</v>
      </c>
      <c r="N655" s="799">
        <f ca="1">Calcs!L378</f>
        <v>327011.59712719626</v>
      </c>
      <c r="O655" s="798">
        <f t="shared" ca="1" si="172"/>
        <v>286461.81357560639</v>
      </c>
      <c r="P655" s="796">
        <f t="shared" ca="1" si="173"/>
        <v>1</v>
      </c>
      <c r="Q655" s="796">
        <f t="shared" ca="1" si="166"/>
        <v>-40549.783551589877</v>
      </c>
      <c r="R655" s="743">
        <v>1</v>
      </c>
      <c r="S655" s="743">
        <f t="shared" si="167"/>
        <v>1</v>
      </c>
      <c r="T655" s="743"/>
      <c r="U655" s="790"/>
      <c r="V655" s="141"/>
    </row>
    <row r="656" spans="1:22" s="423" customFormat="1" outlineLevel="1" x14ac:dyDescent="0.25">
      <c r="A656" s="743"/>
      <c r="B656" s="743"/>
      <c r="C656" s="794" t="s">
        <v>122</v>
      </c>
      <c r="D656" s="795">
        <f t="shared" ca="1" si="161"/>
        <v>24.702151528778003</v>
      </c>
      <c r="E656" s="795">
        <f t="shared" ca="1" si="162"/>
        <v>18.14208333333336</v>
      </c>
      <c r="F656" s="743">
        <f t="shared" si="168"/>
        <v>0</v>
      </c>
      <c r="G656" s="796">
        <f t="shared" ca="1" si="169"/>
        <v>18.14208333333336</v>
      </c>
      <c r="H656" s="743">
        <v>0.4</v>
      </c>
      <c r="I656" s="796">
        <f t="shared" si="163"/>
        <v>17.2</v>
      </c>
      <c r="J656" s="797">
        <f t="shared" si="170"/>
        <v>0.26785714285714285</v>
      </c>
      <c r="K656" s="798">
        <f t="shared" ca="1" si="164"/>
        <v>9345.3238228836763</v>
      </c>
      <c r="L656" s="743">
        <f t="shared" si="165"/>
        <v>2.5920000000000001</v>
      </c>
      <c r="M656" s="796">
        <f t="shared" ca="1" si="171"/>
        <v>-8707.8726096936498</v>
      </c>
      <c r="N656" s="799">
        <f ca="1">Calcs!L379</f>
        <v>257647.63093070654</v>
      </c>
      <c r="O656" s="798">
        <f t="shared" ca="1" si="172"/>
        <v>248939.75832101289</v>
      </c>
      <c r="P656" s="796">
        <f t="shared" ca="1" si="173"/>
        <v>0.99999462165018893</v>
      </c>
      <c r="Q656" s="796">
        <f t="shared" ca="1" si="166"/>
        <v>-8707.8257757086449</v>
      </c>
      <c r="R656" s="743">
        <v>1</v>
      </c>
      <c r="S656" s="743">
        <f t="shared" si="167"/>
        <v>1</v>
      </c>
      <c r="T656" s="743"/>
      <c r="U656" s="790"/>
      <c r="V656" s="141"/>
    </row>
    <row r="657" spans="1:28" s="423" customFormat="1" outlineLevel="1" x14ac:dyDescent="0.25">
      <c r="A657" s="743"/>
      <c r="B657" s="743"/>
      <c r="C657" s="794" t="s">
        <v>123</v>
      </c>
      <c r="D657" s="795">
        <f t="shared" ca="1" si="161"/>
        <v>24.2</v>
      </c>
      <c r="E657" s="795">
        <f t="shared" ca="1" si="162"/>
        <v>10.98319892473118</v>
      </c>
      <c r="F657" s="743">
        <f t="shared" si="168"/>
        <v>0</v>
      </c>
      <c r="G657" s="796">
        <f t="shared" ca="1" si="169"/>
        <v>10.98319892473118</v>
      </c>
      <c r="H657" s="743">
        <v>0.4</v>
      </c>
      <c r="I657" s="796">
        <f t="shared" si="163"/>
        <v>17.2</v>
      </c>
      <c r="J657" s="797">
        <f t="shared" si="170"/>
        <v>0.26785714285714285</v>
      </c>
      <c r="K657" s="798">
        <f t="shared" ca="1" si="164"/>
        <v>5487.8472529350138</v>
      </c>
      <c r="L657" s="743">
        <f t="shared" si="165"/>
        <v>2.6783999999999999</v>
      </c>
      <c r="M657" s="796">
        <f t="shared" ca="1" si="171"/>
        <v>22901.550965222341</v>
      </c>
      <c r="N657" s="799">
        <f ca="1">Calcs!L380</f>
        <v>141171.17254692383</v>
      </c>
      <c r="O657" s="798">
        <f t="shared" ca="1" si="172"/>
        <v>164072.72351214616</v>
      </c>
      <c r="P657" s="796">
        <f t="shared" ca="1" si="173"/>
        <v>0.97883488145773556</v>
      </c>
      <c r="Q657" s="796">
        <f t="shared" ca="1" si="166"/>
        <v>22416.836924241699</v>
      </c>
      <c r="R657" s="743">
        <v>1</v>
      </c>
      <c r="S657" s="743">
        <f t="shared" si="167"/>
        <v>1</v>
      </c>
      <c r="T657" s="743"/>
      <c r="U657" s="790"/>
      <c r="V657" s="141"/>
    </row>
    <row r="658" spans="1:28" s="423" customFormat="1" outlineLevel="1" x14ac:dyDescent="0.25">
      <c r="A658" s="743"/>
      <c r="B658" s="743"/>
      <c r="C658" s="794" t="s">
        <v>124</v>
      </c>
      <c r="D658" s="795">
        <f t="shared" ca="1" si="161"/>
        <v>24.2</v>
      </c>
      <c r="E658" s="795">
        <f t="shared" ca="1" si="162"/>
        <v>4.7393055555555428</v>
      </c>
      <c r="F658" s="743">
        <f t="shared" si="168"/>
        <v>0</v>
      </c>
      <c r="G658" s="796">
        <f t="shared" ca="1" si="169"/>
        <v>4.7393055555555428</v>
      </c>
      <c r="H658" s="743">
        <v>0.4</v>
      </c>
      <c r="I658" s="796">
        <f t="shared" si="163"/>
        <v>17.2</v>
      </c>
      <c r="J658" s="797">
        <f t="shared" si="170"/>
        <v>0.26785714285714285</v>
      </c>
      <c r="K658" s="798">
        <f t="shared" ca="1" si="164"/>
        <v>2081.3582560384207</v>
      </c>
      <c r="L658" s="743">
        <f t="shared" si="165"/>
        <v>2.5920000000000001</v>
      </c>
      <c r="M658" s="796">
        <f t="shared" ca="1" si="171"/>
        <v>17428.394591962253</v>
      </c>
      <c r="N658" s="799">
        <f ca="1">Calcs!L381</f>
        <v>53541.53859475939</v>
      </c>
      <c r="O658" s="798">
        <f t="shared" ca="1" si="172"/>
        <v>70969.933186721639</v>
      </c>
      <c r="P658" s="796">
        <f t="shared" ca="1" si="173"/>
        <v>0.69626442305524128</v>
      </c>
      <c r="Q658" s="796">
        <f t="shared" ca="1" si="166"/>
        <v>12134.771105351685</v>
      </c>
      <c r="R658" s="743">
        <v>1</v>
      </c>
      <c r="S658" s="743">
        <f t="shared" si="167"/>
        <v>1</v>
      </c>
      <c r="T658" s="743"/>
      <c r="U658" s="790"/>
      <c r="V658" s="141"/>
    </row>
    <row r="659" spans="1:28" s="423" customFormat="1" outlineLevel="1" x14ac:dyDescent="0.25">
      <c r="A659" s="743"/>
      <c r="B659" s="743"/>
      <c r="C659" s="794" t="s">
        <v>125</v>
      </c>
      <c r="D659" s="795">
        <f t="shared" ca="1" si="161"/>
        <v>24.2</v>
      </c>
      <c r="E659" s="795">
        <f t="shared" ca="1" si="162"/>
        <v>-3.6770469798657768</v>
      </c>
      <c r="F659" s="743">
        <f t="shared" si="168"/>
        <v>0</v>
      </c>
      <c r="G659" s="796">
        <f t="shared" ca="1" si="169"/>
        <v>-3.6770469798657768</v>
      </c>
      <c r="H659" s="743">
        <v>0.4</v>
      </c>
      <c r="I659" s="796">
        <f t="shared" si="163"/>
        <v>17.2</v>
      </c>
      <c r="J659" s="797">
        <f t="shared" si="170"/>
        <v>0.26785714285714285</v>
      </c>
      <c r="K659" s="798">
        <f t="shared" ca="1" si="164"/>
        <v>875.54462216833463</v>
      </c>
      <c r="L659" s="743">
        <f t="shared" si="165"/>
        <v>2.6783999999999999</v>
      </c>
      <c r="M659" s="796">
        <f t="shared" ca="1" si="171"/>
        <v>12862.467187070501</v>
      </c>
      <c r="N659" s="799">
        <f ca="1">Calcs!L382</f>
        <v>22522.795411725878</v>
      </c>
      <c r="O659" s="798">
        <f t="shared" ca="1" si="172"/>
        <v>35385.262598796377</v>
      </c>
      <c r="P659" s="796">
        <f t="shared" ca="1" si="173"/>
        <v>0.20833329797137037</v>
      </c>
      <c r="Q659" s="796">
        <f t="shared" ca="1" si="166"/>
        <v>2679.6802091309328</v>
      </c>
      <c r="R659" s="743">
        <v>1</v>
      </c>
      <c r="S659" s="743">
        <f t="shared" si="167"/>
        <v>1</v>
      </c>
      <c r="T659" s="743"/>
      <c r="U659" s="790"/>
      <c r="V659" s="141"/>
    </row>
    <row r="660" spans="1:28" s="423" customFormat="1" outlineLevel="1" x14ac:dyDescent="0.25">
      <c r="A660" s="743"/>
      <c r="B660" s="743"/>
      <c r="C660" s="791"/>
      <c r="D660" s="743"/>
      <c r="E660" s="743"/>
      <c r="F660" s="743"/>
      <c r="G660" s="743"/>
      <c r="H660" s="743"/>
      <c r="I660" s="743"/>
      <c r="J660" s="743"/>
      <c r="K660" s="743"/>
      <c r="L660" s="743"/>
      <c r="M660" s="743"/>
      <c r="N660" s="743"/>
      <c r="O660" s="743"/>
      <c r="P660" s="743"/>
      <c r="Q660" s="743"/>
      <c r="R660" s="743"/>
      <c r="S660" s="743"/>
      <c r="T660" s="743"/>
      <c r="U660" s="790"/>
      <c r="V660" s="141"/>
    </row>
    <row r="661" spans="1:28" s="423" customFormat="1" outlineLevel="1" x14ac:dyDescent="0.25">
      <c r="A661" s="743"/>
      <c r="B661" s="743"/>
      <c r="C661" s="791"/>
      <c r="D661" s="743"/>
      <c r="E661" s="743"/>
      <c r="F661" s="743"/>
      <c r="G661" s="743"/>
      <c r="H661" s="743"/>
      <c r="I661" s="743"/>
      <c r="J661" s="743"/>
      <c r="K661" s="743"/>
      <c r="L661" s="743"/>
      <c r="M661" s="743"/>
      <c r="N661" s="743"/>
      <c r="O661" s="743"/>
      <c r="P661" s="743"/>
      <c r="Q661" s="743"/>
      <c r="R661" s="743"/>
      <c r="S661" s="743"/>
      <c r="T661" s="743"/>
      <c r="U661" s="790"/>
      <c r="V661" s="141"/>
    </row>
    <row r="662" spans="1:28" s="423" customFormat="1" outlineLevel="1" x14ac:dyDescent="0.25">
      <c r="A662" s="743"/>
      <c r="B662" s="743"/>
      <c r="C662" s="791"/>
      <c r="D662" s="743"/>
      <c r="E662" s="743"/>
      <c r="F662" s="743"/>
      <c r="G662" s="743"/>
      <c r="H662" s="743"/>
      <c r="I662" s="743"/>
      <c r="J662" s="743"/>
      <c r="K662" s="743"/>
      <c r="L662" s="743"/>
      <c r="M662" s="743"/>
      <c r="N662" s="743"/>
      <c r="O662" s="743"/>
      <c r="P662" s="743"/>
      <c r="Q662" s="743"/>
      <c r="R662" s="743"/>
      <c r="S662" s="743"/>
      <c r="T662" s="743"/>
      <c r="U662" s="790"/>
      <c r="V662" s="141"/>
    </row>
    <row r="663" spans="1:28" s="423" customFormat="1" outlineLevel="1" x14ac:dyDescent="0.25">
      <c r="A663" s="743"/>
      <c r="B663" s="743"/>
      <c r="C663" s="791"/>
      <c r="D663" s="743"/>
      <c r="E663" s="743"/>
      <c r="F663" s="743"/>
      <c r="G663" s="743"/>
      <c r="H663" s="743"/>
      <c r="I663" s="743"/>
      <c r="J663" s="743"/>
      <c r="K663" s="743"/>
      <c r="L663" s="743"/>
      <c r="M663" s="743"/>
      <c r="N663" s="743"/>
      <c r="O663" s="743"/>
      <c r="P663" s="743"/>
      <c r="Q663" s="743"/>
      <c r="R663" s="743"/>
      <c r="S663" s="743"/>
      <c r="T663" s="743"/>
      <c r="U663" s="790"/>
      <c r="V663" s="141"/>
    </row>
    <row r="664" spans="1:28" s="423" customFormat="1" outlineLevel="1" x14ac:dyDescent="0.25">
      <c r="A664" s="743"/>
      <c r="B664" s="743"/>
      <c r="C664" s="791"/>
      <c r="D664" s="743"/>
      <c r="E664" s="743"/>
      <c r="F664" s="743"/>
      <c r="G664" s="743"/>
      <c r="H664" s="743"/>
      <c r="I664" s="743"/>
      <c r="J664" s="743"/>
      <c r="K664" s="743"/>
      <c r="L664" s="743"/>
      <c r="M664" s="743"/>
      <c r="N664" s="743"/>
      <c r="O664" s="743"/>
      <c r="P664" s="743"/>
      <c r="Q664" s="743"/>
      <c r="R664" s="743"/>
      <c r="S664" s="743"/>
      <c r="T664" s="743"/>
      <c r="U664" s="790"/>
      <c r="V664" s="141"/>
    </row>
    <row r="665" spans="1:28" s="423" customFormat="1" outlineLevel="1" x14ac:dyDescent="0.25">
      <c r="C665" s="11"/>
      <c r="U665" s="141"/>
      <c r="V665" s="141"/>
    </row>
    <row r="666" spans="1:28" s="39" customFormat="1" ht="13.5" thickBot="1" x14ac:dyDescent="0.3">
      <c r="D666" s="146"/>
      <c r="E666" s="147"/>
      <c r="F666" s="138"/>
      <c r="G666" s="148"/>
      <c r="M666" s="149"/>
      <c r="N666" s="147"/>
      <c r="AA666" s="60"/>
      <c r="AB666" s="60"/>
    </row>
    <row r="667" spans="1:28" s="25" customFormat="1" x14ac:dyDescent="0.25">
      <c r="A667" s="14" t="s">
        <v>380</v>
      </c>
      <c r="C667" s="82"/>
      <c r="D667" s="82"/>
      <c r="G667" s="36"/>
      <c r="H667" s="36"/>
      <c r="I667" s="36"/>
      <c r="J667" s="36"/>
      <c r="K667" s="36"/>
      <c r="L667" s="36"/>
      <c r="AA667" s="155"/>
      <c r="AB667" s="155"/>
    </row>
    <row r="668" spans="1:28" s="66" customFormat="1" outlineLevel="1" x14ac:dyDescent="0.25">
      <c r="A668" s="540"/>
      <c r="B668" s="540"/>
      <c r="C668" s="540"/>
      <c r="D668" s="540"/>
      <c r="E668" s="540"/>
      <c r="F668" s="540"/>
      <c r="G668" s="540"/>
      <c r="H668" s="540"/>
      <c r="I668" s="540"/>
      <c r="J668" s="540"/>
      <c r="K668" s="540"/>
      <c r="L668" s="540"/>
      <c r="AA668" s="156"/>
      <c r="AB668" s="156"/>
    </row>
    <row r="669" spans="1:28" s="66" customFormat="1" outlineLevel="1" x14ac:dyDescent="0.25">
      <c r="A669" s="540"/>
      <c r="B669" s="540"/>
      <c r="C669" s="540"/>
      <c r="D669" s="540"/>
      <c r="E669" s="540"/>
      <c r="F669" s="540"/>
      <c r="G669" s="816" t="s">
        <v>198</v>
      </c>
      <c r="H669" s="540"/>
      <c r="I669" s="540"/>
      <c r="J669" s="540"/>
      <c r="K669" s="540"/>
      <c r="L669" s="540"/>
      <c r="AA669" s="156"/>
      <c r="AB669" s="156"/>
    </row>
    <row r="670" spans="1:28" s="66" customFormat="1" outlineLevel="1" x14ac:dyDescent="0.25">
      <c r="A670" s="540"/>
      <c r="B670" s="540"/>
      <c r="C670" s="540"/>
      <c r="D670" s="540" t="e">
        <f>Inputs!#REF!</f>
        <v>#REF!</v>
      </c>
      <c r="E670" s="540"/>
      <c r="F670" s="540"/>
      <c r="G670" s="540" t="s">
        <v>377</v>
      </c>
      <c r="H670" s="540"/>
      <c r="I670" s="540"/>
      <c r="J670" s="817" t="s">
        <v>325</v>
      </c>
      <c r="K670" s="818" t="e">
        <f ca="1">$D$675*(D673*C2+D671*C2)</f>
        <v>#REF!</v>
      </c>
      <c r="L670" s="540"/>
      <c r="AA670" s="156"/>
      <c r="AB670" s="156"/>
    </row>
    <row r="671" spans="1:28" s="18" customFormat="1" outlineLevel="1" x14ac:dyDescent="0.25">
      <c r="A671" s="540"/>
      <c r="B671" s="540"/>
      <c r="C671" s="541" t="s">
        <v>378</v>
      </c>
      <c r="D671" s="541" t="e">
        <f ca="1">OFFSET(H673,D670,0,1,1)</f>
        <v>#REF!</v>
      </c>
      <c r="E671" s="540"/>
      <c r="F671" s="540"/>
      <c r="G671" s="540" t="s">
        <v>379</v>
      </c>
      <c r="H671" s="540"/>
      <c r="I671" s="593"/>
      <c r="J671" s="819" t="s">
        <v>373</v>
      </c>
      <c r="K671" s="820" t="s">
        <v>380</v>
      </c>
      <c r="L671" s="540"/>
      <c r="AA671" s="141"/>
      <c r="AB671" s="141"/>
    </row>
    <row r="672" spans="1:28" s="18" customFormat="1" outlineLevel="1" x14ac:dyDescent="0.25">
      <c r="A672" s="540"/>
      <c r="B672" s="540"/>
      <c r="C672" s="540"/>
      <c r="D672" s="540" t="e">
        <f>Inputs!#REF!</f>
        <v>#REF!</v>
      </c>
      <c r="E672" s="540"/>
      <c r="F672" s="540" t="s">
        <v>262</v>
      </c>
      <c r="G672" s="821" t="s">
        <v>381</v>
      </c>
      <c r="H672" s="822" t="s">
        <v>265</v>
      </c>
      <c r="I672" s="593"/>
      <c r="J672" s="819" t="s">
        <v>114</v>
      </c>
      <c r="K672" s="823" t="e">
        <f t="shared" ref="K672:K683" ca="1" si="174">$K$670*($O5/$O$17)</f>
        <v>#REF!</v>
      </c>
      <c r="L672" s="540"/>
      <c r="AA672" s="141"/>
      <c r="AB672" s="141"/>
    </row>
    <row r="673" spans="1:28" s="18" customFormat="1" outlineLevel="1" x14ac:dyDescent="0.25">
      <c r="A673" s="540"/>
      <c r="B673" s="540"/>
      <c r="C673" s="541" t="s">
        <v>382</v>
      </c>
      <c r="D673" s="541" t="e">
        <f ca="1">OFFSET(H681,D672,0,1,1)</f>
        <v>#REF!</v>
      </c>
      <c r="E673" s="540"/>
      <c r="F673" s="540"/>
      <c r="G673" s="824" t="s">
        <v>383</v>
      </c>
      <c r="H673" s="825" t="s">
        <v>265</v>
      </c>
      <c r="I673" s="593"/>
      <c r="J673" s="826" t="s">
        <v>115</v>
      </c>
      <c r="K673" s="827" t="e">
        <f t="shared" ca="1" si="174"/>
        <v>#REF!</v>
      </c>
      <c r="L673" s="540"/>
      <c r="AA673" s="141"/>
      <c r="AB673" s="141"/>
    </row>
    <row r="674" spans="1:28" s="18" customFormat="1" outlineLevel="1" x14ac:dyDescent="0.25">
      <c r="A674" s="540"/>
      <c r="B674" s="540"/>
      <c r="C674" s="540"/>
      <c r="D674" s="540"/>
      <c r="E674" s="540"/>
      <c r="F674" s="540"/>
      <c r="G674" s="828" t="s">
        <v>384</v>
      </c>
      <c r="H674" s="829">
        <v>0</v>
      </c>
      <c r="I674" s="593"/>
      <c r="J674" s="826" t="s">
        <v>116</v>
      </c>
      <c r="K674" s="827" t="e">
        <f t="shared" ca="1" si="174"/>
        <v>#REF!</v>
      </c>
      <c r="L674" s="540"/>
      <c r="AA674" s="141"/>
      <c r="AB674" s="141"/>
    </row>
    <row r="675" spans="1:28" s="18" customFormat="1" outlineLevel="1" x14ac:dyDescent="0.25">
      <c r="A675" s="540"/>
      <c r="B675" s="540"/>
      <c r="C675" s="541" t="s">
        <v>385</v>
      </c>
      <c r="D675" s="541">
        <v>8</v>
      </c>
      <c r="E675" s="540"/>
      <c r="F675" s="540"/>
      <c r="G675" s="828" t="s">
        <v>386</v>
      </c>
      <c r="H675" s="829">
        <v>0.5</v>
      </c>
      <c r="I675" s="593"/>
      <c r="J675" s="826" t="s">
        <v>117</v>
      </c>
      <c r="K675" s="827" t="e">
        <f t="shared" ca="1" si="174"/>
        <v>#REF!</v>
      </c>
      <c r="L675" s="540"/>
      <c r="AA675" s="141"/>
      <c r="AB675" s="141"/>
    </row>
    <row r="676" spans="1:28" s="18" customFormat="1" outlineLevel="1" x14ac:dyDescent="0.25">
      <c r="A676" s="540"/>
      <c r="B676" s="540"/>
      <c r="C676" s="540"/>
      <c r="D676" s="540"/>
      <c r="E676" s="540"/>
      <c r="F676" s="540"/>
      <c r="G676" s="830" t="s">
        <v>215</v>
      </c>
      <c r="H676" s="831">
        <v>1</v>
      </c>
      <c r="I676" s="593"/>
      <c r="J676" s="826" t="s">
        <v>118</v>
      </c>
      <c r="K676" s="827" t="e">
        <f t="shared" ca="1" si="174"/>
        <v>#REF!</v>
      </c>
      <c r="L676" s="540"/>
      <c r="AA676" s="141"/>
      <c r="AB676" s="141"/>
    </row>
    <row r="677" spans="1:28" s="18" customFormat="1" outlineLevel="1" x14ac:dyDescent="0.25">
      <c r="A677" s="540"/>
      <c r="B677" s="540"/>
      <c r="C677" s="601" t="s">
        <v>387</v>
      </c>
      <c r="D677" s="815" t="e">
        <f ca="1">K670/$C$2/8760/3.6*1000</f>
        <v>#REF!</v>
      </c>
      <c r="E677" s="540"/>
      <c r="F677" s="540"/>
      <c r="G677" s="540"/>
      <c r="H677" s="540"/>
      <c r="I677" s="593"/>
      <c r="J677" s="826" t="s">
        <v>119</v>
      </c>
      <c r="K677" s="827" t="e">
        <f t="shared" ca="1" si="174"/>
        <v>#REF!</v>
      </c>
      <c r="L677" s="540"/>
      <c r="AA677" s="141"/>
      <c r="AB677" s="141"/>
    </row>
    <row r="678" spans="1:28" s="18" customFormat="1" outlineLevel="1" x14ac:dyDescent="0.25">
      <c r="A678" s="540"/>
      <c r="B678" s="540"/>
      <c r="C678" s="540"/>
      <c r="D678" s="540"/>
      <c r="E678" s="540"/>
      <c r="F678" s="540"/>
      <c r="G678" s="816" t="s">
        <v>198</v>
      </c>
      <c r="H678" s="601"/>
      <c r="I678" s="593"/>
      <c r="J678" s="826" t="s">
        <v>120</v>
      </c>
      <c r="K678" s="827" t="e">
        <f t="shared" ca="1" si="174"/>
        <v>#REF!</v>
      </c>
      <c r="L678" s="540"/>
      <c r="AA678" s="141"/>
      <c r="AB678" s="141"/>
    </row>
    <row r="679" spans="1:28" s="18" customFormat="1" outlineLevel="1" x14ac:dyDescent="0.25">
      <c r="A679" s="540"/>
      <c r="B679" s="540"/>
      <c r="C679" s="540"/>
      <c r="D679" s="540"/>
      <c r="E679" s="540"/>
      <c r="F679" s="540"/>
      <c r="G679" s="540" t="s">
        <v>388</v>
      </c>
      <c r="H679" s="540"/>
      <c r="I679" s="593"/>
      <c r="J679" s="826" t="s">
        <v>121</v>
      </c>
      <c r="K679" s="827" t="e">
        <f t="shared" ca="1" si="174"/>
        <v>#REF!</v>
      </c>
      <c r="L679" s="540"/>
      <c r="AA679" s="141"/>
      <c r="AB679" s="141"/>
    </row>
    <row r="680" spans="1:28" s="18" customFormat="1" outlineLevel="1" x14ac:dyDescent="0.25">
      <c r="A680" s="540"/>
      <c r="B680" s="540"/>
      <c r="C680" s="540"/>
      <c r="D680" s="540"/>
      <c r="E680" s="540"/>
      <c r="F680" s="540"/>
      <c r="G680" s="540" t="s">
        <v>379</v>
      </c>
      <c r="H680" s="540"/>
      <c r="I680" s="593"/>
      <c r="J680" s="826" t="s">
        <v>122</v>
      </c>
      <c r="K680" s="827" t="e">
        <f t="shared" ca="1" si="174"/>
        <v>#REF!</v>
      </c>
      <c r="L680" s="540"/>
      <c r="AA680" s="141"/>
      <c r="AB680" s="141"/>
    </row>
    <row r="681" spans="1:28" s="18" customFormat="1" outlineLevel="1" x14ac:dyDescent="0.25">
      <c r="A681" s="540"/>
      <c r="B681" s="540"/>
      <c r="C681" s="540"/>
      <c r="D681" s="540"/>
      <c r="E681" s="540"/>
      <c r="F681" s="540" t="s">
        <v>219</v>
      </c>
      <c r="G681" s="832" t="s">
        <v>381</v>
      </c>
      <c r="H681" s="766" t="s">
        <v>265</v>
      </c>
      <c r="I681" s="593"/>
      <c r="J681" s="826" t="s">
        <v>123</v>
      </c>
      <c r="K681" s="827" t="e">
        <f t="shared" ca="1" si="174"/>
        <v>#REF!</v>
      </c>
      <c r="L681" s="540"/>
      <c r="AA681" s="141"/>
      <c r="AB681" s="141"/>
    </row>
    <row r="682" spans="1:28" s="18" customFormat="1" outlineLevel="1" x14ac:dyDescent="0.25">
      <c r="A682" s="540"/>
      <c r="B682" s="540"/>
      <c r="C682" s="540"/>
      <c r="D682" s="540"/>
      <c r="E682" s="540"/>
      <c r="F682" s="540"/>
      <c r="G682" s="828" t="s">
        <v>389</v>
      </c>
      <c r="H682" s="829">
        <v>0</v>
      </c>
      <c r="I682" s="593"/>
      <c r="J682" s="826" t="s">
        <v>124</v>
      </c>
      <c r="K682" s="827" t="e">
        <f t="shared" ca="1" si="174"/>
        <v>#REF!</v>
      </c>
      <c r="L682" s="540"/>
      <c r="AA682" s="141"/>
      <c r="AB682" s="141"/>
    </row>
    <row r="683" spans="1:28" s="18" customFormat="1" outlineLevel="1" x14ac:dyDescent="0.25">
      <c r="A683" s="540"/>
      <c r="B683" s="540"/>
      <c r="C683" s="540"/>
      <c r="D683" s="540"/>
      <c r="E683" s="540"/>
      <c r="F683" s="540"/>
      <c r="G683" s="828" t="s">
        <v>386</v>
      </c>
      <c r="H683" s="829">
        <v>0.5</v>
      </c>
      <c r="I683" s="593"/>
      <c r="J683" s="817" t="s">
        <v>125</v>
      </c>
      <c r="K683" s="818" t="e">
        <f t="shared" ca="1" si="174"/>
        <v>#REF!</v>
      </c>
      <c r="L683" s="540"/>
      <c r="AA683" s="141"/>
      <c r="AB683" s="141"/>
    </row>
    <row r="684" spans="1:28" s="18" customFormat="1" outlineLevel="1" x14ac:dyDescent="0.25">
      <c r="A684" s="540"/>
      <c r="B684" s="540"/>
      <c r="C684" s="540"/>
      <c r="D684" s="540"/>
      <c r="E684" s="540"/>
      <c r="F684" s="540"/>
      <c r="G684" s="830" t="s">
        <v>215</v>
      </c>
      <c r="H684" s="831">
        <v>1</v>
      </c>
      <c r="I684" s="601"/>
      <c r="J684" s="540"/>
      <c r="K684" s="540"/>
      <c r="L684" s="593"/>
      <c r="AA684" s="141"/>
      <c r="AB684" s="141"/>
    </row>
    <row r="685" spans="1:28" s="18" customFormat="1" outlineLevel="1" x14ac:dyDescent="0.25">
      <c r="A685" s="540"/>
      <c r="B685" s="540"/>
      <c r="C685" s="540"/>
      <c r="D685" s="540"/>
      <c r="E685" s="540"/>
      <c r="F685" s="540"/>
      <c r="G685" s="540"/>
      <c r="H685" s="540"/>
      <c r="I685" s="601"/>
      <c r="J685" s="601"/>
      <c r="K685" s="599"/>
      <c r="L685" s="593"/>
      <c r="AA685" s="141"/>
      <c r="AB685" s="141"/>
    </row>
    <row r="686" spans="1:28" s="423" customFormat="1" outlineLevel="1" x14ac:dyDescent="0.25">
      <c r="A686" s="540"/>
      <c r="B686" s="540"/>
      <c r="C686" s="540"/>
      <c r="D686" s="540"/>
      <c r="E686" s="540"/>
      <c r="F686" s="540"/>
      <c r="G686" s="540"/>
      <c r="H686" s="540"/>
      <c r="I686" s="601"/>
      <c r="J686" s="601"/>
      <c r="K686" s="599"/>
      <c r="L686" s="593"/>
      <c r="AA686" s="141"/>
      <c r="AB686" s="141"/>
    </row>
    <row r="687" spans="1:28" s="423" customFormat="1" outlineLevel="1" x14ac:dyDescent="0.25">
      <c r="A687" s="540"/>
      <c r="B687" s="540"/>
      <c r="C687" s="540"/>
      <c r="D687" s="540"/>
      <c r="E687" s="540"/>
      <c r="F687" s="540"/>
      <c r="G687" s="540"/>
      <c r="H687" s="540"/>
      <c r="I687" s="601"/>
      <c r="J687" s="601"/>
      <c r="K687" s="599"/>
      <c r="L687" s="593"/>
      <c r="AA687" s="141"/>
      <c r="AB687" s="141"/>
    </row>
    <row r="688" spans="1:28" s="423" customFormat="1" outlineLevel="1" x14ac:dyDescent="0.25">
      <c r="A688" s="540"/>
      <c r="B688" s="540"/>
      <c r="C688" s="540"/>
      <c r="D688" s="540"/>
      <c r="E688" s="540"/>
      <c r="F688" s="540"/>
      <c r="G688" s="540"/>
      <c r="H688" s="540"/>
      <c r="I688" s="601"/>
      <c r="J688" s="601"/>
      <c r="K688" s="599"/>
      <c r="L688" s="593"/>
      <c r="AA688" s="141"/>
      <c r="AB688" s="141"/>
    </row>
    <row r="689" spans="1:28" s="423" customFormat="1" ht="13.5" outlineLevel="1" thickBot="1" x14ac:dyDescent="0.3">
      <c r="A689" s="540"/>
      <c r="B689" s="540"/>
      <c r="C689" s="777"/>
      <c r="D689" s="777"/>
      <c r="E689" s="540"/>
      <c r="F689" s="593"/>
      <c r="G689" s="540"/>
      <c r="H689" s="540"/>
      <c r="I689" s="601"/>
      <c r="J689" s="601"/>
      <c r="K689" s="599"/>
      <c r="L689" s="593"/>
      <c r="AA689" s="141"/>
      <c r="AB689" s="141"/>
    </row>
    <row r="690" spans="1:28" s="423" customFormat="1" outlineLevel="1" x14ac:dyDescent="0.25">
      <c r="A690" s="540"/>
      <c r="B690" s="540"/>
      <c r="C690" s="540" t="s">
        <v>1047</v>
      </c>
      <c r="D690" s="540"/>
      <c r="E690" s="540"/>
      <c r="F690" s="593"/>
      <c r="G690" s="540"/>
      <c r="H690" s="540"/>
      <c r="I690" s="601"/>
      <c r="J690" s="601"/>
      <c r="K690" s="599"/>
      <c r="L690" s="593"/>
      <c r="AA690" s="141"/>
      <c r="AB690" s="141"/>
    </row>
    <row r="691" spans="1:28" s="423" customFormat="1" outlineLevel="1" x14ac:dyDescent="0.25">
      <c r="A691" s="540"/>
      <c r="B691" s="540"/>
      <c r="C691" s="540"/>
      <c r="D691" s="540"/>
      <c r="E691" s="540"/>
      <c r="F691" s="593"/>
      <c r="G691" s="540"/>
      <c r="H691" s="540"/>
      <c r="I691" s="601"/>
      <c r="J691" s="601"/>
      <c r="K691" s="599"/>
      <c r="L691" s="593"/>
      <c r="AA691" s="141"/>
      <c r="AB691" s="141"/>
    </row>
    <row r="692" spans="1:28" s="423" customFormat="1" outlineLevel="1" x14ac:dyDescent="0.25">
      <c r="A692" s="540"/>
      <c r="B692" s="540"/>
      <c r="C692" s="540"/>
      <c r="D692" s="540"/>
      <c r="E692" s="540"/>
      <c r="F692" s="540"/>
      <c r="G692" s="540"/>
      <c r="H692" s="540"/>
      <c r="I692" s="601"/>
      <c r="J692" s="601"/>
      <c r="K692" s="599"/>
      <c r="L692" s="593"/>
      <c r="AA692" s="141"/>
      <c r="AB692" s="141"/>
    </row>
    <row r="693" spans="1:28" s="423" customFormat="1" outlineLevel="1" x14ac:dyDescent="0.25">
      <c r="A693" s="540"/>
      <c r="B693" s="540"/>
      <c r="C693" s="540" t="e">
        <f>Inputs!#REF!</f>
        <v>#REF!</v>
      </c>
      <c r="D693" s="540">
        <f>Inputs!C58</f>
        <v>1</v>
      </c>
      <c r="E693" s="540"/>
      <c r="F693" s="540" t="s">
        <v>979</v>
      </c>
      <c r="G693" s="540">
        <f>Inputs!C57</f>
        <v>1</v>
      </c>
      <c r="H693" s="540"/>
      <c r="I693" s="601"/>
      <c r="J693" s="601"/>
      <c r="K693" s="599"/>
      <c r="L693" s="593"/>
      <c r="AA693" s="141"/>
      <c r="AB693" s="141"/>
    </row>
    <row r="694" spans="1:28" s="423" customFormat="1" outlineLevel="1" x14ac:dyDescent="0.25">
      <c r="A694" s="540"/>
      <c r="B694" s="540"/>
      <c r="C694" s="540"/>
      <c r="D694" s="540"/>
      <c r="E694" s="540"/>
      <c r="F694" s="540"/>
      <c r="G694" s="540"/>
      <c r="H694" s="540"/>
      <c r="I694" s="601"/>
      <c r="J694" s="601"/>
      <c r="K694" s="599"/>
      <c r="L694" s="593"/>
      <c r="AA694" s="141"/>
      <c r="AB694" s="141"/>
    </row>
    <row r="695" spans="1:28" s="423" customFormat="1" outlineLevel="1" x14ac:dyDescent="0.25">
      <c r="A695" s="540"/>
      <c r="B695" s="540"/>
      <c r="C695" s="540"/>
      <c r="D695" s="542"/>
      <c r="E695" s="540"/>
      <c r="F695" s="593"/>
      <c r="G695" s="540"/>
      <c r="H695" s="540"/>
      <c r="I695" s="601"/>
      <c r="J695" s="601"/>
      <c r="K695" s="599"/>
      <c r="L695" s="593"/>
      <c r="AA695" s="141"/>
      <c r="AB695" s="141"/>
    </row>
    <row r="696" spans="1:28" s="423" customFormat="1" outlineLevel="1" x14ac:dyDescent="0.25">
      <c r="A696" s="540"/>
      <c r="B696" s="540"/>
      <c r="C696" s="540"/>
      <c r="D696" s="540"/>
      <c r="E696" s="540"/>
      <c r="F696" s="593"/>
      <c r="G696" s="540"/>
      <c r="H696" s="540"/>
      <c r="I696" s="601"/>
      <c r="J696" s="601"/>
      <c r="K696" s="599"/>
      <c r="L696" s="593"/>
      <c r="AA696" s="141"/>
      <c r="AB696" s="141"/>
    </row>
    <row r="697" spans="1:28" s="423" customFormat="1" outlineLevel="1" x14ac:dyDescent="0.25">
      <c r="A697" s="540"/>
      <c r="B697" s="540"/>
      <c r="C697" s="541"/>
      <c r="D697" s="598"/>
      <c r="E697" s="540"/>
      <c r="F697" s="593"/>
      <c r="G697" s="540"/>
      <c r="H697" s="540"/>
      <c r="I697" s="601"/>
      <c r="J697" s="601"/>
      <c r="K697" s="599"/>
      <c r="L697" s="593"/>
      <c r="AA697" s="141"/>
      <c r="AB697" s="141"/>
    </row>
    <row r="698" spans="1:28" s="423" customFormat="1" outlineLevel="1" x14ac:dyDescent="0.2">
      <c r="A698" s="540"/>
      <c r="B698" s="540"/>
      <c r="C698" s="630"/>
      <c r="D698" s="542"/>
      <c r="E698" s="540"/>
      <c r="F698" s="593"/>
      <c r="G698" s="540"/>
      <c r="H698" s="540"/>
      <c r="I698" s="601"/>
      <c r="J698" s="601"/>
      <c r="K698" s="599"/>
      <c r="L698" s="593"/>
      <c r="AA698" s="141"/>
      <c r="AB698" s="141"/>
    </row>
    <row r="699" spans="1:28" s="423" customFormat="1" outlineLevel="1" x14ac:dyDescent="0.25">
      <c r="A699" s="540"/>
      <c r="B699" s="540"/>
      <c r="C699" s="540"/>
      <c r="D699" s="540"/>
      <c r="E699" s="540"/>
      <c r="F699" s="593"/>
      <c r="G699" s="540"/>
      <c r="H699" s="540"/>
      <c r="I699" s="540"/>
      <c r="J699" s="601"/>
      <c r="K699" s="601"/>
      <c r="L699" s="593"/>
      <c r="AA699" s="141"/>
      <c r="AB699" s="141"/>
    </row>
    <row r="700" spans="1:28" s="423" customFormat="1" ht="25.5" outlineLevel="1" x14ac:dyDescent="0.2">
      <c r="A700" s="540"/>
      <c r="B700" s="540"/>
      <c r="C700" s="540"/>
      <c r="D700" s="540" t="s">
        <v>980</v>
      </c>
      <c r="E700" s="833" t="s">
        <v>932</v>
      </c>
      <c r="F700" s="540"/>
      <c r="G700" s="540" t="s">
        <v>981</v>
      </c>
      <c r="H700" s="833" t="s">
        <v>933</v>
      </c>
      <c r="I700" s="540"/>
      <c r="J700" s="540" t="s">
        <v>982</v>
      </c>
      <c r="K700" s="540" t="s">
        <v>934</v>
      </c>
      <c r="L700" s="593"/>
      <c r="AA700" s="141"/>
      <c r="AB700" s="141"/>
    </row>
    <row r="701" spans="1:28" s="423" customFormat="1" outlineLevel="1" x14ac:dyDescent="0.2">
      <c r="A701" s="540"/>
      <c r="B701" s="540"/>
      <c r="C701" s="630" t="s">
        <v>114</v>
      </c>
      <c r="D701" s="598">
        <f ca="1">Calcs!L345/(Calcs!L345+Calcs!L371)</f>
        <v>0.82861894339537812</v>
      </c>
      <c r="E701" s="834">
        <f ca="1">$E$713*(D701/$D$713)</f>
        <v>15789.219209321147</v>
      </c>
      <c r="F701" s="540"/>
      <c r="G701" s="598">
        <f ca="1">Calcs!L371/(Calcs!L345+Calcs!L371)</f>
        <v>0.17138105660462186</v>
      </c>
      <c r="H701" s="834">
        <f ca="1">$H$713*(G701/$G$713)</f>
        <v>1033.4819302121136</v>
      </c>
      <c r="I701" s="540"/>
      <c r="J701" s="835">
        <f ca="1">(Calcs!L345+Calcs!L371)/($L$357+Calcs!$L$383)</f>
        <v>5.1296964903415336E-2</v>
      </c>
      <c r="K701" s="834">
        <f ca="1">IF(OR($E$713=0,$H$713=0),E701+H701,$K$713*J701/$J$713)</f>
        <v>5639.3831336218673</v>
      </c>
      <c r="L701" s="776">
        <f ca="1">H701+E701</f>
        <v>16822.701139533259</v>
      </c>
      <c r="M701" s="423">
        <v>413332.73068834544</v>
      </c>
      <c r="AA701" s="141"/>
      <c r="AB701" s="141"/>
    </row>
    <row r="702" spans="1:28" s="423" customFormat="1" outlineLevel="1" x14ac:dyDescent="0.2">
      <c r="A702" s="540"/>
      <c r="B702" s="540"/>
      <c r="C702" s="630" t="s">
        <v>115</v>
      </c>
      <c r="D702" s="598">
        <f ca="1">Calcs!L346/(Calcs!L346+Calcs!L372)</f>
        <v>0.69949931845271407</v>
      </c>
      <c r="E702" s="834">
        <f t="shared" ref="E702:E712" ca="1" si="175">$E$713*(D702/$D$713)</f>
        <v>13328.862638071143</v>
      </c>
      <c r="F702" s="540"/>
      <c r="G702" s="598">
        <f ca="1">Calcs!L372/(Calcs!L346+Calcs!L372)</f>
        <v>0.30050068154728599</v>
      </c>
      <c r="H702" s="834">
        <f t="shared" ref="H702:H712" ca="1" si="176">$H$713*(G702/$G$713)</f>
        <v>1812.1140722805501</v>
      </c>
      <c r="I702" s="540"/>
      <c r="J702" s="835">
        <f ca="1">(Calcs!L346+Calcs!L372)/($L$357+Calcs!$L$383)</f>
        <v>3.9131020145494223E-2</v>
      </c>
      <c r="K702" s="834">
        <f t="shared" ref="K702:K712" ca="1" si="177">IF(OR($E$713=0,$H$713=0),E702+H702,$K$713*J702/$J$713)</f>
        <v>4301.9078307150521</v>
      </c>
      <c r="L702" s="776">
        <f t="shared" ref="L702:L712" ca="1" si="178">H702+E702</f>
        <v>15140.976710351693</v>
      </c>
      <c r="M702" s="423">
        <v>322798.89734520507</v>
      </c>
      <c r="AA702" s="141"/>
      <c r="AB702" s="141"/>
    </row>
    <row r="703" spans="1:28" s="423" customFormat="1" outlineLevel="1" x14ac:dyDescent="0.2">
      <c r="A703" s="540"/>
      <c r="B703" s="540"/>
      <c r="C703" s="630" t="s">
        <v>116</v>
      </c>
      <c r="D703" s="598">
        <f ca="1">Calcs!L347/(Calcs!L347+Calcs!L373)</f>
        <v>0.25325385292854924</v>
      </c>
      <c r="E703" s="834">
        <f t="shared" ca="1" si="175"/>
        <v>4825.7170939260786</v>
      </c>
      <c r="F703" s="540"/>
      <c r="G703" s="598">
        <f ca="1">Calcs!L373/(Calcs!L347+Calcs!L373)</f>
        <v>0.74674614707145071</v>
      </c>
      <c r="H703" s="834">
        <f t="shared" ca="1" si="176"/>
        <v>4503.1152493959407</v>
      </c>
      <c r="I703" s="540"/>
      <c r="J703" s="835">
        <f ca="1">(Calcs!L347+Calcs!L373)/($L$357+Calcs!$L$383)</f>
        <v>3.8730754877669034E-2</v>
      </c>
      <c r="K703" s="834">
        <f t="shared" ca="1" si="177"/>
        <v>4257.9042682314221</v>
      </c>
      <c r="L703" s="776">
        <f t="shared" ca="1" si="178"/>
        <v>9328.8323433220194</v>
      </c>
      <c r="M703" s="423">
        <v>209100.97816305995</v>
      </c>
      <c r="AA703" s="141"/>
      <c r="AB703" s="141"/>
    </row>
    <row r="704" spans="1:28" s="423" customFormat="1" outlineLevel="1" x14ac:dyDescent="0.2">
      <c r="A704" s="540"/>
      <c r="B704" s="540"/>
      <c r="C704" s="630" t="s">
        <v>117</v>
      </c>
      <c r="D704" s="598">
        <f ca="1">Calcs!L348/(Calcs!L348+Calcs!L374)</f>
        <v>2.4433693932686806E-2</v>
      </c>
      <c r="E704" s="834">
        <f t="shared" ca="1" si="175"/>
        <v>465.58065401670603</v>
      </c>
      <c r="F704" s="540"/>
      <c r="G704" s="598">
        <f ca="1">Calcs!L374/(Calcs!L348+Calcs!L374)</f>
        <v>0.9755663060673132</v>
      </c>
      <c r="H704" s="834">
        <f t="shared" ca="1" si="176"/>
        <v>5882.9731186122126</v>
      </c>
      <c r="I704" s="540"/>
      <c r="J704" s="835">
        <f ca="1">(Calcs!L348+Calcs!L374)/($L$357+Calcs!$L$383)</f>
        <v>6.1060313342994901E-2</v>
      </c>
      <c r="K704" s="834">
        <f t="shared" ca="1" si="177"/>
        <v>6712.7266076754859</v>
      </c>
      <c r="L704" s="776">
        <f t="shared" ca="1" si="178"/>
        <v>6348.5537726289185</v>
      </c>
      <c r="M704" s="423">
        <v>98452.654342609749</v>
      </c>
      <c r="AA704" s="141"/>
      <c r="AB704" s="141"/>
    </row>
    <row r="705" spans="1:28" s="423" customFormat="1" outlineLevel="1" x14ac:dyDescent="0.2">
      <c r="A705" s="540"/>
      <c r="B705" s="540"/>
      <c r="C705" s="630" t="s">
        <v>118</v>
      </c>
      <c r="D705" s="598">
        <f ca="1">Calcs!L349/(Calcs!L349+Calcs!L375)</f>
        <v>2.4568444891676382E-4</v>
      </c>
      <c r="E705" s="834">
        <f t="shared" ca="1" si="175"/>
        <v>4.6814831487832533</v>
      </c>
      <c r="F705" s="540"/>
      <c r="G705" s="598">
        <f ca="1">Calcs!L375/(Calcs!L349+Calcs!L375)</f>
        <v>0.99975431555108318</v>
      </c>
      <c r="H705" s="834">
        <f t="shared" ca="1" si="176"/>
        <v>6028.8344595592807</v>
      </c>
      <c r="I705" s="540"/>
      <c r="J705" s="835">
        <f ca="1">(Calcs!L349+Calcs!L375)/($L$357+Calcs!$L$383)</f>
        <v>0.10741830609761888</v>
      </c>
      <c r="K705" s="834">
        <f t="shared" ca="1" si="177"/>
        <v>11809.138899147827</v>
      </c>
      <c r="L705" s="776">
        <f t="shared" ca="1" si="178"/>
        <v>6033.5159427080644</v>
      </c>
      <c r="M705" s="423">
        <v>82075.369350382636</v>
      </c>
      <c r="AA705" s="141"/>
      <c r="AB705" s="141"/>
    </row>
    <row r="706" spans="1:28" s="423" customFormat="1" outlineLevel="1" x14ac:dyDescent="0.2">
      <c r="A706" s="540"/>
      <c r="B706" s="540"/>
      <c r="C706" s="630" t="s">
        <v>119</v>
      </c>
      <c r="D706" s="598">
        <f ca="1">Calcs!L350/(Calcs!L350+Calcs!L376)</f>
        <v>0</v>
      </c>
      <c r="E706" s="834">
        <f t="shared" ca="1" si="175"/>
        <v>0</v>
      </c>
      <c r="F706" s="540"/>
      <c r="G706" s="598">
        <f ca="1">Calcs!L376/(Calcs!L350+Calcs!L376)</f>
        <v>1</v>
      </c>
      <c r="H706" s="834">
        <f t="shared" ca="1" si="176"/>
        <v>6030.3160144260783</v>
      </c>
      <c r="I706" s="540"/>
      <c r="J706" s="835">
        <f ca="1">(Calcs!L350+Calcs!L376)/($L$357+Calcs!$L$383)</f>
        <v>0.13888463863554099</v>
      </c>
      <c r="K706" s="834">
        <f t="shared" ca="1" si="177"/>
        <v>15268.421633036831</v>
      </c>
      <c r="L706" s="776">
        <f t="shared" ca="1" si="178"/>
        <v>6030.3160144260783</v>
      </c>
      <c r="M706" s="423">
        <v>139335.09575976696</v>
      </c>
      <c r="AA706" s="141"/>
      <c r="AB706" s="141"/>
    </row>
    <row r="707" spans="1:28" s="423" customFormat="1" outlineLevel="1" x14ac:dyDescent="0.2">
      <c r="A707" s="540"/>
      <c r="B707" s="540"/>
      <c r="C707" s="630" t="s">
        <v>120</v>
      </c>
      <c r="D707" s="598">
        <f ca="1">Calcs!L351/(Calcs!L351+Calcs!L377)</f>
        <v>0</v>
      </c>
      <c r="E707" s="834">
        <f t="shared" ca="1" si="175"/>
        <v>0</v>
      </c>
      <c r="F707" s="540"/>
      <c r="G707" s="598">
        <f ca="1">Calcs!L377/(Calcs!L351+Calcs!L377)</f>
        <v>1</v>
      </c>
      <c r="H707" s="834">
        <f t="shared" ca="1" si="176"/>
        <v>6030.3160144260783</v>
      </c>
      <c r="I707" s="540"/>
      <c r="J707" s="835">
        <f ca="1">(Calcs!L351+Calcs!L377)/($L$357+Calcs!$L$383)</f>
        <v>0.1648761814283736</v>
      </c>
      <c r="K707" s="834">
        <f t="shared" ca="1" si="177"/>
        <v>18125.827881509675</v>
      </c>
      <c r="L707" s="776">
        <f t="shared" ca="1" si="178"/>
        <v>6030.3160144260783</v>
      </c>
      <c r="M707" s="423">
        <v>190301.73986965607</v>
      </c>
      <c r="AA707" s="141"/>
      <c r="AB707" s="141"/>
    </row>
    <row r="708" spans="1:28" s="423" customFormat="1" outlineLevel="1" x14ac:dyDescent="0.2">
      <c r="A708" s="540"/>
      <c r="B708" s="540"/>
      <c r="C708" s="630" t="s">
        <v>121</v>
      </c>
      <c r="D708" s="598">
        <f ca="1">Calcs!L352/(Calcs!L352+Calcs!L378)</f>
        <v>0</v>
      </c>
      <c r="E708" s="834">
        <f t="shared" ca="1" si="175"/>
        <v>0</v>
      </c>
      <c r="F708" s="540"/>
      <c r="G708" s="598">
        <f ca="1">Calcs!L378/(Calcs!L352+Calcs!L378)</f>
        <v>1</v>
      </c>
      <c r="H708" s="834">
        <f t="shared" ca="1" si="176"/>
        <v>6030.3160144260783</v>
      </c>
      <c r="I708" s="540"/>
      <c r="J708" s="835">
        <f ca="1">(Calcs!L352+Calcs!L378)/($L$357+Calcs!$L$383)</f>
        <v>0.14379318823226669</v>
      </c>
      <c r="K708" s="834">
        <f t="shared" ca="1" si="177"/>
        <v>15808.047941502467</v>
      </c>
      <c r="L708" s="776">
        <f t="shared" ca="1" si="178"/>
        <v>6030.3160144260783</v>
      </c>
      <c r="M708" s="423">
        <v>149755.66060290288</v>
      </c>
      <c r="AA708" s="141"/>
      <c r="AB708" s="141"/>
    </row>
    <row r="709" spans="1:28" s="423" customFormat="1" outlineLevel="1" x14ac:dyDescent="0.2">
      <c r="A709" s="540"/>
      <c r="B709" s="540"/>
      <c r="C709" s="630" t="s">
        <v>122</v>
      </c>
      <c r="D709" s="598">
        <f ca="1">Calcs!L353/(Calcs!L353+Calcs!L379)</f>
        <v>4.1757437659341697E-6</v>
      </c>
      <c r="E709" s="834">
        <f t="shared" ca="1" si="175"/>
        <v>7.9568219152855266E-2</v>
      </c>
      <c r="F709" s="540"/>
      <c r="G709" s="598">
        <f ca="1">Calcs!L379/(Calcs!L353+Calcs!L379)</f>
        <v>0.99999582425623412</v>
      </c>
      <c r="H709" s="834">
        <f t="shared" ca="1" si="176"/>
        <v>6030.2908333715759</v>
      </c>
      <c r="I709" s="540"/>
      <c r="J709" s="835">
        <f ca="1">(Calcs!L353+Calcs!L379)/($L$357+Calcs!$L$383)</f>
        <v>0.11329301260560463</v>
      </c>
      <c r="K709" s="834">
        <f t="shared" ca="1" si="177"/>
        <v>12454.980633809748</v>
      </c>
      <c r="L709" s="776">
        <f t="shared" ca="1" si="178"/>
        <v>6030.3704015907288</v>
      </c>
      <c r="M709" s="423">
        <v>97101.753204571272</v>
      </c>
      <c r="AA709" s="141"/>
      <c r="AB709" s="141"/>
    </row>
    <row r="710" spans="1:28" s="423" customFormat="1" outlineLevel="1" x14ac:dyDescent="0.2">
      <c r="A710" s="540"/>
      <c r="B710" s="540"/>
      <c r="C710" s="630" t="s">
        <v>123</v>
      </c>
      <c r="D710" s="598">
        <f ca="1">Calcs!L354/(Calcs!L354+Calcs!L380)</f>
        <v>1.7022161493047493E-2</v>
      </c>
      <c r="E710" s="834">
        <f t="shared" ca="1" si="175"/>
        <v>324.35492981717817</v>
      </c>
      <c r="F710" s="540"/>
      <c r="G710" s="598">
        <f ca="1">Calcs!L380/(Calcs!L354+Calcs!L380)</f>
        <v>0.98297783850695253</v>
      </c>
      <c r="H710" s="834">
        <f t="shared" ca="1" si="176"/>
        <v>5927.6670013744078</v>
      </c>
      <c r="I710" s="540"/>
      <c r="J710" s="835">
        <f ca="1">(Calcs!L354+Calcs!L380)/($L$357+Calcs!$L$383)</f>
        <v>6.3150595998076209E-2</v>
      </c>
      <c r="K710" s="834">
        <f t="shared" ca="1" si="177"/>
        <v>6942.5239216445043</v>
      </c>
      <c r="L710" s="776">
        <f t="shared" ca="1" si="178"/>
        <v>6252.0219311915862</v>
      </c>
      <c r="M710" s="423">
        <v>89643.051197700101</v>
      </c>
      <c r="AA710" s="141"/>
      <c r="AB710" s="141"/>
    </row>
    <row r="711" spans="1:28" s="423" customFormat="1" outlineLevel="1" x14ac:dyDescent="0.2">
      <c r="A711" s="540"/>
      <c r="B711" s="540"/>
      <c r="C711" s="630" t="s">
        <v>124</v>
      </c>
      <c r="D711" s="598">
        <f ca="1">Calcs!L355/(Calcs!L355+Calcs!L381)</f>
        <v>0.27811196512666486</v>
      </c>
      <c r="E711" s="834">
        <f t="shared" ca="1" si="175"/>
        <v>5299.3849792120054</v>
      </c>
      <c r="F711" s="540"/>
      <c r="G711" s="598">
        <f ca="1">Calcs!L381/(Calcs!L355+Calcs!L381)</f>
        <v>0.72188803487333508</v>
      </c>
      <c r="H711" s="834">
        <f t="shared" ca="1" si="176"/>
        <v>4353.2129773192446</v>
      </c>
      <c r="I711" s="540"/>
      <c r="J711" s="835">
        <f ca="1">(Calcs!L355+Calcs!L381)/($L$357+Calcs!$L$383)</f>
        <v>3.2613406376608763E-2</v>
      </c>
      <c r="K711" s="834">
        <f t="shared" ca="1" si="177"/>
        <v>3585.3874434188601</v>
      </c>
      <c r="L711" s="776">
        <f t="shared" ca="1" si="178"/>
        <v>9652.59795653125</v>
      </c>
      <c r="M711" s="423">
        <v>187588.31647516997</v>
      </c>
      <c r="AA711" s="141"/>
      <c r="AB711" s="141"/>
    </row>
    <row r="712" spans="1:28" s="423" customFormat="1" outlineLevel="1" x14ac:dyDescent="0.2">
      <c r="A712" s="540"/>
      <c r="B712" s="540"/>
      <c r="C712" s="630" t="s">
        <v>125</v>
      </c>
      <c r="D712" s="598">
        <f ca="1">Calcs!L356/(Calcs!L356+Calcs!L382)</f>
        <v>0.78353334858841817</v>
      </c>
      <c r="E712" s="834">
        <f t="shared" ca="1" si="175"/>
        <v>14930.119444267799</v>
      </c>
      <c r="F712" s="540"/>
      <c r="G712" s="598">
        <f ca="1">Calcs!L382/(Calcs!L356+Calcs!L382)</f>
        <v>0.21646665141158183</v>
      </c>
      <c r="H712" s="834">
        <f t="shared" ca="1" si="176"/>
        <v>1305.3623145964496</v>
      </c>
      <c r="I712" s="540"/>
      <c r="J712" s="835">
        <f ca="1">(Calcs!L356+Calcs!L382)/($L$357+Calcs!$L$383)</f>
        <v>4.5751617356336829E-2</v>
      </c>
      <c r="K712" s="834">
        <f t="shared" ca="1" si="177"/>
        <v>5029.7498056862451</v>
      </c>
      <c r="L712" s="776">
        <f t="shared" ca="1" si="178"/>
        <v>16235.481758864249</v>
      </c>
      <c r="M712" s="423">
        <v>390337.75300063036</v>
      </c>
      <c r="AA712" s="141"/>
      <c r="AB712" s="141"/>
    </row>
    <row r="713" spans="1:28" s="423" customFormat="1" outlineLevel="1" x14ac:dyDescent="0.2">
      <c r="A713" s="540"/>
      <c r="B713" s="540"/>
      <c r="C713" s="773" t="s">
        <v>325</v>
      </c>
      <c r="D713" s="836">
        <f ca="1">SUM(D701:D712)</f>
        <v>2.8847231441101417</v>
      </c>
      <c r="E713" s="774">
        <f>$D$675*(D693*C2)</f>
        <v>54968</v>
      </c>
      <c r="F713" s="595">
        <f ca="1">SUM(E701:E712)</f>
        <v>54967.999999999985</v>
      </c>
      <c r="G713" s="836">
        <f ca="1">SUM(G701:G712)</f>
        <v>9.1152768558898565</v>
      </c>
      <c r="H713" s="774">
        <f>$D$675*(G693*C2)</f>
        <v>54968</v>
      </c>
      <c r="I713" s="595">
        <f ca="1">SUM(H701:H712)</f>
        <v>54968.000000000007</v>
      </c>
      <c r="J713" s="836">
        <f ca="1">SUM(J701:J712)</f>
        <v>1.0000000000000002</v>
      </c>
      <c r="K713" s="774">
        <f>E713+H713</f>
        <v>109936</v>
      </c>
      <c r="L713" s="776">
        <f ca="1">SUM(K701:K712)</f>
        <v>109936</v>
      </c>
      <c r="AA713" s="141"/>
      <c r="AB713" s="141"/>
    </row>
    <row r="714" spans="1:28" s="423" customFormat="1" outlineLevel="1" x14ac:dyDescent="0.25">
      <c r="A714" s="540"/>
      <c r="B714" s="540"/>
      <c r="C714" s="540"/>
      <c r="D714" s="540"/>
      <c r="E714" s="540"/>
      <c r="F714" s="540"/>
      <c r="G714" s="540"/>
      <c r="H714" s="540"/>
      <c r="I714" s="601"/>
      <c r="J714" s="601"/>
      <c r="K714" s="599"/>
      <c r="L714" s="593"/>
      <c r="AA714" s="141"/>
      <c r="AB714" s="141"/>
    </row>
    <row r="715" spans="1:28" s="423" customFormat="1" outlineLevel="1" x14ac:dyDescent="0.25">
      <c r="A715" s="540"/>
      <c r="B715" s="540"/>
      <c r="C715" s="540"/>
      <c r="D715" s="540"/>
      <c r="E715" s="595"/>
      <c r="F715" s="540"/>
      <c r="G715" s="540"/>
      <c r="H715" s="540"/>
      <c r="I715" s="601"/>
      <c r="J715" s="601"/>
      <c r="K715" s="599"/>
      <c r="L715" s="593"/>
      <c r="AA715" s="141"/>
      <c r="AB715" s="141"/>
    </row>
    <row r="716" spans="1:28" s="423" customFormat="1" outlineLevel="1" x14ac:dyDescent="0.25">
      <c r="A716" s="540"/>
      <c r="B716" s="540"/>
      <c r="C716" s="540"/>
      <c r="D716" s="540"/>
      <c r="E716" s="540"/>
      <c r="F716" s="540"/>
      <c r="G716" s="540"/>
      <c r="H716" s="540"/>
      <c r="I716" s="601"/>
      <c r="J716" s="601"/>
      <c r="K716" s="599"/>
      <c r="L716" s="593"/>
      <c r="AA716" s="141"/>
      <c r="AB716" s="141"/>
    </row>
    <row r="717" spans="1:28" s="139" customFormat="1" ht="13.5" thickBot="1" x14ac:dyDescent="0.3">
      <c r="C717" s="138"/>
      <c r="D717" s="148"/>
      <c r="AA717" s="154"/>
      <c r="AB717" s="154"/>
    </row>
    <row r="718" spans="1:28" s="25" customFormat="1" x14ac:dyDescent="0.25">
      <c r="A718" s="20" t="s">
        <v>390</v>
      </c>
      <c r="L718" s="160"/>
      <c r="AA718" s="155"/>
      <c r="AB718" s="155"/>
    </row>
    <row r="719" spans="1:28" s="25" customFormat="1" outlineLevel="1" x14ac:dyDescent="0.25">
      <c r="A719" s="20"/>
      <c r="C719" s="20" t="s">
        <v>391</v>
      </c>
      <c r="G719" s="84" t="s">
        <v>198</v>
      </c>
      <c r="I719" s="160"/>
      <c r="J719" s="84" t="s">
        <v>198</v>
      </c>
      <c r="AA719" s="155"/>
      <c r="AB719" s="155"/>
    </row>
    <row r="720" spans="1:28" s="25" customFormat="1" outlineLevel="1" x14ac:dyDescent="0.25">
      <c r="A720" s="20"/>
      <c r="C720" s="25" t="s">
        <v>394</v>
      </c>
      <c r="G720" s="25" t="s">
        <v>392</v>
      </c>
      <c r="J720" s="25" t="s">
        <v>393</v>
      </c>
      <c r="AA720" s="155"/>
      <c r="AB720" s="155"/>
    </row>
    <row r="721" spans="1:28" s="25" customFormat="1" outlineLevel="1" x14ac:dyDescent="0.25">
      <c r="A721" s="20"/>
      <c r="C721" s="25" t="s">
        <v>397</v>
      </c>
      <c r="G721" s="25" t="s">
        <v>395</v>
      </c>
      <c r="J721" s="25" t="s">
        <v>396</v>
      </c>
      <c r="AA721" s="155"/>
      <c r="AB721" s="155"/>
    </row>
    <row r="722" spans="1:28" s="25" customFormat="1" outlineLevel="1" x14ac:dyDescent="0.25">
      <c r="A722" s="20"/>
      <c r="G722" s="161" t="s">
        <v>31</v>
      </c>
      <c r="H722" s="162">
        <v>1</v>
      </c>
      <c r="J722" s="161" t="s">
        <v>32</v>
      </c>
      <c r="K722" s="163">
        <v>0.75</v>
      </c>
      <c r="P722" s="69"/>
      <c r="AA722" s="155"/>
      <c r="AB722" s="155"/>
    </row>
    <row r="723" spans="1:28" s="25" customFormat="1" outlineLevel="1" x14ac:dyDescent="0.25">
      <c r="A723" s="20"/>
      <c r="C723" s="25" t="s">
        <v>675</v>
      </c>
      <c r="D723" s="25">
        <v>60</v>
      </c>
      <c r="G723" s="164" t="s">
        <v>33</v>
      </c>
      <c r="H723" s="165">
        <v>0.8</v>
      </c>
      <c r="J723" s="164" t="s">
        <v>398</v>
      </c>
      <c r="K723" s="166">
        <v>0.9</v>
      </c>
      <c r="P723" s="69"/>
      <c r="AA723" s="155"/>
      <c r="AB723" s="155"/>
    </row>
    <row r="724" spans="1:28" s="25" customFormat="1" outlineLevel="1" x14ac:dyDescent="0.25">
      <c r="A724" s="20"/>
      <c r="C724" s="25" t="s">
        <v>676</v>
      </c>
      <c r="D724" s="25">
        <v>20</v>
      </c>
      <c r="G724" s="167" t="s">
        <v>34</v>
      </c>
      <c r="H724" s="168">
        <v>0.6</v>
      </c>
      <c r="J724" s="164" t="s">
        <v>35</v>
      </c>
      <c r="K724" s="166">
        <f>0.55*1.36</f>
        <v>0.74800000000000011</v>
      </c>
      <c r="P724" s="69"/>
      <c r="AA724" s="155"/>
      <c r="AB724" s="155"/>
    </row>
    <row r="725" spans="1:28" s="25" customFormat="1" outlineLevel="1" x14ac:dyDescent="0.25">
      <c r="A725" s="20"/>
      <c r="C725" s="25" t="s">
        <v>677</v>
      </c>
      <c r="D725" s="170">
        <f>Inputs!C63</f>
        <v>268</v>
      </c>
      <c r="J725" s="164" t="s">
        <v>36</v>
      </c>
      <c r="K725" s="166">
        <v>0.9</v>
      </c>
      <c r="P725" s="69"/>
      <c r="AA725" s="155"/>
      <c r="AB725" s="155"/>
    </row>
    <row r="726" spans="1:28" s="25" customFormat="1" outlineLevel="1" x14ac:dyDescent="0.25">
      <c r="A726" s="20"/>
      <c r="C726" s="82" t="s">
        <v>399</v>
      </c>
      <c r="D726" s="169">
        <f>D725*(D723-D724)*1000*0.00418</f>
        <v>44809.599999999999</v>
      </c>
      <c r="J726" s="164" t="s">
        <v>37</v>
      </c>
      <c r="K726" s="166">
        <v>0.9</v>
      </c>
      <c r="P726" s="69"/>
      <c r="AA726" s="155"/>
      <c r="AB726" s="155"/>
    </row>
    <row r="727" spans="1:28" s="25" customFormat="1" outlineLevel="1" x14ac:dyDescent="0.25">
      <c r="A727" s="20"/>
      <c r="J727" s="164" t="s">
        <v>39</v>
      </c>
      <c r="K727" s="166">
        <v>1.4</v>
      </c>
      <c r="P727" s="69"/>
      <c r="AA727" s="155"/>
      <c r="AB727" s="155"/>
    </row>
    <row r="728" spans="1:28" s="25" customFormat="1" outlineLevel="1" x14ac:dyDescent="0.25">
      <c r="A728" s="20"/>
      <c r="D728" s="170"/>
      <c r="J728" s="167" t="s">
        <v>42</v>
      </c>
      <c r="K728" s="171">
        <f>0.45*1.35</f>
        <v>0.60750000000000004</v>
      </c>
      <c r="L728" s="160"/>
      <c r="P728" s="69"/>
      <c r="AA728" s="155"/>
      <c r="AB728" s="155"/>
    </row>
    <row r="729" spans="1:28" s="25" customFormat="1" outlineLevel="1" x14ac:dyDescent="0.25">
      <c r="A729" s="20"/>
      <c r="E729" s="25" t="s">
        <v>715</v>
      </c>
      <c r="P729" s="69"/>
      <c r="AA729" s="155"/>
      <c r="AB729" s="155"/>
    </row>
    <row r="730" spans="1:28" s="25" customFormat="1" ht="15" outlineLevel="1" x14ac:dyDescent="0.25">
      <c r="A730" s="20"/>
      <c r="C730" s="82" t="s">
        <v>400</v>
      </c>
      <c r="D730" s="36">
        <f>Inputs!C65</f>
        <v>0.8</v>
      </c>
      <c r="E730" s="326">
        <f>IF(ISBLANK(Inputs!C65),"",Inputs!C65)</f>
        <v>0.8</v>
      </c>
      <c r="G730" s="152" t="s">
        <v>373</v>
      </c>
      <c r="H730" s="172" t="s">
        <v>401</v>
      </c>
      <c r="I730" s="173" t="s">
        <v>402</v>
      </c>
      <c r="J730" s="173" t="s">
        <v>403</v>
      </c>
      <c r="K730" s="174" t="s">
        <v>404</v>
      </c>
      <c r="L730" s="174" t="s">
        <v>405</v>
      </c>
      <c r="M730" s="174" t="s">
        <v>406</v>
      </c>
      <c r="N730"/>
      <c r="P730" s="69"/>
      <c r="AA730" s="155"/>
      <c r="AB730" s="155"/>
    </row>
    <row r="731" spans="1:28" s="25" customFormat="1" ht="15" outlineLevel="1" x14ac:dyDescent="0.25">
      <c r="A731" s="20"/>
      <c r="C731" s="82" t="s">
        <v>407</v>
      </c>
      <c r="D731" s="275">
        <f>Inputs!C64</f>
        <v>0.8</v>
      </c>
      <c r="G731" s="157" t="s">
        <v>114</v>
      </c>
      <c r="H731" s="175">
        <f t="shared" ref="H731:H742" si="179">$D$726/$N$22*Q5/$Q$17</f>
        <v>1054.1918772602742</v>
      </c>
      <c r="I731" s="176">
        <f t="shared" ref="I731:I742" ca="1" si="180">AQ5*P5/1000</f>
        <v>54.756597577388959</v>
      </c>
      <c r="J731" s="177">
        <f t="shared" ref="J731:J742" ca="1" si="181">I731*$D$740</f>
        <v>3500.1848091101515</v>
      </c>
      <c r="K731" s="177">
        <f t="shared" ref="K731:K742" ca="1" si="182">J731*$D$738*$D$741</f>
        <v>0</v>
      </c>
      <c r="L731" s="177">
        <f t="shared" ref="L731:L742" si="183">H731/$D$730</f>
        <v>1317.7398465753427</v>
      </c>
      <c r="M731" s="506">
        <f ca="1">MAX((L731-K731)/$D$731,0)</f>
        <v>1647.1748082191782</v>
      </c>
      <c r="N731"/>
      <c r="AA731" s="155"/>
      <c r="AB731" s="155"/>
    </row>
    <row r="732" spans="1:28" s="25" customFormat="1" ht="15" outlineLevel="1" x14ac:dyDescent="0.25">
      <c r="A732" s="20"/>
      <c r="G732" s="158" t="s">
        <v>115</v>
      </c>
      <c r="H732" s="178">
        <f t="shared" si="179"/>
        <v>952.17330849315067</v>
      </c>
      <c r="I732" s="49">
        <f t="shared" ca="1" si="180"/>
        <v>69.813999999999993</v>
      </c>
      <c r="J732" s="50">
        <f t="shared" ca="1" si="181"/>
        <v>4462.6933205236664</v>
      </c>
      <c r="K732" s="50">
        <f t="shared" ca="1" si="182"/>
        <v>0</v>
      </c>
      <c r="L732" s="50">
        <f t="shared" si="183"/>
        <v>1190.2166356164382</v>
      </c>
      <c r="M732" s="50">
        <f t="shared" ref="M732:M742" ca="1" si="184">MAX((L732-K732)/$D$731,0)</f>
        <v>1487.7707945205477</v>
      </c>
      <c r="N732"/>
      <c r="AA732" s="155"/>
      <c r="AB732" s="155"/>
    </row>
    <row r="733" spans="1:28" s="25" customFormat="1" ht="15" outlineLevel="1" x14ac:dyDescent="0.25">
      <c r="A733" s="20"/>
      <c r="G733" s="158" t="s">
        <v>116</v>
      </c>
      <c r="H733" s="178">
        <f t="shared" si="179"/>
        <v>1054.1918772602742</v>
      </c>
      <c r="I733" s="49">
        <f t="shared" ca="1" si="180"/>
        <v>106.645</v>
      </c>
      <c r="J733" s="50">
        <f t="shared" ca="1" si="181"/>
        <v>6817.0270886533717</v>
      </c>
      <c r="K733" s="50">
        <f t="shared" ca="1" si="182"/>
        <v>0</v>
      </c>
      <c r="L733" s="50">
        <f t="shared" si="183"/>
        <v>1317.7398465753427</v>
      </c>
      <c r="M733" s="50">
        <f t="shared" ca="1" si="184"/>
        <v>1647.1748082191782</v>
      </c>
      <c r="N733"/>
      <c r="P733" s="69"/>
      <c r="AA733" s="155"/>
      <c r="AB733" s="155"/>
    </row>
    <row r="734" spans="1:28" s="25" customFormat="1" ht="15" outlineLevel="1" x14ac:dyDescent="0.25">
      <c r="C734" s="20" t="s">
        <v>408</v>
      </c>
      <c r="G734" s="158" t="s">
        <v>117</v>
      </c>
      <c r="H734" s="178">
        <f t="shared" si="179"/>
        <v>1020.1856876712329</v>
      </c>
      <c r="I734" s="49">
        <f t="shared" ca="1" si="180"/>
        <v>131.82400000000001</v>
      </c>
      <c r="J734" s="50">
        <f t="shared" ca="1" si="181"/>
        <v>8426.5345673462634</v>
      </c>
      <c r="K734" s="50">
        <f t="shared" ca="1" si="182"/>
        <v>0</v>
      </c>
      <c r="L734" s="50">
        <f t="shared" si="183"/>
        <v>1275.2321095890411</v>
      </c>
      <c r="M734" s="50">
        <f t="shared" ca="1" si="184"/>
        <v>1594.0401369863014</v>
      </c>
      <c r="N734"/>
      <c r="P734" s="69"/>
      <c r="AA734" s="155"/>
      <c r="AB734" s="155"/>
    </row>
    <row r="735" spans="1:28" s="25" customFormat="1" ht="15" outlineLevel="1" x14ac:dyDescent="0.25">
      <c r="C735" s="25" t="s">
        <v>409</v>
      </c>
      <c r="G735" s="158" t="s">
        <v>118</v>
      </c>
      <c r="H735" s="178">
        <f t="shared" si="179"/>
        <v>1054.1918772602742</v>
      </c>
      <c r="I735" s="49">
        <f t="shared" ca="1" si="180"/>
        <v>185.25200000000001</v>
      </c>
      <c r="J735" s="50">
        <f t="shared" ca="1" si="181"/>
        <v>11841.791947369446</v>
      </c>
      <c r="K735" s="50">
        <f t="shared" ca="1" si="182"/>
        <v>0</v>
      </c>
      <c r="L735" s="50">
        <f t="shared" si="183"/>
        <v>1317.7398465753427</v>
      </c>
      <c r="M735" s="50">
        <f t="shared" ca="1" si="184"/>
        <v>1647.1748082191782</v>
      </c>
      <c r="N735"/>
      <c r="P735" s="69"/>
      <c r="AA735" s="155"/>
      <c r="AB735" s="155"/>
    </row>
    <row r="736" spans="1:28" s="25" customFormat="1" ht="15" outlineLevel="1" x14ac:dyDescent="0.25">
      <c r="C736" s="25" t="s">
        <v>410</v>
      </c>
      <c r="G736" s="158" t="s">
        <v>119</v>
      </c>
      <c r="H736" s="178">
        <f t="shared" si="179"/>
        <v>1020.1856876712329</v>
      </c>
      <c r="I736" s="49">
        <f t="shared" ca="1" si="180"/>
        <v>188.80500000000001</v>
      </c>
      <c r="J736" s="50">
        <f t="shared" ca="1" si="181"/>
        <v>12068.90899220029</v>
      </c>
      <c r="K736" s="50">
        <f t="shared" ca="1" si="182"/>
        <v>0</v>
      </c>
      <c r="L736" s="50">
        <f t="shared" si="183"/>
        <v>1275.2321095890411</v>
      </c>
      <c r="M736" s="50">
        <f t="shared" ca="1" si="184"/>
        <v>1594.0401369863014</v>
      </c>
      <c r="N736"/>
      <c r="P736" s="69"/>
      <c r="AA736" s="155"/>
      <c r="AB736" s="155"/>
    </row>
    <row r="737" spans="1:28" s="25" customFormat="1" ht="15" outlineLevel="1" x14ac:dyDescent="0.25">
      <c r="G737" s="158" t="s">
        <v>120</v>
      </c>
      <c r="H737" s="178">
        <f t="shared" si="179"/>
        <v>1054.1918772602742</v>
      </c>
      <c r="I737" s="49">
        <f t="shared" ca="1" si="180"/>
        <v>191.48</v>
      </c>
      <c r="J737" s="50">
        <f t="shared" ca="1" si="181"/>
        <v>12239.901982609101</v>
      </c>
      <c r="K737" s="50">
        <f t="shared" ca="1" si="182"/>
        <v>0</v>
      </c>
      <c r="L737" s="50">
        <f t="shared" si="183"/>
        <v>1317.7398465753427</v>
      </c>
      <c r="M737" s="50">
        <f t="shared" ca="1" si="184"/>
        <v>1647.1748082191782</v>
      </c>
      <c r="N737"/>
      <c r="P737" s="69"/>
      <c r="AA737" s="155"/>
      <c r="AB737" s="155"/>
    </row>
    <row r="738" spans="1:28" s="25" customFormat="1" ht="15" outlineLevel="1" x14ac:dyDescent="0.25">
      <c r="C738" s="82" t="s">
        <v>411</v>
      </c>
      <c r="D738" s="28">
        <v>0</v>
      </c>
      <c r="F738" s="36"/>
      <c r="G738" s="158" t="s">
        <v>121</v>
      </c>
      <c r="H738" s="178">
        <f t="shared" si="179"/>
        <v>1054.1918772602742</v>
      </c>
      <c r="I738" s="49">
        <f t="shared" ca="1" si="180"/>
        <v>160.00399999999999</v>
      </c>
      <c r="J738" s="50">
        <f t="shared" ca="1" si="181"/>
        <v>10227.873808363205</v>
      </c>
      <c r="K738" s="50">
        <f t="shared" ca="1" si="182"/>
        <v>0</v>
      </c>
      <c r="L738" s="50">
        <f t="shared" si="183"/>
        <v>1317.7398465753427</v>
      </c>
      <c r="M738" s="50">
        <f t="shared" ca="1" si="184"/>
        <v>1647.1748082191782</v>
      </c>
      <c r="N738"/>
      <c r="P738" s="69"/>
      <c r="AA738" s="155"/>
      <c r="AB738" s="155"/>
    </row>
    <row r="739" spans="1:28" s="25" customFormat="1" ht="15" outlineLevel="1" x14ac:dyDescent="0.25">
      <c r="D739" s="25">
        <v>12</v>
      </c>
      <c r="G739" s="158" t="s">
        <v>122</v>
      </c>
      <c r="H739" s="178">
        <f t="shared" si="179"/>
        <v>1020.1856876712329</v>
      </c>
      <c r="I739" s="49">
        <f t="shared" ca="1" si="180"/>
        <v>125.779</v>
      </c>
      <c r="J739" s="50">
        <f t="shared" ca="1" si="181"/>
        <v>8040.1223703289643</v>
      </c>
      <c r="K739" s="50">
        <f t="shared" ca="1" si="182"/>
        <v>0</v>
      </c>
      <c r="L739" s="50">
        <f t="shared" si="183"/>
        <v>1275.2321095890411</v>
      </c>
      <c r="M739" s="50">
        <f t="shared" ca="1" si="184"/>
        <v>1594.0401369863014</v>
      </c>
      <c r="N739"/>
      <c r="P739" s="69"/>
      <c r="AA739" s="155"/>
      <c r="AB739" s="155"/>
    </row>
    <row r="740" spans="1:28" s="25" customFormat="1" ht="15" outlineLevel="1" x14ac:dyDescent="0.25">
      <c r="C740" s="62" t="s">
        <v>412</v>
      </c>
      <c r="D740" s="179">
        <f ca="1">OFFSET(R765,D739,0,1,1)</f>
        <v>63.922613236939114</v>
      </c>
      <c r="G740" s="158" t="s">
        <v>123</v>
      </c>
      <c r="H740" s="178">
        <f t="shared" si="179"/>
        <v>1054.1918772602742</v>
      </c>
      <c r="I740" s="49">
        <f t="shared" ca="1" si="180"/>
        <v>91.177000000000007</v>
      </c>
      <c r="J740" s="50">
        <f t="shared" ca="1" si="181"/>
        <v>5828.2721071043979</v>
      </c>
      <c r="K740" s="50">
        <f t="shared" ca="1" si="182"/>
        <v>0</v>
      </c>
      <c r="L740" s="50">
        <f t="shared" si="183"/>
        <v>1317.7398465753427</v>
      </c>
      <c r="M740" s="50">
        <f t="shared" ca="1" si="184"/>
        <v>1647.1748082191782</v>
      </c>
      <c r="N740"/>
      <c r="P740" s="69"/>
      <c r="AA740" s="155"/>
      <c r="AB740" s="155"/>
    </row>
    <row r="741" spans="1:28" s="25" customFormat="1" ht="15" outlineLevel="1" x14ac:dyDescent="0.25">
      <c r="C741" s="82" t="s">
        <v>413</v>
      </c>
      <c r="D741" s="180">
        <v>0.5</v>
      </c>
      <c r="E741" s="25" t="s">
        <v>414</v>
      </c>
      <c r="G741" s="158" t="s">
        <v>124</v>
      </c>
      <c r="H741" s="178">
        <f t="shared" si="179"/>
        <v>1020.1856876712329</v>
      </c>
      <c r="I741" s="49">
        <f t="shared" ca="1" si="180"/>
        <v>54.558999999999997</v>
      </c>
      <c r="J741" s="50">
        <f t="shared" ca="1" si="181"/>
        <v>3487.5538555941607</v>
      </c>
      <c r="K741" s="50">
        <f t="shared" ca="1" si="182"/>
        <v>0</v>
      </c>
      <c r="L741" s="50">
        <f t="shared" si="183"/>
        <v>1275.2321095890411</v>
      </c>
      <c r="M741" s="50">
        <f t="shared" ca="1" si="184"/>
        <v>1594.0401369863014</v>
      </c>
      <c r="N741"/>
      <c r="P741" s="69"/>
      <c r="AA741" s="155"/>
      <c r="AB741" s="155"/>
    </row>
    <row r="742" spans="1:28" s="25" customFormat="1" ht="15" outlineLevel="1" x14ac:dyDescent="0.25">
      <c r="G742" s="159" t="s">
        <v>125</v>
      </c>
      <c r="H742" s="181">
        <f t="shared" si="179"/>
        <v>1054.1918772602742</v>
      </c>
      <c r="I742" s="182">
        <f t="shared" ca="1" si="180"/>
        <v>46.561417449664425</v>
      </c>
      <c r="J742" s="183">
        <f t="shared" ca="1" si="181"/>
        <v>2976.327479398567</v>
      </c>
      <c r="K742" s="183">
        <f t="shared" ca="1" si="182"/>
        <v>0</v>
      </c>
      <c r="L742" s="183">
        <f t="shared" si="183"/>
        <v>1317.7398465753427</v>
      </c>
      <c r="M742" s="183">
        <f t="shared" ca="1" si="184"/>
        <v>1647.1748082191782</v>
      </c>
      <c r="N742"/>
      <c r="P742" s="69"/>
      <c r="AA742" s="155"/>
      <c r="AB742" s="155"/>
    </row>
    <row r="743" spans="1:28" s="25" customFormat="1" ht="15" outlineLevel="1" x14ac:dyDescent="0.25">
      <c r="F743" s="62"/>
      <c r="G743" s="184" t="s">
        <v>178</v>
      </c>
      <c r="H743" s="185">
        <f t="shared" ref="H743:M743" si="185">SUM(H731:H742)</f>
        <v>12412.259200000004</v>
      </c>
      <c r="I743" s="50">
        <f t="shared" ca="1" si="185"/>
        <v>1406.6570150270534</v>
      </c>
      <c r="J743" s="50">
        <f t="shared" ca="1" si="185"/>
        <v>89917.192328601566</v>
      </c>
      <c r="K743" s="50">
        <f t="shared" ca="1" si="185"/>
        <v>0</v>
      </c>
      <c r="L743" s="50">
        <f t="shared" si="185"/>
        <v>15515.324000000001</v>
      </c>
      <c r="M743" s="50">
        <f t="shared" ca="1" si="185"/>
        <v>19394.155000000002</v>
      </c>
      <c r="N743"/>
      <c r="P743" s="21"/>
      <c r="AA743" s="155"/>
      <c r="AB743" s="155"/>
    </row>
    <row r="744" spans="1:28" s="136" customFormat="1" ht="13.5" thickBot="1" x14ac:dyDescent="0.3">
      <c r="AA744" s="186"/>
      <c r="AB744" s="186"/>
    </row>
    <row r="745" spans="1:28" s="18" customFormat="1" x14ac:dyDescent="0.25">
      <c r="A745" s="17" t="s">
        <v>104</v>
      </c>
      <c r="AA745" s="141"/>
      <c r="AB745" s="141"/>
    </row>
    <row r="746" spans="1:28" s="18" customFormat="1" ht="15" outlineLevel="1" x14ac:dyDescent="0.25">
      <c r="A746" s="17"/>
      <c r="C746"/>
      <c r="D746"/>
      <c r="G746" s="82" t="s">
        <v>373</v>
      </c>
      <c r="H746" s="193" t="s">
        <v>683</v>
      </c>
      <c r="I746" s="193" t="s">
        <v>684</v>
      </c>
      <c r="AA746" s="141"/>
      <c r="AB746" s="141"/>
    </row>
    <row r="747" spans="1:28" s="18" customFormat="1" outlineLevel="1" x14ac:dyDescent="0.25">
      <c r="A747" s="17"/>
      <c r="C747" s="18" t="s">
        <v>680</v>
      </c>
      <c r="D747" s="18" t="s">
        <v>679</v>
      </c>
      <c r="E747" s="18" t="s">
        <v>94</v>
      </c>
      <c r="G747" s="82" t="s">
        <v>114</v>
      </c>
      <c r="H747" s="838">
        <f t="shared" ref="H747:H758" si="186">$C$750*P5/1000</f>
        <v>4.0265014285714287</v>
      </c>
      <c r="I747" s="839">
        <f t="shared" ref="I747:I758" si="187">$D$750*P5/1000</f>
        <v>0.80909999999999993</v>
      </c>
      <c r="AA747" s="141"/>
      <c r="AB747" s="141"/>
    </row>
    <row r="748" spans="1:28" s="18" customFormat="1" outlineLevel="1" x14ac:dyDescent="0.25">
      <c r="A748" s="17"/>
      <c r="B748" s="18" t="s">
        <v>18</v>
      </c>
      <c r="C748" s="286">
        <f>Inputs!C27</f>
        <v>9.9</v>
      </c>
      <c r="D748" s="286">
        <f>Inputs!C29</f>
        <v>4.0599999999999996</v>
      </c>
      <c r="E748" s="287">
        <f>E18</f>
        <v>0.26785714285714285</v>
      </c>
      <c r="G748" s="82" t="s">
        <v>115</v>
      </c>
      <c r="H748" s="838">
        <f t="shared" si="186"/>
        <v>3.6368400000000003</v>
      </c>
      <c r="I748" s="839">
        <f t="shared" si="187"/>
        <v>0.73080000000000001</v>
      </c>
      <c r="AA748" s="141"/>
      <c r="AB748" s="141"/>
    </row>
    <row r="749" spans="1:28" s="18" customFormat="1" outlineLevel="1" x14ac:dyDescent="0.25">
      <c r="A749" s="17"/>
      <c r="B749" s="18" t="s">
        <v>20</v>
      </c>
      <c r="C749" s="286">
        <f>Inputs!C28</f>
        <v>3.77</v>
      </c>
      <c r="D749" s="286">
        <f>Inputs!C30</f>
        <v>0</v>
      </c>
      <c r="E749" s="287">
        <f>1-E748</f>
        <v>0.73214285714285721</v>
      </c>
      <c r="G749" s="82" t="s">
        <v>116</v>
      </c>
      <c r="H749" s="838">
        <f t="shared" si="186"/>
        <v>4.0265014285714287</v>
      </c>
      <c r="I749" s="839">
        <f t="shared" si="187"/>
        <v>0.80909999999999993</v>
      </c>
      <c r="AA749" s="141"/>
      <c r="AB749" s="141"/>
    </row>
    <row r="750" spans="1:28" s="18" customFormat="1" outlineLevel="1" x14ac:dyDescent="0.25">
      <c r="A750" s="17"/>
      <c r="B750" s="18" t="s">
        <v>681</v>
      </c>
      <c r="C750" s="837">
        <f>SUMPRODUCT(C748:C749,$E$748:$E$749)</f>
        <v>5.4119642857142862</v>
      </c>
      <c r="D750" s="837">
        <f>SUMPRODUCT(D748:D749,$E$748:$E$749)</f>
        <v>1.0874999999999999</v>
      </c>
      <c r="G750" s="82" t="s">
        <v>117</v>
      </c>
      <c r="H750" s="838">
        <f t="shared" si="186"/>
        <v>3.896614285714286</v>
      </c>
      <c r="I750" s="839">
        <f t="shared" si="187"/>
        <v>0.78299999999999992</v>
      </c>
      <c r="AA750" s="141"/>
      <c r="AB750" s="141"/>
    </row>
    <row r="751" spans="1:28" s="18" customFormat="1" outlineLevel="1" x14ac:dyDescent="0.25">
      <c r="A751" s="17"/>
      <c r="G751" s="82" t="s">
        <v>118</v>
      </c>
      <c r="H751" s="838">
        <f t="shared" si="186"/>
        <v>4.0265014285714287</v>
      </c>
      <c r="I751" s="839">
        <f t="shared" si="187"/>
        <v>0.80909999999999993</v>
      </c>
      <c r="AA751" s="141"/>
      <c r="AB751" s="141"/>
    </row>
    <row r="752" spans="1:28" s="18" customFormat="1" outlineLevel="1" x14ac:dyDescent="0.25">
      <c r="A752" s="17"/>
      <c r="G752" s="82" t="s">
        <v>119</v>
      </c>
      <c r="H752" s="838">
        <f t="shared" si="186"/>
        <v>3.896614285714286</v>
      </c>
      <c r="I752" s="839">
        <f t="shared" si="187"/>
        <v>0.78299999999999992</v>
      </c>
      <c r="AA752" s="141"/>
      <c r="AB752" s="141"/>
    </row>
    <row r="753" spans="1:44" s="18" customFormat="1" outlineLevel="1" x14ac:dyDescent="0.25">
      <c r="A753" s="17"/>
      <c r="G753" s="82" t="s">
        <v>120</v>
      </c>
      <c r="H753" s="838">
        <f t="shared" si="186"/>
        <v>4.0265014285714287</v>
      </c>
      <c r="I753" s="839">
        <f t="shared" si="187"/>
        <v>0.80909999999999993</v>
      </c>
      <c r="AA753" s="141"/>
      <c r="AB753" s="141"/>
    </row>
    <row r="754" spans="1:44" s="18" customFormat="1" outlineLevel="1" x14ac:dyDescent="0.25">
      <c r="A754" s="17"/>
      <c r="G754" s="82" t="s">
        <v>121</v>
      </c>
      <c r="H754" s="838">
        <f t="shared" si="186"/>
        <v>4.0265014285714287</v>
      </c>
      <c r="I754" s="839">
        <f t="shared" si="187"/>
        <v>0.80909999999999993</v>
      </c>
      <c r="AA754" s="141"/>
      <c r="AB754" s="141"/>
    </row>
    <row r="755" spans="1:44" s="18" customFormat="1" outlineLevel="1" x14ac:dyDescent="0.25">
      <c r="A755" s="17"/>
      <c r="G755" s="82" t="s">
        <v>122</v>
      </c>
      <c r="H755" s="838">
        <f t="shared" si="186"/>
        <v>3.896614285714286</v>
      </c>
      <c r="I755" s="839">
        <f t="shared" si="187"/>
        <v>0.78299999999999992</v>
      </c>
      <c r="AA755" s="141"/>
      <c r="AB755" s="141"/>
    </row>
    <row r="756" spans="1:44" s="18" customFormat="1" outlineLevel="1" x14ac:dyDescent="0.25">
      <c r="A756" s="17"/>
      <c r="G756" s="82" t="s">
        <v>123</v>
      </c>
      <c r="H756" s="838">
        <f t="shared" si="186"/>
        <v>4.0265014285714287</v>
      </c>
      <c r="I756" s="839">
        <f t="shared" si="187"/>
        <v>0.80909999999999993</v>
      </c>
      <c r="AA756" s="141"/>
      <c r="AB756" s="141"/>
    </row>
    <row r="757" spans="1:44" s="18" customFormat="1" outlineLevel="1" x14ac:dyDescent="0.25">
      <c r="A757" s="17"/>
      <c r="G757" s="82" t="s">
        <v>124</v>
      </c>
      <c r="H757" s="838">
        <f t="shared" si="186"/>
        <v>3.896614285714286</v>
      </c>
      <c r="I757" s="839">
        <f t="shared" si="187"/>
        <v>0.78299999999999992</v>
      </c>
      <c r="AA757" s="141"/>
      <c r="AB757" s="141"/>
    </row>
    <row r="758" spans="1:44" s="18" customFormat="1" outlineLevel="1" x14ac:dyDescent="0.25">
      <c r="A758" s="17"/>
      <c r="G758" s="82" t="s">
        <v>125</v>
      </c>
      <c r="H758" s="838">
        <f t="shared" si="186"/>
        <v>4.0265014285714287</v>
      </c>
      <c r="I758" s="839">
        <f t="shared" si="187"/>
        <v>0.80909999999999993</v>
      </c>
      <c r="AA758" s="141"/>
      <c r="AB758" s="141"/>
    </row>
    <row r="759" spans="1:44" s="18" customFormat="1" outlineLevel="1" x14ac:dyDescent="0.25">
      <c r="A759" s="17"/>
      <c r="G759" s="62" t="s">
        <v>178</v>
      </c>
      <c r="H759" s="185">
        <f>SUM(H747:H758)</f>
        <v>47.408807142857142</v>
      </c>
      <c r="I759" s="185">
        <f>SUM(I747:I758)</f>
        <v>9.5264999999999986</v>
      </c>
      <c r="AA759" s="141"/>
      <c r="AB759" s="141"/>
    </row>
    <row r="760" spans="1:44" s="18" customFormat="1" outlineLevel="1" x14ac:dyDescent="0.25">
      <c r="A760" s="17"/>
      <c r="AA760" s="141"/>
      <c r="AB760" s="141"/>
    </row>
    <row r="761" spans="1:44" s="18" customFormat="1" outlineLevel="1" x14ac:dyDescent="0.25">
      <c r="A761" s="17"/>
      <c r="AA761" s="141"/>
      <c r="AB761" s="141"/>
    </row>
    <row r="762" spans="1:44" s="139" customFormat="1" ht="13.5" thickBot="1" x14ac:dyDescent="0.3">
      <c r="C762" s="138"/>
      <c r="D762" s="148"/>
      <c r="H762" s="138"/>
      <c r="AA762" s="154"/>
      <c r="AB762" s="154"/>
    </row>
    <row r="763" spans="1:44" s="25" customFormat="1" x14ac:dyDescent="0.25">
      <c r="A763" s="20" t="s">
        <v>665</v>
      </c>
      <c r="C763" s="82"/>
      <c r="D763" s="82"/>
      <c r="E763" s="36"/>
      <c r="F763" s="36"/>
      <c r="G763" s="36"/>
      <c r="H763" s="36"/>
      <c r="I763" s="36"/>
      <c r="J763" s="36"/>
      <c r="K763" s="36"/>
      <c r="L763" s="36"/>
      <c r="AA763" s="155"/>
      <c r="AB763" s="155"/>
    </row>
    <row r="764" spans="1:44" s="25" customFormat="1" outlineLevel="1" x14ac:dyDescent="0.25">
      <c r="C764" s="82"/>
      <c r="D764" s="82"/>
      <c r="E764" s="36"/>
      <c r="K764" s="36"/>
      <c r="L764" s="438"/>
      <c r="M764" s="438"/>
      <c r="N764" s="438">
        <v>0</v>
      </c>
      <c r="O764" s="438">
        <v>30</v>
      </c>
      <c r="P764" s="438">
        <v>30</v>
      </c>
      <c r="Q764" s="438">
        <v>30</v>
      </c>
      <c r="R764" s="438">
        <v>30</v>
      </c>
      <c r="S764" s="438">
        <v>30</v>
      </c>
      <c r="T764" s="438">
        <v>45</v>
      </c>
      <c r="U764" s="438">
        <v>45</v>
      </c>
      <c r="V764" s="438">
        <v>45</v>
      </c>
      <c r="W764" s="438">
        <v>45</v>
      </c>
      <c r="X764" s="438">
        <v>45</v>
      </c>
      <c r="Y764" s="191">
        <v>60</v>
      </c>
      <c r="Z764" s="191">
        <v>60</v>
      </c>
      <c r="AA764" s="191">
        <v>60</v>
      </c>
      <c r="AB764" s="191">
        <v>60</v>
      </c>
      <c r="AC764" s="191">
        <v>60</v>
      </c>
      <c r="AD764" s="191">
        <v>90</v>
      </c>
      <c r="AE764" s="191">
        <v>90</v>
      </c>
      <c r="AF764" s="191">
        <v>90</v>
      </c>
      <c r="AG764" s="191">
        <v>90</v>
      </c>
      <c r="AH764" s="191">
        <v>90</v>
      </c>
    </row>
    <row r="765" spans="1:44" s="25" customFormat="1" outlineLevel="1" x14ac:dyDescent="0.25">
      <c r="A765" s="20" t="s">
        <v>417</v>
      </c>
      <c r="C765" s="82"/>
      <c r="D765" s="82"/>
      <c r="E765" s="36"/>
      <c r="M765" s="438"/>
      <c r="N765" s="67"/>
      <c r="O765" s="67" t="s">
        <v>424</v>
      </c>
      <c r="P765" s="67" t="s">
        <v>924</v>
      </c>
      <c r="Q765" s="67" t="s">
        <v>425</v>
      </c>
      <c r="R765" s="122" t="s">
        <v>423</v>
      </c>
      <c r="S765" s="122" t="s">
        <v>925</v>
      </c>
      <c r="T765" s="67" t="s">
        <v>424</v>
      </c>
      <c r="U765" s="67" t="s">
        <v>924</v>
      </c>
      <c r="V765" s="67" t="s">
        <v>425</v>
      </c>
      <c r="W765" s="122" t="s">
        <v>423</v>
      </c>
      <c r="X765" s="122" t="s">
        <v>925</v>
      </c>
      <c r="Y765" s="67" t="s">
        <v>424</v>
      </c>
      <c r="Z765" s="67" t="s">
        <v>924</v>
      </c>
      <c r="AA765" s="67" t="s">
        <v>425</v>
      </c>
      <c r="AB765" s="122" t="s">
        <v>423</v>
      </c>
      <c r="AC765" s="122" t="s">
        <v>925</v>
      </c>
      <c r="AD765" s="67" t="s">
        <v>424</v>
      </c>
      <c r="AE765" s="67" t="s">
        <v>924</v>
      </c>
      <c r="AF765" s="67" t="s">
        <v>425</v>
      </c>
      <c r="AG765" s="122" t="s">
        <v>423</v>
      </c>
      <c r="AH765" s="122" t="s">
        <v>925</v>
      </c>
      <c r="AL765" s="67" t="s">
        <v>923</v>
      </c>
      <c r="AO765" s="82" t="s">
        <v>373</v>
      </c>
      <c r="AP765" s="28" t="s">
        <v>402</v>
      </c>
      <c r="AQ765" s="67" t="s">
        <v>415</v>
      </c>
      <c r="AR765" s="67" t="s">
        <v>416</v>
      </c>
    </row>
    <row r="766" spans="1:44" s="25" customFormat="1" outlineLevel="1" x14ac:dyDescent="0.25">
      <c r="B766" s="20" t="s">
        <v>418</v>
      </c>
      <c r="C766" s="82" t="s">
        <v>419</v>
      </c>
      <c r="D766" s="474">
        <v>0</v>
      </c>
      <c r="E766" s="36"/>
      <c r="M766" s="438"/>
      <c r="N766" s="191">
        <f>Weather!BM12</f>
        <v>68.788694481830419</v>
      </c>
      <c r="O766" s="191">
        <f>Weather!BN12</f>
        <v>112.89561096046027</v>
      </c>
      <c r="P766" s="191">
        <f>Weather!BO12</f>
        <v>71.700889034456807</v>
      </c>
      <c r="Q766" s="191">
        <f>Weather!BP12</f>
        <v>84.085518543794137</v>
      </c>
      <c r="R766" s="191">
        <f>Weather!BQ12</f>
        <v>55.763493341574836</v>
      </c>
      <c r="S766" s="191">
        <f>Weather!BR12</f>
        <v>79.649203799421542</v>
      </c>
      <c r="T766" s="191">
        <f>Weather!BS12</f>
        <v>127.78141522381902</v>
      </c>
      <c r="U766" s="191">
        <f>Weather!BT12</f>
        <v>81.282123763587109</v>
      </c>
      <c r="V766" s="191">
        <f>Weather!BU12</f>
        <v>82.197748167060936</v>
      </c>
      <c r="W766" s="191">
        <f>Weather!BV12</f>
        <v>55.265117063393944</v>
      </c>
      <c r="X766" s="191">
        <f>Weather!BW12</f>
        <v>87.792073665007806</v>
      </c>
      <c r="Y766" s="191">
        <f>Weather!BX12</f>
        <v>134.02064416418094</v>
      </c>
      <c r="Z766" s="191">
        <f>Weather!BY12</f>
        <v>87.002713754511007</v>
      </c>
      <c r="AA766" s="191">
        <f>Weather!BZ12</f>
        <v>73.454174903126344</v>
      </c>
      <c r="AB766" s="191">
        <f>Weather!CA12</f>
        <v>55.470793787997401</v>
      </c>
      <c r="AC766" s="191">
        <f>Weather!CB12</f>
        <v>96.117395516074581</v>
      </c>
      <c r="AD766" s="191">
        <f>Weather!CC12</f>
        <v>114.69922519886124</v>
      </c>
      <c r="AE766" s="191">
        <f>Weather!CD12</f>
        <v>81.355152637125911</v>
      </c>
      <c r="AF766" s="191">
        <f>Weather!CE12</f>
        <v>25.832163649277113</v>
      </c>
      <c r="AG766" s="191">
        <f>Weather!CF12</f>
        <v>55.202020156444291</v>
      </c>
      <c r="AH766" s="191">
        <f>Weather!CG12</f>
        <v>98.278194347698857</v>
      </c>
      <c r="AL766" s="191">
        <f>IF(Inputs!$D$122=0,N766,SUMIFS($O766:$AH766,$O$764:$AH$764,Inputs!$D$122,$O$765:$AH$765,Inputs!#REF!))</f>
        <v>68.788694481830419</v>
      </c>
      <c r="AO766" s="82" t="s">
        <v>114</v>
      </c>
      <c r="AP766" s="49">
        <f t="shared" ref="AP766:AP777" si="188">AL766*P5/1000</f>
        <v>51.178788694481831</v>
      </c>
      <c r="AQ766" s="50">
        <f>AP766*$D$772*$D$770</f>
        <v>0</v>
      </c>
      <c r="AR766" s="50">
        <f t="shared" ref="AR766:AR777" si="189">AQ766*$N$22</f>
        <v>0</v>
      </c>
    </row>
    <row r="767" spans="1:44" s="25" customFormat="1" outlineLevel="1" x14ac:dyDescent="0.25">
      <c r="C767" s="62"/>
      <c r="D767" s="187"/>
      <c r="E767" s="36"/>
      <c r="M767" s="438"/>
      <c r="N767" s="191">
        <f>Weather!BM13</f>
        <v>93.160714285714292</v>
      </c>
      <c r="O767" s="191">
        <f>Weather!BN13</f>
        <v>143.49392496804401</v>
      </c>
      <c r="P767" s="191">
        <f>Weather!BO13</f>
        <v>79.095588373543208</v>
      </c>
      <c r="Q767" s="191">
        <f>Weather!BP13</f>
        <v>107.81916991628458</v>
      </c>
      <c r="R767" s="191">
        <f>Weather!BQ13</f>
        <v>85.305292374467285</v>
      </c>
      <c r="S767" s="191">
        <f>Weather!BR13</f>
        <v>105.09744569071083</v>
      </c>
      <c r="T767" s="191">
        <f>Weather!BS13</f>
        <v>158.34128312342131</v>
      </c>
      <c r="U767" s="191">
        <f>Weather!BT13</f>
        <v>90.289236061479585</v>
      </c>
      <c r="V767" s="191">
        <f>Weather!BU13</f>
        <v>105.81468183844783</v>
      </c>
      <c r="W767" s="191">
        <f>Weather!BV13</f>
        <v>88.391238048128599</v>
      </c>
      <c r="X767" s="191">
        <f>Weather!BW13</f>
        <v>113.67103678725938</v>
      </c>
      <c r="Y767" s="191">
        <f>Weather!BX13</f>
        <v>161.91667309630341</v>
      </c>
      <c r="Z767" s="191">
        <f>Weather!BY13</f>
        <v>98.704980768044351</v>
      </c>
      <c r="AA767" s="191">
        <f>Weather!BZ13</f>
        <v>95.414522693518464</v>
      </c>
      <c r="AB767" s="191">
        <f>Weather!CA13</f>
        <v>87.221402071845631</v>
      </c>
      <c r="AC767" s="191">
        <f>Weather!CB13</f>
        <v>120.78039228666061</v>
      </c>
      <c r="AD767" s="191">
        <f>Weather!CC13</f>
        <v>130.88257960385877</v>
      </c>
      <c r="AE767" s="191">
        <f>Weather!CD13</f>
        <v>96.819229425920625</v>
      </c>
      <c r="AF767" s="191">
        <f>Weather!CE13</f>
        <v>34.68883799465226</v>
      </c>
      <c r="AG767" s="191">
        <f>Weather!CF13</f>
        <v>71.622227887505488</v>
      </c>
      <c r="AH767" s="191">
        <f>Weather!CG13</f>
        <v>114.76222018468711</v>
      </c>
      <c r="AL767" s="191">
        <f>IF(Inputs!$D$122=0,N767,SUMIFS($O767:$AH767,$O$764:$AH$764,Inputs!$D$122,$O$765:$AH$765,Inputs!#REF!))</f>
        <v>93.160714285714292</v>
      </c>
      <c r="AO767" s="82" t="s">
        <v>115</v>
      </c>
      <c r="AP767" s="49">
        <f t="shared" si="188"/>
        <v>62.604000000000006</v>
      </c>
      <c r="AQ767" s="50">
        <f t="shared" ref="AQ767:AQ777" si="190">AP767*$D$772*$D$770</f>
        <v>0</v>
      </c>
      <c r="AR767" s="50">
        <f t="shared" si="189"/>
        <v>0</v>
      </c>
    </row>
    <row r="768" spans="1:44" s="25" customFormat="1" outlineLevel="1" x14ac:dyDescent="0.25">
      <c r="C768" s="62" t="s">
        <v>420</v>
      </c>
      <c r="D768" s="473">
        <f>Inputs!D123</f>
        <v>0</v>
      </c>
      <c r="E768" s="160"/>
      <c r="M768" s="438"/>
      <c r="N768" s="191">
        <f>Weather!BM14</f>
        <v>125.11155913978494</v>
      </c>
      <c r="O768" s="191">
        <f>Weather!BN14</f>
        <v>176.05940090462522</v>
      </c>
      <c r="P768" s="191">
        <f>Weather!BO14</f>
        <v>97.173243607972665</v>
      </c>
      <c r="Q768" s="191">
        <f>Weather!BP14</f>
        <v>135.32240951873254</v>
      </c>
      <c r="R768" s="191">
        <f>Weather!BQ14</f>
        <v>106.65736886601407</v>
      </c>
      <c r="S768" s="191">
        <f>Weather!BR14</f>
        <v>126.57987842274045</v>
      </c>
      <c r="T768" s="191">
        <f>Weather!BS14</f>
        <v>186.524960534927</v>
      </c>
      <c r="U768" s="191">
        <f>Weather!BT14</f>
        <v>105.02766133687987</v>
      </c>
      <c r="V768" s="191">
        <f>Weather!BU14</f>
        <v>135.26259862324378</v>
      </c>
      <c r="W768" s="191">
        <f>Weather!BV14</f>
        <v>109.61394544899051</v>
      </c>
      <c r="X768" s="191">
        <f>Weather!BW14</f>
        <v>133.19821558948789</v>
      </c>
      <c r="Y768" s="191">
        <f>Weather!BX14</f>
        <v>182.52332364307563</v>
      </c>
      <c r="Z768" s="191">
        <f>Weather!BY14</f>
        <v>113.69921263552628</v>
      </c>
      <c r="AA768" s="191">
        <f>Weather!BZ14</f>
        <v>124.71667885778682</v>
      </c>
      <c r="AB768" s="191">
        <f>Weather!CA14</f>
        <v>106.98952299091378</v>
      </c>
      <c r="AC768" s="191">
        <f>Weather!CB14</f>
        <v>134.8065128017642</v>
      </c>
      <c r="AD768" s="191">
        <f>Weather!CC14</f>
        <v>130.6444401084502</v>
      </c>
      <c r="AE768" s="191">
        <f>Weather!CD14</f>
        <v>111.5446343921783</v>
      </c>
      <c r="AF768" s="191">
        <f>Weather!CE14</f>
        <v>51.389989304473758</v>
      </c>
      <c r="AG768" s="191">
        <f>Weather!CF14</f>
        <v>85.927379200388145</v>
      </c>
      <c r="AH768" s="191">
        <f>Weather!CG14</f>
        <v>117.95321472658328</v>
      </c>
      <c r="AL768" s="191">
        <f>IF(Inputs!$D$122=0,N768,SUMIFS($O768:$AH768,$O$764:$AH$764,Inputs!$D$122,$O$765:$AH$765,Inputs!#REF!))</f>
        <v>125.11155913978494</v>
      </c>
      <c r="AO768" s="82" t="s">
        <v>116</v>
      </c>
      <c r="AP768" s="49">
        <f t="shared" si="188"/>
        <v>93.082999999999998</v>
      </c>
      <c r="AQ768" s="50">
        <f t="shared" si="190"/>
        <v>0</v>
      </c>
      <c r="AR768" s="50">
        <f t="shared" si="189"/>
        <v>0</v>
      </c>
    </row>
    <row r="769" spans="1:69" s="25" customFormat="1" outlineLevel="1" x14ac:dyDescent="0.25">
      <c r="C769" s="82"/>
      <c r="D769" s="187"/>
      <c r="E769" s="36"/>
      <c r="M769" s="438"/>
      <c r="N769" s="191">
        <f>Weather!BM15</f>
        <v>169.39583333333334</v>
      </c>
      <c r="O769" s="191">
        <f>Weather!BN15</f>
        <v>211.66491390184129</v>
      </c>
      <c r="P769" s="191">
        <f>Weather!BO15</f>
        <v>108.46460442622637</v>
      </c>
      <c r="Q769" s="191">
        <f>Weather!BP15</f>
        <v>150.07080115637166</v>
      </c>
      <c r="R769" s="191">
        <f>Weather!BQ15</f>
        <v>131.00786847789985</v>
      </c>
      <c r="S769" s="191">
        <f>Weather!BR15</f>
        <v>147.25073491093306</v>
      </c>
      <c r="T769" s="191">
        <f>Weather!BS15</f>
        <v>213.03506995860639</v>
      </c>
      <c r="U769" s="191">
        <f>Weather!BT15</f>
        <v>109.57145778809128</v>
      </c>
      <c r="V769" s="191">
        <f>Weather!BU15</f>
        <v>153.98809987488738</v>
      </c>
      <c r="W769" s="191">
        <f>Weather!BV15</f>
        <v>136.123394857405</v>
      </c>
      <c r="X769" s="191">
        <f>Weather!BW15</f>
        <v>151.49736222845232</v>
      </c>
      <c r="Y769" s="191">
        <f>Weather!BX15</f>
        <v>196.91931839209272</v>
      </c>
      <c r="Z769" s="191">
        <f>Weather!BY15</f>
        <v>116.41012725226884</v>
      </c>
      <c r="AA769" s="191">
        <f>Weather!BZ15</f>
        <v>146.59542831549768</v>
      </c>
      <c r="AB769" s="191">
        <f>Weather!CA15</f>
        <v>136.01580250295308</v>
      </c>
      <c r="AC769" s="191">
        <f>Weather!CB15</f>
        <v>148.91208984404059</v>
      </c>
      <c r="AD769" s="191">
        <f>Weather!CC15</f>
        <v>118.91004799126802</v>
      </c>
      <c r="AE769" s="191">
        <f>Weather!CD15</f>
        <v>118.28329324207076</v>
      </c>
      <c r="AF769" s="191">
        <f>Weather!CE15</f>
        <v>80.682471533645966</v>
      </c>
      <c r="AG769" s="191">
        <f>Weather!CF15</f>
        <v>116.14680031468548</v>
      </c>
      <c r="AH769" s="191">
        <f>Weather!CG15</f>
        <v>126.81782648279285</v>
      </c>
      <c r="AL769" s="191">
        <f>IF(Inputs!$D$122=0,N769,SUMIFS($O769:$AH769,$O$764:$AH$764,Inputs!$D$122,$O$765:$AH$765,Inputs!#REF!))</f>
        <v>169.39583333333334</v>
      </c>
      <c r="AO769" s="82" t="s">
        <v>117</v>
      </c>
      <c r="AP769" s="49">
        <f t="shared" si="188"/>
        <v>121.965</v>
      </c>
      <c r="AQ769" s="50">
        <f t="shared" si="190"/>
        <v>0</v>
      </c>
      <c r="AR769" s="50">
        <f t="shared" si="189"/>
        <v>0</v>
      </c>
    </row>
    <row r="770" spans="1:69" s="25" customFormat="1" outlineLevel="1" x14ac:dyDescent="0.25">
      <c r="C770" s="62" t="s">
        <v>421</v>
      </c>
      <c r="D770" s="473">
        <f>Inputs!D124</f>
        <v>0</v>
      </c>
      <c r="E770" s="36"/>
      <c r="M770" s="438"/>
      <c r="N770" s="191">
        <f>Weather!BM16</f>
        <v>225.5228494623656</v>
      </c>
      <c r="O770" s="191">
        <f>Weather!BN16</f>
        <v>256.08636845959916</v>
      </c>
      <c r="P770" s="191">
        <f>Weather!BO16</f>
        <v>138.51351371084516</v>
      </c>
      <c r="Q770" s="191">
        <f>Weather!BP16</f>
        <v>166.94424122016949</v>
      </c>
      <c r="R770" s="191">
        <f>Weather!BQ16</f>
        <v>194.16005267315077</v>
      </c>
      <c r="S770" s="191">
        <f>Weather!BR16</f>
        <v>191.66652184208451</v>
      </c>
      <c r="T770" s="191">
        <f>Weather!BS16</f>
        <v>250.29740055006528</v>
      </c>
      <c r="U770" s="191">
        <f>Weather!BT16</f>
        <v>134.98611177254671</v>
      </c>
      <c r="V770" s="191">
        <f>Weather!BU16</f>
        <v>171.79990355875637</v>
      </c>
      <c r="W770" s="191">
        <f>Weather!BV16</f>
        <v>199.2652059656962</v>
      </c>
      <c r="X770" s="191">
        <f>Weather!BW16</f>
        <v>194.33413353239092</v>
      </c>
      <c r="Y770" s="191">
        <f>Weather!BX16</f>
        <v>223.30091227650829</v>
      </c>
      <c r="Z770" s="191">
        <f>Weather!BY16</f>
        <v>131.21218053546698</v>
      </c>
      <c r="AA770" s="191">
        <f>Weather!BZ16</f>
        <v>164.64458368310022</v>
      </c>
      <c r="AB770" s="191">
        <f>Weather!CA16</f>
        <v>195.6136135014886</v>
      </c>
      <c r="AC770" s="191">
        <f>Weather!CB16</f>
        <v>186.68300830332362</v>
      </c>
      <c r="AD770" s="191">
        <f>Weather!CC16</f>
        <v>119.61094892165545</v>
      </c>
      <c r="AE770" s="191">
        <f>Weather!CD16</f>
        <v>122.69351103630419</v>
      </c>
      <c r="AF770" s="191">
        <f>Weather!CE16</f>
        <v>119.33059410492633</v>
      </c>
      <c r="AG770" s="191">
        <f>Weather!CF16</f>
        <v>157.21347727779357</v>
      </c>
      <c r="AH770" s="191">
        <f>Weather!CG16</f>
        <v>150.45436226836668</v>
      </c>
      <c r="AL770" s="191">
        <f>IF(Inputs!$D$122=0,N770,SUMIFS($O770:$AH770,$O$764:$AH$764,Inputs!$D$122,$O$765:$AH$765,Inputs!#REF!))</f>
        <v>225.5228494623656</v>
      </c>
      <c r="AO770" s="82" t="s">
        <v>118</v>
      </c>
      <c r="AP770" s="49">
        <f t="shared" si="188"/>
        <v>167.78899999999999</v>
      </c>
      <c r="AQ770" s="50">
        <f t="shared" si="190"/>
        <v>0</v>
      </c>
      <c r="AR770" s="50">
        <f t="shared" si="189"/>
        <v>0</v>
      </c>
    </row>
    <row r="771" spans="1:69" s="25" customFormat="1" outlineLevel="1" x14ac:dyDescent="0.25">
      <c r="C771" s="82"/>
      <c r="D771" s="187"/>
      <c r="M771" s="438"/>
      <c r="N771" s="191">
        <f>Weather!BM17</f>
        <v>249.375</v>
      </c>
      <c r="O771" s="191">
        <f>Weather!BN17</f>
        <v>266.91168386863336</v>
      </c>
      <c r="P771" s="191">
        <f>Weather!BO17</f>
        <v>148.23852572829114</v>
      </c>
      <c r="Q771" s="191">
        <f>Weather!BP17</f>
        <v>180.04050121608347</v>
      </c>
      <c r="R771" s="191">
        <f>Weather!BQ17</f>
        <v>183.43784892999355</v>
      </c>
      <c r="S771" s="191">
        <f>Weather!BR17</f>
        <v>161.63290693851101</v>
      </c>
      <c r="T771" s="191">
        <f>Weather!BS17</f>
        <v>257.87684921008236</v>
      </c>
      <c r="U771" s="191">
        <f>Weather!BT17</f>
        <v>143.06523148595619</v>
      </c>
      <c r="V771" s="191">
        <f>Weather!BU17</f>
        <v>187.12817759618699</v>
      </c>
      <c r="W771" s="191">
        <f>Weather!BV17</f>
        <v>189.58055815784763</v>
      </c>
      <c r="X771" s="191">
        <f>Weather!BW17</f>
        <v>165.76670756485402</v>
      </c>
      <c r="Y771" s="191">
        <f>Weather!BX17</f>
        <v>226.74444500637566</v>
      </c>
      <c r="Z771" s="191">
        <f>Weather!BY17</f>
        <v>134.17644987947696</v>
      </c>
      <c r="AA771" s="191">
        <f>Weather!BZ17</f>
        <v>181.4356828398374</v>
      </c>
      <c r="AB771" s="191">
        <f>Weather!CA17</f>
        <v>188.9822310993101</v>
      </c>
      <c r="AC771" s="191">
        <f>Weather!CB17</f>
        <v>165.49484272886116</v>
      </c>
      <c r="AD771" s="191">
        <f>Weather!CC17</f>
        <v>115.29607756808328</v>
      </c>
      <c r="AE771" s="191">
        <f>Weather!CD17</f>
        <v>130.49364720946301</v>
      </c>
      <c r="AF771" s="191">
        <f>Weather!CE17</f>
        <v>132.6922866629339</v>
      </c>
      <c r="AG771" s="191">
        <f>Weather!CF17</f>
        <v>165.1744782606593</v>
      </c>
      <c r="AH771" s="191">
        <f>Weather!CG17</f>
        <v>148.50501047195056</v>
      </c>
      <c r="AL771" s="191">
        <f>IF(Inputs!$D$122=0,N771,SUMIFS($O771:$AH771,$O$764:$AH$764,Inputs!$D$122,$O$765:$AH$765,Inputs!#REF!))</f>
        <v>249.375</v>
      </c>
      <c r="AO771" s="82" t="s">
        <v>119</v>
      </c>
      <c r="AP771" s="49">
        <f t="shared" si="188"/>
        <v>179.55</v>
      </c>
      <c r="AQ771" s="50">
        <f t="shared" si="190"/>
        <v>0</v>
      </c>
      <c r="AR771" s="50">
        <f t="shared" si="189"/>
        <v>0</v>
      </c>
    </row>
    <row r="772" spans="1:69" s="25" customFormat="1" outlineLevel="1" x14ac:dyDescent="0.25">
      <c r="C772" s="62" t="s">
        <v>422</v>
      </c>
      <c r="D772" s="179">
        <f>D766*D768</f>
        <v>0</v>
      </c>
      <c r="M772" s="438"/>
      <c r="N772" s="191">
        <f>Weather!BM18</f>
        <v>258.17473118279571</v>
      </c>
      <c r="O772" s="191">
        <f>Weather!BN18</f>
        <v>289.4057243916094</v>
      </c>
      <c r="P772" s="191">
        <f>Weather!BO18</f>
        <v>148.21511553083019</v>
      </c>
      <c r="Q772" s="191">
        <f>Weather!BP18</f>
        <v>189.79215140388308</v>
      </c>
      <c r="R772" s="191">
        <f>Weather!BQ18</f>
        <v>200.3488228818731</v>
      </c>
      <c r="S772" s="191">
        <f>Weather!BR18</f>
        <v>187.65497349496817</v>
      </c>
      <c r="T772" s="191">
        <f>Weather!BS18</f>
        <v>279.90327563037926</v>
      </c>
      <c r="U772" s="191">
        <f>Weather!BT18</f>
        <v>144.38415215667595</v>
      </c>
      <c r="V772" s="191">
        <f>Weather!BU18</f>
        <v>197.69118607159817</v>
      </c>
      <c r="W772" s="191">
        <f>Weather!BV18</f>
        <v>205.26510003685129</v>
      </c>
      <c r="X772" s="191">
        <f>Weather!BW18</f>
        <v>189.89304751669636</v>
      </c>
      <c r="Y772" s="191">
        <f>Weather!BX18</f>
        <v>246.80245522925031</v>
      </c>
      <c r="Z772" s="191">
        <f>Weather!BY18</f>
        <v>140.08191716374139</v>
      </c>
      <c r="AA772" s="191">
        <f>Weather!BZ18</f>
        <v>192.00891793381126</v>
      </c>
      <c r="AB772" s="191">
        <f>Weather!CA18</f>
        <v>201.71961868924464</v>
      </c>
      <c r="AC772" s="191">
        <f>Weather!CB18</f>
        <v>182.85242922633617</v>
      </c>
      <c r="AD772" s="191">
        <f>Weather!CC18</f>
        <v>126.82827980181432</v>
      </c>
      <c r="AE772" s="191">
        <f>Weather!CD18</f>
        <v>143.14719537315793</v>
      </c>
      <c r="AF772" s="191">
        <f>Weather!CE18</f>
        <v>127.1689656406928</v>
      </c>
      <c r="AG772" s="191">
        <f>Weather!CF18</f>
        <v>162.45083694996208</v>
      </c>
      <c r="AH772" s="191">
        <f>Weather!CG18</f>
        <v>153.65711723501209</v>
      </c>
      <c r="AL772" s="191">
        <f>IF(Inputs!$D$122=0,N772,SUMIFS($O772:$AH772,$O$764:$AH$764,Inputs!$D$122,$O$765:$AH$765,Inputs!#REF!))</f>
        <v>258.17473118279571</v>
      </c>
      <c r="AO772" s="82" t="s">
        <v>120</v>
      </c>
      <c r="AP772" s="49">
        <f t="shared" si="188"/>
        <v>192.08199999999999</v>
      </c>
      <c r="AQ772" s="50">
        <f t="shared" si="190"/>
        <v>0</v>
      </c>
      <c r="AR772" s="50">
        <f t="shared" si="189"/>
        <v>0</v>
      </c>
    </row>
    <row r="773" spans="1:69" s="25" customFormat="1" outlineLevel="1" x14ac:dyDescent="0.25">
      <c r="C773" s="82"/>
      <c r="E773" s="36"/>
      <c r="M773" s="438"/>
      <c r="N773" s="191">
        <f>Weather!BM19</f>
        <v>223.88978494623655</v>
      </c>
      <c r="O773" s="191">
        <f>Weather!BN19</f>
        <v>266.54286510041942</v>
      </c>
      <c r="P773" s="191">
        <f>Weather!BO19</f>
        <v>128.65592786678181</v>
      </c>
      <c r="Q773" s="191">
        <f>Weather!BP19</f>
        <v>174.84628795991503</v>
      </c>
      <c r="R773" s="191">
        <f>Weather!BQ19</f>
        <v>178.24268452989409</v>
      </c>
      <c r="S773" s="191">
        <f>Weather!BR19</f>
        <v>179.55966245804032</v>
      </c>
      <c r="T773" s="191">
        <f>Weather!BS19</f>
        <v>264.34153297146059</v>
      </c>
      <c r="U773" s="191">
        <f>Weather!BT19</f>
        <v>128.28863129015744</v>
      </c>
      <c r="V773" s="191">
        <f>Weather!BU19</f>
        <v>179.65824894939175</v>
      </c>
      <c r="W773" s="191">
        <f>Weather!BV19</f>
        <v>183.80156229208569</v>
      </c>
      <c r="X773" s="191">
        <f>Weather!BW19</f>
        <v>185.52732546042401</v>
      </c>
      <c r="Y773" s="191">
        <f>Weather!BX19</f>
        <v>240.58061103912158</v>
      </c>
      <c r="Z773" s="191">
        <f>Weather!BY19</f>
        <v>134.38029625189748</v>
      </c>
      <c r="AA773" s="191">
        <f>Weather!BZ19</f>
        <v>171.66439809559364</v>
      </c>
      <c r="AB773" s="191">
        <f>Weather!CA19</f>
        <v>181.12718498962951</v>
      </c>
      <c r="AC773" s="191">
        <f>Weather!CB19</f>
        <v>183.62554481027558</v>
      </c>
      <c r="AD773" s="191">
        <f>Weather!CC19</f>
        <v>139.09697337401883</v>
      </c>
      <c r="AE773" s="191">
        <f>Weather!CD19</f>
        <v>138.14498075430782</v>
      </c>
      <c r="AF773" s="191">
        <f>Weather!CE19</f>
        <v>105.02625557171511</v>
      </c>
      <c r="AG773" s="191">
        <f>Weather!CF19</f>
        <v>149.84211738056624</v>
      </c>
      <c r="AH773" s="191">
        <f>Weather!CG19</f>
        <v>157.44858116873959</v>
      </c>
      <c r="AL773" s="191">
        <f>IF(Inputs!$D$122=0,N773,SUMIFS($O773:$AH773,$O$764:$AH$764,Inputs!$D$122,$O$765:$AH$765,Inputs!#REF!))</f>
        <v>223.88978494623655</v>
      </c>
      <c r="AO773" s="82" t="s">
        <v>121</v>
      </c>
      <c r="AP773" s="49">
        <f t="shared" si="188"/>
        <v>166.57400000000001</v>
      </c>
      <c r="AQ773" s="50">
        <f t="shared" si="190"/>
        <v>0</v>
      </c>
      <c r="AR773" s="50">
        <f t="shared" si="189"/>
        <v>0</v>
      </c>
    </row>
    <row r="774" spans="1:69" s="25" customFormat="1" outlineLevel="1" x14ac:dyDescent="0.25">
      <c r="M774" s="438"/>
      <c r="N774" s="191">
        <f>Weather!BM20</f>
        <v>185.4375</v>
      </c>
      <c r="O774" s="191">
        <f>Weather!BN20</f>
        <v>241.87788479575914</v>
      </c>
      <c r="P774" s="191">
        <f>Weather!BO20</f>
        <v>110.62991679887124</v>
      </c>
      <c r="Q774" s="191">
        <f>Weather!BP20</f>
        <v>156.41020253205258</v>
      </c>
      <c r="R774" s="191">
        <f>Weather!BQ20</f>
        <v>145.05909700861883</v>
      </c>
      <c r="S774" s="191">
        <f>Weather!BR20</f>
        <v>158.12285196248288</v>
      </c>
      <c r="T774" s="191">
        <f>Weather!BS20</f>
        <v>249.36722484476098</v>
      </c>
      <c r="U774" s="191">
        <f>Weather!BT20</f>
        <v>117.78392095753688</v>
      </c>
      <c r="V774" s="191">
        <f>Weather!BU20</f>
        <v>158.7987162470084</v>
      </c>
      <c r="W774" s="191">
        <f>Weather!BV20</f>
        <v>151.91144218669655</v>
      </c>
      <c r="X774" s="191">
        <f>Weather!BW20</f>
        <v>167.02135873062116</v>
      </c>
      <c r="Y774" s="191">
        <f>Weather!BX20</f>
        <v>237.75815851304725</v>
      </c>
      <c r="Z774" s="191">
        <f>Weather!BY20</f>
        <v>130.61215940580536</v>
      </c>
      <c r="AA774" s="191">
        <f>Weather!BZ20</f>
        <v>149.38127101878618</v>
      </c>
      <c r="AB774" s="191">
        <f>Weather!CA20</f>
        <v>153.15453740409328</v>
      </c>
      <c r="AC774" s="191">
        <f>Weather!CB20</f>
        <v>172.2363086366239</v>
      </c>
      <c r="AD774" s="191">
        <f>Weather!CC20</f>
        <v>160.22497809156903</v>
      </c>
      <c r="AE774" s="191">
        <f>Weather!CD20</f>
        <v>135.54263692343881</v>
      </c>
      <c r="AF774" s="191">
        <f>Weather!CE20</f>
        <v>77.70354310487977</v>
      </c>
      <c r="AG774" s="191">
        <f>Weather!CF20</f>
        <v>132.1622538736051</v>
      </c>
      <c r="AH774" s="191">
        <f>Weather!CG20</f>
        <v>163.42703491822223</v>
      </c>
      <c r="AL774" s="191">
        <f>IF(Inputs!$D$122=0,N774,SUMIFS($O774:$AH774,$O$764:$AH$764,Inputs!$D$122,$O$765:$AH$765,Inputs!#REF!))</f>
        <v>185.4375</v>
      </c>
      <c r="AO774" s="82" t="s">
        <v>122</v>
      </c>
      <c r="AP774" s="49">
        <f t="shared" si="188"/>
        <v>133.51499999999999</v>
      </c>
      <c r="AQ774" s="50">
        <f t="shared" si="190"/>
        <v>0</v>
      </c>
      <c r="AR774" s="50">
        <f t="shared" si="189"/>
        <v>0</v>
      </c>
    </row>
    <row r="775" spans="1:69" s="25" customFormat="1" outlineLevel="1" x14ac:dyDescent="0.25">
      <c r="M775" s="438"/>
      <c r="N775" s="191">
        <f>Weather!BM21</f>
        <v>117.99193548387096</v>
      </c>
      <c r="O775" s="191">
        <f>Weather!BN21</f>
        <v>171.50234138031144</v>
      </c>
      <c r="P775" s="191">
        <f>Weather!BO21</f>
        <v>94.034469780314197</v>
      </c>
      <c r="Q775" s="191">
        <f>Weather!BP21</f>
        <v>123.61674235154615</v>
      </c>
      <c r="R775" s="191">
        <f>Weather!BQ21</f>
        <v>108.45865596701255</v>
      </c>
      <c r="S775" s="191">
        <f>Weather!BR21</f>
        <v>142.5193026062868</v>
      </c>
      <c r="T775" s="191">
        <f>Weather!BS21</f>
        <v>185.55681200952915</v>
      </c>
      <c r="U775" s="191">
        <f>Weather!BT21</f>
        <v>104.91002146394037</v>
      </c>
      <c r="V775" s="191">
        <f>Weather!BU21</f>
        <v>123.26978391953672</v>
      </c>
      <c r="W775" s="191">
        <f>Weather!BV21</f>
        <v>110.83459022856036</v>
      </c>
      <c r="X775" s="191">
        <f>Weather!BW21</f>
        <v>150.80799820210149</v>
      </c>
      <c r="Y775" s="191">
        <f>Weather!BX21</f>
        <v>186.09419010139533</v>
      </c>
      <c r="Z775" s="191">
        <f>Weather!BY21</f>
        <v>114.22707254224717</v>
      </c>
      <c r="AA775" s="191">
        <f>Weather!BZ21</f>
        <v>113.27781197232373</v>
      </c>
      <c r="AB775" s="191">
        <f>Weather!CA21</f>
        <v>108.53556681063735</v>
      </c>
      <c r="AC775" s="191">
        <f>Weather!CB21</f>
        <v>153.43002016400536</v>
      </c>
      <c r="AD775" s="191">
        <f>Weather!CC21</f>
        <v>143.17558253104241</v>
      </c>
      <c r="AE775" s="191">
        <f>Weather!CD21</f>
        <v>112.06583779801076</v>
      </c>
      <c r="AF775" s="191">
        <f>Weather!CE21</f>
        <v>46.465139893324469</v>
      </c>
      <c r="AG775" s="191">
        <f>Weather!CF21</f>
        <v>87.176013802493685</v>
      </c>
      <c r="AH775" s="191">
        <f>Weather!CG21</f>
        <v>128.14882225128184</v>
      </c>
      <c r="AL775" s="191">
        <f>IF(Inputs!$D$122=0,N775,SUMIFS($O775:$AH775,$O$764:$AH$764,Inputs!$D$122,$O$765:$AH$765,Inputs!#REF!))</f>
        <v>117.99193548387096</v>
      </c>
      <c r="AO775" s="82" t="s">
        <v>123</v>
      </c>
      <c r="AP775" s="49">
        <f t="shared" si="188"/>
        <v>87.786000000000001</v>
      </c>
      <c r="AQ775" s="50">
        <f t="shared" si="190"/>
        <v>0</v>
      </c>
      <c r="AR775" s="50">
        <f t="shared" si="189"/>
        <v>0</v>
      </c>
    </row>
    <row r="776" spans="1:69" s="25" customFormat="1" outlineLevel="1" x14ac:dyDescent="0.25">
      <c r="M776" s="438"/>
      <c r="N776" s="191">
        <f>Weather!BM22</f>
        <v>97.536111111111111</v>
      </c>
      <c r="O776" s="191">
        <f>Weather!BN22</f>
        <v>159.9842041175057</v>
      </c>
      <c r="P776" s="191">
        <f>Weather!BO22</f>
        <v>86.266195384924373</v>
      </c>
      <c r="Q776" s="191">
        <f>Weather!BP22</f>
        <v>108.2742102936446</v>
      </c>
      <c r="R776" s="191">
        <f>Weather!BQ22</f>
        <v>77.687566208403268</v>
      </c>
      <c r="S776" s="191">
        <f>Weather!BR22</f>
        <v>114.32401085569252</v>
      </c>
      <c r="T776" s="191">
        <f>Weather!BS22</f>
        <v>180.27085344378571</v>
      </c>
      <c r="U776" s="191">
        <f>Weather!BT22</f>
        <v>102.1455868851893</v>
      </c>
      <c r="V776" s="191">
        <f>Weather!BU22</f>
        <v>106.1092587161594</v>
      </c>
      <c r="W776" s="191">
        <f>Weather!BV22</f>
        <v>79.531074053394946</v>
      </c>
      <c r="X776" s="191">
        <f>Weather!BW22</f>
        <v>124.31452121223522</v>
      </c>
      <c r="Y776" s="191">
        <f>Weather!BX22</f>
        <v>188.31989251298708</v>
      </c>
      <c r="Z776" s="191">
        <f>Weather!BY22</f>
        <v>113.67615074963192</v>
      </c>
      <c r="AA776" s="191">
        <f>Weather!BZ22</f>
        <v>95.579708338138516</v>
      </c>
      <c r="AB776" s="191">
        <f>Weather!CA22</f>
        <v>79.100583157406959</v>
      </c>
      <c r="AC776" s="191">
        <f>Weather!CB22</f>
        <v>135.23378443406733</v>
      </c>
      <c r="AD776" s="191">
        <f>Weather!CC22</f>
        <v>161.57875087208137</v>
      </c>
      <c r="AE776" s="191">
        <f>Weather!CD22</f>
        <v>114.51560948859549</v>
      </c>
      <c r="AF776" s="191">
        <f>Weather!CE22</f>
        <v>30.502275440359725</v>
      </c>
      <c r="AG776" s="191">
        <f>Weather!CF22</f>
        <v>72.95499974324072</v>
      </c>
      <c r="AH776" s="191">
        <f>Weather!CG22</f>
        <v>135.63044097775418</v>
      </c>
      <c r="AL776" s="191">
        <f>IF(Inputs!$D$122=0,N776,SUMIFS($O776:$AH776,$O$764:$AH$764,Inputs!$D$122,$O$765:$AH$765,Inputs!#REF!))</f>
        <v>97.536111111111111</v>
      </c>
      <c r="AO776" s="82" t="s">
        <v>124</v>
      </c>
      <c r="AP776" s="49">
        <f t="shared" si="188"/>
        <v>70.225999999999999</v>
      </c>
      <c r="AQ776" s="50">
        <f t="shared" si="190"/>
        <v>0</v>
      </c>
      <c r="AR776" s="50">
        <f t="shared" si="189"/>
        <v>0</v>
      </c>
    </row>
    <row r="777" spans="1:69" s="25" customFormat="1" outlineLevel="1" x14ac:dyDescent="0.25">
      <c r="M777" s="438"/>
      <c r="N777" s="191">
        <f>Weather!BM23</f>
        <v>68.398657718120802</v>
      </c>
      <c r="O777" s="191">
        <f>Weather!BN23</f>
        <v>120.36163599180078</v>
      </c>
      <c r="P777" s="191">
        <f>Weather!BO23</f>
        <v>71.569499447836307</v>
      </c>
      <c r="Q777" s="191">
        <f>Weather!BP23</f>
        <v>80.01167348519094</v>
      </c>
      <c r="R777" s="191">
        <f>Weather!BQ23</f>
        <v>63.922613236939114</v>
      </c>
      <c r="S777" s="191">
        <f>Weather!BR23</f>
        <v>103.65580594510162</v>
      </c>
      <c r="T777" s="191">
        <f>Weather!BS23</f>
        <v>138.17492830519535</v>
      </c>
      <c r="U777" s="191">
        <f>Weather!BT23</f>
        <v>84.115346490898716</v>
      </c>
      <c r="V777" s="191">
        <f>Weather!BU23</f>
        <v>78.040796022962638</v>
      </c>
      <c r="W777" s="191">
        <f>Weather!BV23</f>
        <v>64.815572802500753</v>
      </c>
      <c r="X777" s="191">
        <f>Weather!BW23</f>
        <v>113.96886939540678</v>
      </c>
      <c r="Y777" s="191">
        <f>Weather!BX23</f>
        <v>146.83485921828358</v>
      </c>
      <c r="Z777" s="191">
        <f>Weather!BY23</f>
        <v>92.164561866037545</v>
      </c>
      <c r="AA777" s="191">
        <f>Weather!BZ23</f>
        <v>69.772779759348822</v>
      </c>
      <c r="AB777" s="191">
        <f>Weather!CA23</f>
        <v>63.625085684104668</v>
      </c>
      <c r="AC777" s="191">
        <f>Weather!CB23</f>
        <v>119.58302103445075</v>
      </c>
      <c r="AD777" s="191">
        <f>Weather!CC23</f>
        <v>130.8111564820648</v>
      </c>
      <c r="AE777" s="191">
        <f>Weather!CD23</f>
        <v>89.862383680841035</v>
      </c>
      <c r="AF777" s="191">
        <f>Weather!CE23</f>
        <v>21.577059346786562</v>
      </c>
      <c r="AG777" s="191">
        <f>Weather!CF23</f>
        <v>54.778565693797333</v>
      </c>
      <c r="AH777" s="191">
        <f>Weather!CG23</f>
        <v>109.25639664508645</v>
      </c>
      <c r="AL777" s="191">
        <f>IF(Inputs!$D$122=0,N777,SUMIFS($O777:$AH777,$O$764:$AH$764,Inputs!$D$122,$O$765:$AH$765,Inputs!#REF!))</f>
        <v>68.398657718120802</v>
      </c>
      <c r="AO777" s="82" t="s">
        <v>125</v>
      </c>
      <c r="AP777" s="49">
        <f t="shared" si="188"/>
        <v>50.888601342281881</v>
      </c>
      <c r="AQ777" s="50">
        <f t="shared" si="190"/>
        <v>0</v>
      </c>
      <c r="AR777" s="50">
        <f t="shared" si="189"/>
        <v>0</v>
      </c>
    </row>
    <row r="778" spans="1:69" s="25" customFormat="1" outlineLevel="1" x14ac:dyDescent="0.25">
      <c r="M778" s="82" t="s">
        <v>926</v>
      </c>
      <c r="N778" s="476">
        <f>SUM(N766:N777)</f>
        <v>1882.7833711451638</v>
      </c>
      <c r="O778" s="476">
        <f>SUM(O766:O777)</f>
        <v>2416.7865588406094</v>
      </c>
      <c r="P778" s="476">
        <f t="shared" ref="P778:S778" si="191">SUM(P766:P777)</f>
        <v>1282.5574896908934</v>
      </c>
      <c r="Q778" s="476">
        <f t="shared" si="191"/>
        <v>1657.2339095976681</v>
      </c>
      <c r="R778" s="476">
        <f>SUM(R766:R777)</f>
        <v>1530.0513644958414</v>
      </c>
      <c r="S778" s="476">
        <f t="shared" si="191"/>
        <v>1697.7132989269737</v>
      </c>
      <c r="T778" s="476">
        <f>SUM(T766:T777)</f>
        <v>2491.4716058060326</v>
      </c>
      <c r="U778" s="476">
        <f t="shared" ref="U778:X778" si="192">SUM(U766:U777)</f>
        <v>1345.8494814529395</v>
      </c>
      <c r="V778" s="476">
        <f t="shared" si="192"/>
        <v>1679.7591995852404</v>
      </c>
      <c r="W778" s="476">
        <f t="shared" si="192"/>
        <v>1574.3988011415513</v>
      </c>
      <c r="X778" s="476">
        <f t="shared" si="192"/>
        <v>1777.792649884937</v>
      </c>
      <c r="Y778" s="476">
        <f>SUM(Y766:Y777)</f>
        <v>2371.8154831926222</v>
      </c>
      <c r="Z778" s="476">
        <f t="shared" ref="Z778:AC778" si="193">SUM(Z766:Z777)</f>
        <v>1406.3478228046554</v>
      </c>
      <c r="AA778" s="476">
        <f t="shared" si="193"/>
        <v>1577.9459584108693</v>
      </c>
      <c r="AB778" s="476">
        <f t="shared" si="193"/>
        <v>1557.5559426896248</v>
      </c>
      <c r="AC778" s="476">
        <f t="shared" si="193"/>
        <v>1799.7553497864837</v>
      </c>
      <c r="AD778" s="476">
        <f t="shared" ref="AD778:AH778" si="194">SUM(AD766:AD777)</f>
        <v>1591.7590405447677</v>
      </c>
      <c r="AE778" s="476">
        <f t="shared" si="194"/>
        <v>1394.4681119614147</v>
      </c>
      <c r="AF778" s="476">
        <f t="shared" si="194"/>
        <v>853.05958224766778</v>
      </c>
      <c r="AG778" s="476">
        <f t="shared" si="194"/>
        <v>1310.6511705411417</v>
      </c>
      <c r="AH778" s="476">
        <f t="shared" si="194"/>
        <v>1604.3392216781758</v>
      </c>
      <c r="AL778" s="476">
        <f>SUM(AL766:AL777)</f>
        <v>1882.7833711451638</v>
      </c>
      <c r="AO778" s="475" t="s">
        <v>178</v>
      </c>
      <c r="AP778" s="177">
        <f>SUM(AP766:AP777)</f>
        <v>1377.241390036764</v>
      </c>
      <c r="AQ778" s="177">
        <f>SUM(AQ766:AQ777)</f>
        <v>0</v>
      </c>
      <c r="AR778" s="177">
        <f>SUM(AR766:AR777)</f>
        <v>0</v>
      </c>
    </row>
    <row r="779" spans="1:69" s="25" customFormat="1" outlineLevel="1" x14ac:dyDescent="0.25">
      <c r="A779" s="13" t="s">
        <v>437</v>
      </c>
      <c r="C779" s="188"/>
      <c r="F779" s="438"/>
      <c r="G779" s="54"/>
      <c r="H779" s="438"/>
      <c r="I779" s="438"/>
      <c r="L779" s="189"/>
      <c r="M779" s="82" t="s">
        <v>927</v>
      </c>
      <c r="N779" s="189">
        <f>N778/$N$778</f>
        <v>1</v>
      </c>
      <c r="O779" s="189">
        <f t="shared" ref="O779:AH779" si="195">O778/$N$778</f>
        <v>1.2836243382427206</v>
      </c>
      <c r="P779" s="189">
        <f t="shared" si="195"/>
        <v>0.6812028985102011</v>
      </c>
      <c r="Q779" s="189">
        <f t="shared" si="195"/>
        <v>0.8802042417602669</v>
      </c>
      <c r="R779" s="189">
        <f>R778/$N$778</f>
        <v>0.81265396112204857</v>
      </c>
      <c r="S779" s="189">
        <f t="shared" si="195"/>
        <v>0.90170400107919746</v>
      </c>
      <c r="T779" s="189">
        <f t="shared" si="195"/>
        <v>1.3232916988695556</v>
      </c>
      <c r="U779" s="189">
        <f t="shared" si="195"/>
        <v>0.71481908225817536</v>
      </c>
      <c r="V779" s="189">
        <f t="shared" si="195"/>
        <v>0.89216806634719847</v>
      </c>
      <c r="W779" s="189">
        <f t="shared" si="195"/>
        <v>0.83620815079960897</v>
      </c>
      <c r="X779" s="189">
        <f t="shared" si="195"/>
        <v>0.94423643055846174</v>
      </c>
      <c r="Y779" s="189">
        <f t="shared" si="195"/>
        <v>1.25973891608678</v>
      </c>
      <c r="Z779" s="189">
        <f t="shared" si="195"/>
        <v>0.74695147851729415</v>
      </c>
      <c r="AA779" s="189">
        <f t="shared" si="195"/>
        <v>0.83809214729314108</v>
      </c>
      <c r="AB779" s="189">
        <f t="shared" si="195"/>
        <v>0.82726242782900394</v>
      </c>
      <c r="AC779" s="189">
        <f t="shared" si="195"/>
        <v>0.95590144748932004</v>
      </c>
      <c r="AD779" s="189">
        <f t="shared" si="195"/>
        <v>0.84542866956415352</v>
      </c>
      <c r="AE779" s="189">
        <f t="shared" si="195"/>
        <v>0.74064182493456931</v>
      </c>
      <c r="AF779" s="189">
        <f t="shared" si="195"/>
        <v>0.45308429813081047</v>
      </c>
      <c r="AG779" s="189">
        <f t="shared" si="195"/>
        <v>0.69612425445629755</v>
      </c>
      <c r="AH779" s="189">
        <f t="shared" si="195"/>
        <v>0.8521103629157134</v>
      </c>
    </row>
    <row r="780" spans="1:69" ht="15" x14ac:dyDescent="0.25">
      <c r="E780" s="35"/>
      <c r="F780" s="22"/>
      <c r="G780" s="22"/>
      <c r="H780" s="22"/>
      <c r="I780" s="194"/>
      <c r="J780" s="195"/>
      <c r="K780" s="22"/>
      <c r="L780" s="22"/>
      <c r="M780" s="22"/>
      <c r="N780" s="22"/>
      <c r="O780" s="500" t="s">
        <v>989</v>
      </c>
      <c r="P780" s="501"/>
      <c r="Q780" s="501"/>
      <c r="R780" s="501"/>
      <c r="S780" s="501"/>
      <c r="T780" s="502"/>
      <c r="U780" s="502"/>
      <c r="V780" s="503"/>
      <c r="W780" s="502"/>
      <c r="X780" s="502"/>
      <c r="Y780" s="502"/>
      <c r="Z780" s="502"/>
      <c r="AA780" s="504"/>
      <c r="AB780" s="504"/>
      <c r="AC780" s="502"/>
      <c r="AD780" s="502"/>
      <c r="AE780" s="502"/>
      <c r="AF780" s="502"/>
      <c r="AG780" s="502"/>
      <c r="AH780" s="502"/>
      <c r="AI780" s="502"/>
      <c r="AJ780" s="502"/>
      <c r="AK780" s="502"/>
      <c r="AL780" s="505"/>
      <c r="AM780" s="499" t="s">
        <v>449</v>
      </c>
      <c r="BQ780" s="199" t="s">
        <v>450</v>
      </c>
    </row>
    <row r="781" spans="1:69" s="39" customFormat="1" ht="13.5" thickBot="1" x14ac:dyDescent="0.3">
      <c r="C781" s="57"/>
      <c r="D781" s="57"/>
      <c r="AA781" s="60"/>
      <c r="AB781" s="60"/>
    </row>
    <row r="782" spans="1:69" x14ac:dyDescent="0.25">
      <c r="A782" s="52" t="s">
        <v>768</v>
      </c>
    </row>
    <row r="783" spans="1:69" outlineLevel="1" x14ac:dyDescent="0.25"/>
    <row r="784" spans="1:69" outlineLevel="1" x14ac:dyDescent="0.2">
      <c r="B784" s="288" t="s">
        <v>702</v>
      </c>
      <c r="C784" s="273" t="s">
        <v>698</v>
      </c>
      <c r="D784" s="273" t="s">
        <v>699</v>
      </c>
      <c r="E784" s="273" t="s">
        <v>700</v>
      </c>
    </row>
    <row r="785" spans="1:28" ht="15" outlineLevel="1" x14ac:dyDescent="0.25">
      <c r="B785" s="290" t="s">
        <v>697</v>
      </c>
      <c r="C785" s="299">
        <v>0.56103095065288722</v>
      </c>
      <c r="D785" s="293">
        <v>0.74647799045295626</v>
      </c>
      <c r="E785" s="294">
        <v>0.67363588630192672</v>
      </c>
    </row>
    <row r="786" spans="1:28" ht="15" outlineLevel="1" x14ac:dyDescent="0.25">
      <c r="B786" s="291" t="s">
        <v>713</v>
      </c>
      <c r="C786" s="300">
        <v>0.3797652145526661</v>
      </c>
      <c r="D786" s="295">
        <v>0.25617033010679802</v>
      </c>
      <c r="E786" s="296">
        <v>0.31814156168677737</v>
      </c>
    </row>
    <row r="787" spans="1:28" customFormat="1" ht="15" outlineLevel="1" x14ac:dyDescent="0.25">
      <c r="B787" s="292" t="s">
        <v>714</v>
      </c>
      <c r="C787" s="301">
        <v>4.6293014796366133E-2</v>
      </c>
      <c r="D787" s="297">
        <v>5.9765059900335361E-3</v>
      </c>
      <c r="E787" s="298">
        <v>8.2782478092034307E-3</v>
      </c>
    </row>
    <row r="788" spans="1:28" ht="15" outlineLevel="1" x14ac:dyDescent="0.25">
      <c r="B788"/>
      <c r="C788"/>
      <c r="D788"/>
      <c r="E788"/>
    </row>
    <row r="789" spans="1:28" outlineLevel="1" x14ac:dyDescent="0.2">
      <c r="B789" s="288" t="s">
        <v>701</v>
      </c>
      <c r="C789" s="273" t="s">
        <v>705</v>
      </c>
      <c r="D789" s="273" t="s">
        <v>706</v>
      </c>
    </row>
    <row r="790" spans="1:28" outlineLevel="1" x14ac:dyDescent="0.2">
      <c r="B790" s="303" t="s">
        <v>703</v>
      </c>
      <c r="C790" s="289">
        <v>75</v>
      </c>
      <c r="D790" s="310">
        <f>Calcs!E17/Calcs!C790</f>
        <v>0.6</v>
      </c>
    </row>
    <row r="791" spans="1:28" outlineLevel="1" x14ac:dyDescent="0.2">
      <c r="B791" s="304" t="s">
        <v>704</v>
      </c>
      <c r="C791" s="289">
        <v>19.32</v>
      </c>
      <c r="D791" s="311">
        <f>Inputs!C12/Calcs!C791</f>
        <v>0.32298136645962733</v>
      </c>
    </row>
    <row r="792" spans="1:28" ht="15" outlineLevel="1" x14ac:dyDescent="0.2">
      <c r="B792" s="305" t="s">
        <v>688</v>
      </c>
      <c r="C792" s="302">
        <v>68.900206674919858</v>
      </c>
      <c r="D792" s="306"/>
    </row>
    <row r="793" spans="1:28" ht="15" outlineLevel="1" x14ac:dyDescent="0.2">
      <c r="B793" s="307" t="s">
        <v>610</v>
      </c>
      <c r="C793" s="302">
        <v>139.14107037812971</v>
      </c>
      <c r="D793" s="306"/>
    </row>
    <row r="794" spans="1:28" ht="15" outlineLevel="1" x14ac:dyDescent="0.2">
      <c r="B794" s="308" t="s">
        <v>686</v>
      </c>
      <c r="C794" s="302">
        <v>448.94495427798739</v>
      </c>
      <c r="D794" s="309"/>
    </row>
    <row r="795" spans="1:28" s="39" customFormat="1" ht="13.5" thickBot="1" x14ac:dyDescent="0.3">
      <c r="C795" s="57"/>
      <c r="D795" s="57"/>
      <c r="AA795" s="60"/>
      <c r="AB795" s="60"/>
    </row>
    <row r="796" spans="1:28" x14ac:dyDescent="0.25">
      <c r="A796" s="52" t="s">
        <v>732</v>
      </c>
    </row>
    <row r="797" spans="1:28" outlineLevel="1" x14ac:dyDescent="0.25">
      <c r="B797" s="10" t="s">
        <v>1109</v>
      </c>
      <c r="C797" s="11">
        <v>10.76</v>
      </c>
      <c r="AA797" s="10"/>
      <c r="AB797" s="10"/>
    </row>
    <row r="798" spans="1:28" outlineLevel="1" x14ac:dyDescent="0.25">
      <c r="B798" s="333" t="s">
        <v>733</v>
      </c>
      <c r="AA798" s="10"/>
      <c r="AB798" s="10"/>
    </row>
    <row r="799" spans="1:28" outlineLevel="1" x14ac:dyDescent="0.25">
      <c r="B799" s="10" t="s">
        <v>756</v>
      </c>
      <c r="C799" s="336">
        <f>Inputs!C11*Calcs!N20</f>
        <v>73958.828475207003</v>
      </c>
      <c r="AA799" s="10"/>
      <c r="AB799" s="10"/>
    </row>
    <row r="800" spans="1:28" outlineLevel="1" x14ac:dyDescent="0.25">
      <c r="B800" s="10" t="s">
        <v>763</v>
      </c>
      <c r="C800" s="334">
        <f>C797/4</f>
        <v>2.69</v>
      </c>
      <c r="D800" s="34" t="s">
        <v>764</v>
      </c>
      <c r="E800" s="11"/>
      <c r="AA800" s="10"/>
      <c r="AB800" s="10"/>
    </row>
    <row r="801" spans="2:28" outlineLevel="1" x14ac:dyDescent="0.25">
      <c r="B801" s="10" t="s">
        <v>734</v>
      </c>
      <c r="C801" s="11">
        <f>E17</f>
        <v>45</v>
      </c>
      <c r="AA801" s="10"/>
      <c r="AB801" s="10"/>
    </row>
    <row r="802" spans="2:28" outlineLevel="1" x14ac:dyDescent="0.25">
      <c r="B802" s="10" t="s">
        <v>735</v>
      </c>
      <c r="C802" s="11">
        <f>PeoDOcc</f>
        <v>6.24</v>
      </c>
      <c r="AA802" s="10"/>
      <c r="AB802" s="10"/>
    </row>
    <row r="803" spans="2:28" outlineLevel="1" x14ac:dyDescent="0.25">
      <c r="B803" s="10" t="s">
        <v>737</v>
      </c>
      <c r="C803" s="11">
        <v>80</v>
      </c>
      <c r="AA803" s="10"/>
      <c r="AB803" s="10"/>
    </row>
    <row r="804" spans="2:28" outlineLevel="1" x14ac:dyDescent="0.25">
      <c r="B804" s="10" t="s">
        <v>738</v>
      </c>
      <c r="C804" s="11">
        <v>125</v>
      </c>
      <c r="D804" s="34" t="s">
        <v>739</v>
      </c>
      <c r="AA804" s="10"/>
      <c r="AB804" s="10"/>
    </row>
    <row r="805" spans="2:28" outlineLevel="1" x14ac:dyDescent="0.25">
      <c r="AA805" s="10"/>
      <c r="AB805" s="10"/>
    </row>
    <row r="806" spans="2:28" outlineLevel="1" x14ac:dyDescent="0.25">
      <c r="B806" s="333" t="s">
        <v>736</v>
      </c>
      <c r="AA806" s="10"/>
      <c r="AB806" s="10"/>
    </row>
    <row r="807" spans="2:28" ht="51" outlineLevel="1" x14ac:dyDescent="0.25">
      <c r="B807" s="34" t="s">
        <v>740</v>
      </c>
      <c r="C807" s="34" t="s">
        <v>747</v>
      </c>
      <c r="D807" s="34" t="s">
        <v>748</v>
      </c>
      <c r="E807" s="34" t="s">
        <v>749</v>
      </c>
      <c r="F807" s="150" t="s">
        <v>757</v>
      </c>
      <c r="G807" s="34" t="s">
        <v>296</v>
      </c>
      <c r="H807" s="34" t="s">
        <v>760</v>
      </c>
      <c r="I807" s="34"/>
      <c r="J807" s="34"/>
      <c r="AA807" s="10"/>
      <c r="AB807" s="10"/>
    </row>
    <row r="808" spans="2:28" outlineLevel="1" x14ac:dyDescent="0.25">
      <c r="B808" s="34" t="s">
        <v>758</v>
      </c>
      <c r="C808" s="34" t="s">
        <v>759</v>
      </c>
      <c r="D808" s="34" t="s">
        <v>759</v>
      </c>
      <c r="E808" s="34" t="s">
        <v>759</v>
      </c>
      <c r="F808" s="150" t="s">
        <v>759</v>
      </c>
      <c r="G808" s="338">
        <v>186.6</v>
      </c>
      <c r="H808" s="337">
        <f>G808</f>
        <v>186.6</v>
      </c>
      <c r="I808" s="34"/>
      <c r="J808" s="34"/>
      <c r="AA808" s="10"/>
      <c r="AB808" s="10"/>
    </row>
    <row r="809" spans="2:28" outlineLevel="1" x14ac:dyDescent="0.25">
      <c r="B809" s="34" t="s">
        <v>741</v>
      </c>
      <c r="C809" s="34" t="s">
        <v>750</v>
      </c>
      <c r="D809" s="338">
        <f>LN(C799)</f>
        <v>11.211263845397335</v>
      </c>
      <c r="E809" s="338">
        <v>9.5350000000000001</v>
      </c>
      <c r="F809" s="337">
        <f>D809-E809</f>
        <v>1.6762638453973349</v>
      </c>
      <c r="G809" s="338">
        <v>34.17</v>
      </c>
      <c r="H809" s="338">
        <f>F809*G809</f>
        <v>57.277935597226936</v>
      </c>
      <c r="I809" s="34"/>
      <c r="J809" s="34"/>
      <c r="AA809" s="10"/>
      <c r="AB809" s="10"/>
    </row>
    <row r="810" spans="2:28" outlineLevel="1" x14ac:dyDescent="0.25">
      <c r="B810" s="34" t="s">
        <v>742</v>
      </c>
      <c r="C810" s="34" t="s">
        <v>751</v>
      </c>
      <c r="D810" s="338">
        <f>C800/N20/C804*1000</f>
        <v>1.9992734207460845</v>
      </c>
      <c r="E810" s="338">
        <v>2.2309999999999999</v>
      </c>
      <c r="F810" s="337">
        <f t="shared" ref="F810:F814" si="196">D810-E810</f>
        <v>-0.23172657925391538</v>
      </c>
      <c r="G810" s="338">
        <v>17.28</v>
      </c>
      <c r="H810" s="338">
        <f t="shared" ref="H810:H814" si="197">F810*G810</f>
        <v>-4.0042352895076583</v>
      </c>
      <c r="I810" s="34"/>
      <c r="J810" s="34"/>
      <c r="AA810" s="10"/>
      <c r="AB810" s="10"/>
    </row>
    <row r="811" spans="2:28" outlineLevel="1" x14ac:dyDescent="0.25">
      <c r="B811" s="34" t="s">
        <v>743</v>
      </c>
      <c r="C811" s="34" t="s">
        <v>752</v>
      </c>
      <c r="D811" s="338">
        <f>LN(C801)</f>
        <v>3.8066624897703196</v>
      </c>
      <c r="E811" s="338">
        <v>3.972</v>
      </c>
      <c r="F811" s="337">
        <f t="shared" si="196"/>
        <v>-0.16533751022968035</v>
      </c>
      <c r="G811" s="338">
        <v>55.96</v>
      </c>
      <c r="H811" s="338">
        <f t="shared" si="197"/>
        <v>-9.252287072452912</v>
      </c>
      <c r="I811" s="34"/>
      <c r="J811" s="34"/>
      <c r="AA811" s="10"/>
      <c r="AB811" s="10"/>
    </row>
    <row r="812" spans="2:28" outlineLevel="1" x14ac:dyDescent="0.25">
      <c r="B812" s="34" t="s">
        <v>744</v>
      </c>
      <c r="C812" s="34" t="s">
        <v>753</v>
      </c>
      <c r="D812" s="338">
        <f>LN(1/C802/N20*1000)</f>
        <v>2.7005761862345414</v>
      </c>
      <c r="E812" s="338">
        <v>0.56159999999999999</v>
      </c>
      <c r="F812" s="337">
        <f t="shared" si="196"/>
        <v>2.1389761862345416</v>
      </c>
      <c r="G812" s="338">
        <v>10.34</v>
      </c>
      <c r="H812" s="338">
        <f t="shared" si="197"/>
        <v>22.11701376566516</v>
      </c>
      <c r="I812" s="34"/>
      <c r="J812" s="34"/>
      <c r="AA812" s="10"/>
      <c r="AB812" s="10"/>
    </row>
    <row r="813" spans="2:28" outlineLevel="1" x14ac:dyDescent="0.25">
      <c r="B813" s="34" t="s">
        <v>745</v>
      </c>
      <c r="C813" s="34" t="s">
        <v>754</v>
      </c>
      <c r="D813" s="339">
        <v>3106</v>
      </c>
      <c r="E813" s="339">
        <v>4411</v>
      </c>
      <c r="F813" s="340">
        <f t="shared" si="196"/>
        <v>-1305</v>
      </c>
      <c r="G813" s="338">
        <v>7.7000000000000002E-3</v>
      </c>
      <c r="H813" s="338">
        <f t="shared" si="197"/>
        <v>-10.048500000000001</v>
      </c>
      <c r="I813" s="34"/>
      <c r="J813" s="34"/>
    </row>
    <row r="814" spans="2:28" outlineLevel="1" x14ac:dyDescent="0.25">
      <c r="B814" s="34" t="s">
        <v>746</v>
      </c>
      <c r="C814" s="34" t="s">
        <v>755</v>
      </c>
      <c r="D814" s="339">
        <v>691</v>
      </c>
      <c r="E814" s="339">
        <v>1157</v>
      </c>
      <c r="F814" s="340">
        <f t="shared" si="196"/>
        <v>-466</v>
      </c>
      <c r="G814" s="338">
        <v>1.44E-2</v>
      </c>
      <c r="H814" s="338">
        <f t="shared" si="197"/>
        <v>-6.7103999999999999</v>
      </c>
      <c r="I814" s="34"/>
      <c r="J814" s="34"/>
    </row>
    <row r="815" spans="2:28" outlineLevel="1" x14ac:dyDescent="0.25">
      <c r="G815" s="10" t="s">
        <v>761</v>
      </c>
      <c r="H815" s="342">
        <f>SUM(H808:H814)</f>
        <v>235.97952700093154</v>
      </c>
    </row>
    <row r="816" spans="2:28" outlineLevel="1" x14ac:dyDescent="0.25">
      <c r="B816" s="333" t="s">
        <v>767</v>
      </c>
    </row>
    <row r="817" spans="1:38" outlineLevel="1" x14ac:dyDescent="0.25">
      <c r="B817" s="10" t="s">
        <v>762</v>
      </c>
      <c r="C817" s="341">
        <f>H815*N21/1000*N20</f>
        <v>744.23830924302956</v>
      </c>
      <c r="D817" s="34" t="s">
        <v>772</v>
      </c>
    </row>
    <row r="818" spans="1:38" outlineLevel="1" x14ac:dyDescent="0.25">
      <c r="G818" s="343"/>
    </row>
    <row r="819" spans="1:38" outlineLevel="1" x14ac:dyDescent="0.25">
      <c r="B819" s="10" t="s">
        <v>770</v>
      </c>
      <c r="C819" s="336">
        <v>118</v>
      </c>
      <c r="D819" s="34" t="s">
        <v>771</v>
      </c>
    </row>
    <row r="820" spans="1:38" outlineLevel="1" x14ac:dyDescent="0.25">
      <c r="B820" s="10" t="s">
        <v>769</v>
      </c>
      <c r="C820" s="336">
        <v>200</v>
      </c>
      <c r="D820" s="34" t="s">
        <v>771</v>
      </c>
    </row>
    <row r="821" spans="1:38" outlineLevel="1" x14ac:dyDescent="0.25">
      <c r="B821" s="10" t="s">
        <v>766</v>
      </c>
      <c r="C821" s="344">
        <f>C817*0.63</f>
        <v>468.87013482310863</v>
      </c>
      <c r="D821" s="34" t="s">
        <v>765</v>
      </c>
    </row>
    <row r="822" spans="1:38" s="39" customFormat="1" ht="13.5" thickBot="1" x14ac:dyDescent="0.3">
      <c r="C822" s="57"/>
      <c r="D822" s="57"/>
      <c r="AA822" s="60"/>
      <c r="AB822" s="60"/>
    </row>
    <row r="823" spans="1:38" x14ac:dyDescent="0.25">
      <c r="C823" s="335"/>
    </row>
    <row r="826" spans="1:38" ht="15.75" x14ac:dyDescent="0.25">
      <c r="A826" s="202" t="s">
        <v>458</v>
      </c>
      <c r="B826" s="203"/>
      <c r="C826" s="204"/>
      <c r="D826" s="204"/>
      <c r="E826" s="204"/>
      <c r="F826" s="204"/>
      <c r="G826" s="204"/>
      <c r="H826" s="204"/>
      <c r="I826" s="203"/>
      <c r="J826" s="204"/>
      <c r="K826" s="204"/>
      <c r="L826" s="204"/>
      <c r="M826" s="204"/>
      <c r="N826" s="204"/>
      <c r="O826" s="204"/>
      <c r="P826" s="204"/>
      <c r="Q826" s="204"/>
      <c r="R826" s="204"/>
      <c r="S826" s="204"/>
      <c r="T826" s="204"/>
      <c r="U826" s="204"/>
      <c r="V826" s="204"/>
      <c r="W826" s="204"/>
      <c r="X826" s="204"/>
      <c r="Y826" s="204"/>
      <c r="Z826" s="204"/>
      <c r="AA826" s="204"/>
      <c r="AB826" s="204"/>
      <c r="AC826" s="204"/>
      <c r="AD826" s="204"/>
      <c r="AE826" s="204"/>
      <c r="AF826" s="204"/>
      <c r="AG826" s="204"/>
      <c r="AH826" s="204"/>
      <c r="AI826" s="204"/>
      <c r="AJ826" s="204"/>
      <c r="AK826" s="204"/>
      <c r="AL826" s="204"/>
    </row>
    <row r="827" spans="1:38" ht="15.75" x14ac:dyDescent="0.25">
      <c r="A827" s="202"/>
      <c r="B827" s="203"/>
      <c r="C827" s="204"/>
      <c r="D827" s="204"/>
      <c r="E827" s="203"/>
      <c r="F827" s="204"/>
      <c r="G827" s="204"/>
      <c r="H827" s="204"/>
      <c r="I827" s="204"/>
      <c r="J827" s="204"/>
      <c r="K827" s="204"/>
      <c r="L827" s="204"/>
      <c r="M827" s="204"/>
      <c r="N827" s="204"/>
      <c r="O827" s="204"/>
      <c r="P827" s="204"/>
      <c r="Q827" s="204"/>
      <c r="R827" s="204"/>
      <c r="S827" s="204"/>
      <c r="T827" s="204"/>
      <c r="U827" s="204"/>
      <c r="V827" s="204"/>
      <c r="W827" s="204"/>
      <c r="X827" s="204"/>
      <c r="Y827" s="204"/>
      <c r="Z827" s="204"/>
      <c r="AA827" s="204"/>
      <c r="AB827" s="204"/>
      <c r="AC827" s="204"/>
      <c r="AD827" s="204"/>
      <c r="AE827" s="204"/>
      <c r="AF827" s="204"/>
      <c r="AG827" s="204"/>
      <c r="AH827" s="204"/>
      <c r="AI827" s="204"/>
      <c r="AJ827" s="204"/>
      <c r="AK827" s="204"/>
      <c r="AL827" s="204"/>
    </row>
    <row r="828" spans="1:38" ht="15.75" x14ac:dyDescent="0.25">
      <c r="A828" s="202"/>
      <c r="B828" s="205" t="s">
        <v>459</v>
      </c>
      <c r="C828" s="205"/>
      <c r="D828" s="205"/>
      <c r="E828" s="205"/>
      <c r="F828" s="205"/>
      <c r="G828" s="205"/>
      <c r="H828" s="205"/>
      <c r="I828" s="205"/>
      <c r="J828" s="205"/>
      <c r="K828" s="205"/>
      <c r="L828" s="204"/>
      <c r="M828" s="205" t="s">
        <v>460</v>
      </c>
      <c r="N828" s="205"/>
      <c r="O828" s="205"/>
      <c r="P828" s="205"/>
      <c r="Q828" s="205"/>
      <c r="R828" s="205"/>
      <c r="S828" s="205"/>
      <c r="T828" s="205"/>
      <c r="U828" s="205"/>
      <c r="V828" s="205"/>
      <c r="W828" s="204"/>
      <c r="X828" s="204"/>
      <c r="Y828" s="204"/>
      <c r="Z828" s="204"/>
      <c r="AA828" s="204"/>
      <c r="AB828" s="204"/>
      <c r="AC828" s="204"/>
      <c r="AD828" s="204"/>
      <c r="AE828" s="204"/>
      <c r="AF828" s="204"/>
      <c r="AG828" s="204"/>
      <c r="AH828" s="204"/>
      <c r="AI828" s="204"/>
      <c r="AJ828" s="204"/>
      <c r="AK828" s="204"/>
      <c r="AL828" s="204"/>
    </row>
    <row r="829" spans="1:38" ht="27" x14ac:dyDescent="0.25">
      <c r="A829" s="202"/>
      <c r="B829" s="9" t="s">
        <v>373</v>
      </c>
      <c r="C829" s="7" t="s">
        <v>461</v>
      </c>
      <c r="D829" s="7" t="s">
        <v>462</v>
      </c>
      <c r="E829" s="7" t="s">
        <v>463</v>
      </c>
      <c r="F829" s="7" t="s">
        <v>464</v>
      </c>
      <c r="G829" s="7" t="s">
        <v>465</v>
      </c>
      <c r="H829" s="7" t="s">
        <v>466</v>
      </c>
      <c r="I829" s="7" t="s">
        <v>467</v>
      </c>
      <c r="J829" s="9" t="s">
        <v>468</v>
      </c>
      <c r="K829" s="7" t="s">
        <v>469</v>
      </c>
      <c r="L829" s="204"/>
      <c r="M829" s="9" t="s">
        <v>373</v>
      </c>
      <c r="N829" s="7" t="s">
        <v>470</v>
      </c>
      <c r="O829" s="7" t="s">
        <v>471</v>
      </c>
      <c r="P829" s="7" t="s">
        <v>472</v>
      </c>
      <c r="Q829" s="7" t="s">
        <v>473</v>
      </c>
      <c r="R829" s="7" t="s">
        <v>474</v>
      </c>
      <c r="S829" s="7" t="s">
        <v>475</v>
      </c>
      <c r="T829" s="7" t="s">
        <v>476</v>
      </c>
      <c r="U829" s="9" t="s">
        <v>477</v>
      </c>
      <c r="V829" s="7" t="s">
        <v>478</v>
      </c>
      <c r="W829" s="204"/>
      <c r="X829" s="204"/>
      <c r="Y829" s="204"/>
      <c r="Z829" s="204"/>
      <c r="AA829" s="204"/>
      <c r="AB829" s="204"/>
      <c r="AC829" s="204"/>
      <c r="AD829" s="204"/>
      <c r="AE829" s="204"/>
      <c r="AF829" s="204"/>
      <c r="AG829" s="204"/>
      <c r="AH829" s="204"/>
      <c r="AI829" s="204"/>
      <c r="AJ829" s="204"/>
      <c r="AK829" s="204"/>
      <c r="AL829" s="204"/>
    </row>
    <row r="830" spans="1:38" ht="15.75" x14ac:dyDescent="0.25">
      <c r="A830" s="202"/>
      <c r="B830" s="9" t="s">
        <v>114</v>
      </c>
      <c r="C830" s="206">
        <f ca="1">C846/Calcs!$C$2/3.6</f>
        <v>11.862413593938271</v>
      </c>
      <c r="D830" s="206">
        <f ca="1">D846/Calcs!$C$2/3.6</f>
        <v>3.6777558859210115</v>
      </c>
      <c r="E830" s="206">
        <f ca="1">E846/Calcs!$C$2/3.6</f>
        <v>15.540169479859284</v>
      </c>
      <c r="F830" s="206">
        <f ca="1">F846/Calcs!$C$2/3.6</f>
        <v>1.9458445706291847</v>
      </c>
      <c r="G830" s="206">
        <f>G846/Calcs!$C$2/3.6</f>
        <v>9.1251219080919075</v>
      </c>
      <c r="H830" s="206">
        <f>H846/Calcs!$C$2/3.6</f>
        <v>2.1560712328767124</v>
      </c>
      <c r="I830" s="206">
        <f ca="1">I846/Calcs!$C$2/3.6</f>
        <v>13.227037711597804</v>
      </c>
      <c r="J830" s="206">
        <f t="shared" ref="J830:J841" ca="1" si="198">J846</f>
        <v>0.8794274607527669</v>
      </c>
      <c r="K830" s="206">
        <f ca="1">K846/Calcs!$C$2/3.6</f>
        <v>3.9079492918677348</v>
      </c>
      <c r="L830" s="204"/>
      <c r="M830" s="9" t="s">
        <v>114</v>
      </c>
      <c r="N830" s="206">
        <f ca="1">N846/Calcs!$C$2/3.6</f>
        <v>14.932575372894075</v>
      </c>
      <c r="O830" s="206">
        <f ca="1">O846/Calcs!$C$2/3.6</f>
        <v>4.6490119997048369</v>
      </c>
      <c r="P830" s="206">
        <f ca="1">P846/Calcs!$C$2/3.6</f>
        <v>19.581587372598911</v>
      </c>
      <c r="Q830" s="206">
        <f ca="1">Q846/Calcs!$C$2/3.6</f>
        <v>1.9458445706291847</v>
      </c>
      <c r="R830" s="206">
        <f>R846/Calcs!$C$2/3.6</f>
        <v>9.1251219080919075</v>
      </c>
      <c r="S830" s="206">
        <f>S846/Calcs!$C$2/3.6</f>
        <v>2.1560712328767124</v>
      </c>
      <c r="T830" s="206">
        <f ca="1">T846/Calcs!$C$2/3.6</f>
        <v>13.227037711597804</v>
      </c>
      <c r="U830" s="206">
        <f t="shared" ref="U830:U841" ca="1" si="199">U846</f>
        <v>0.63420634376485618</v>
      </c>
      <c r="V830" s="206">
        <f ca="1">V846/Calcs!$C$2/3.6</f>
        <v>0.80827077890977383</v>
      </c>
      <c r="W830" s="204"/>
      <c r="X830" s="204"/>
      <c r="Y830" s="204"/>
      <c r="Z830" s="204"/>
      <c r="AA830" s="204"/>
      <c r="AB830" s="204"/>
      <c r="AC830" s="204"/>
      <c r="AD830" s="204"/>
      <c r="AE830" s="204"/>
      <c r="AF830" s="204"/>
      <c r="AG830" s="204"/>
      <c r="AH830" s="204"/>
      <c r="AI830" s="204"/>
      <c r="AJ830" s="204"/>
      <c r="AK830" s="204"/>
      <c r="AL830" s="204"/>
    </row>
    <row r="831" spans="1:38" ht="15.75" x14ac:dyDescent="0.25">
      <c r="A831" s="202"/>
      <c r="B831" s="9" t="s">
        <v>115</v>
      </c>
      <c r="C831" s="206">
        <f ca="1">C847/Calcs!$C$2/3.6</f>
        <v>9.7938301804132113</v>
      </c>
      <c r="D831" s="206">
        <f ca="1">D847/Calcs!$C$2/3.6</f>
        <v>3.1579471089693469</v>
      </c>
      <c r="E831" s="206">
        <f ca="1">E847/Calcs!$C$2/3.6</f>
        <v>12.951777289382555</v>
      </c>
      <c r="F831" s="206">
        <f ca="1">F847/Calcs!$C$2/3.6</f>
        <v>2.3215779429732391</v>
      </c>
      <c r="G831" s="206">
        <f>G847/Calcs!$C$2/3.6</f>
        <v>8.2420455944055941</v>
      </c>
      <c r="H831" s="206">
        <f>H847/Calcs!$C$2/3.6</f>
        <v>1.9474191780821917</v>
      </c>
      <c r="I831" s="206">
        <f ca="1">I847/Calcs!$C$2/3.6</f>
        <v>12.511042715461025</v>
      </c>
      <c r="J831" s="206">
        <f t="shared" ca="1" si="198"/>
        <v>0.83407888912925665</v>
      </c>
      <c r="K831" s="206">
        <f ca="1">K847/Calcs!$C$2/3.6</f>
        <v>2.5165806794221459</v>
      </c>
      <c r="L831" s="204"/>
      <c r="M831" s="9" t="s">
        <v>115</v>
      </c>
      <c r="N831" s="206">
        <f ca="1">N847/Calcs!$C$2/3.6</f>
        <v>12.498176053733081</v>
      </c>
      <c r="O831" s="206">
        <f ca="1">O847/Calcs!$C$2/3.6</f>
        <v>4.0470708782383324</v>
      </c>
      <c r="P831" s="206">
        <f ca="1">P847/Calcs!$C$2/3.6</f>
        <v>16.545246931971416</v>
      </c>
      <c r="Q831" s="206">
        <f ca="1">Q847/Calcs!$C$2/3.6</f>
        <v>2.3215779429732391</v>
      </c>
      <c r="R831" s="206">
        <f>R847/Calcs!$C$2/3.6</f>
        <v>8.2420455944055941</v>
      </c>
      <c r="S831" s="206">
        <f>S847/Calcs!$C$2/3.6</f>
        <v>1.9474191780821917</v>
      </c>
      <c r="T831" s="206">
        <f ca="1">T847/Calcs!$C$2/3.6</f>
        <v>12.511042715461025</v>
      </c>
      <c r="U831" s="206">
        <f t="shared" ca="1" si="199"/>
        <v>0.69082890724967283</v>
      </c>
      <c r="V831" s="206">
        <f ca="1">V847/Calcs!$C$2/3.6</f>
        <v>1.0811078572712121</v>
      </c>
      <c r="W831" s="204"/>
      <c r="X831" s="204"/>
      <c r="Y831" s="204"/>
      <c r="Z831" s="204"/>
      <c r="AA831" s="204"/>
      <c r="AB831" s="204"/>
      <c r="AC831" s="204"/>
      <c r="AD831" s="204"/>
      <c r="AE831" s="204"/>
      <c r="AF831" s="204"/>
      <c r="AG831" s="204"/>
      <c r="AH831" s="204"/>
      <c r="AI831" s="204"/>
      <c r="AJ831" s="204"/>
      <c r="AK831" s="204"/>
      <c r="AL831" s="204"/>
    </row>
    <row r="832" spans="1:38" ht="15.75" x14ac:dyDescent="0.25">
      <c r="A832" s="202"/>
      <c r="B832" s="9" t="s">
        <v>116</v>
      </c>
      <c r="C832" s="206">
        <f ca="1">C848/Calcs!$C$2/3.6</f>
        <v>7.9876758376603885</v>
      </c>
      <c r="D832" s="206">
        <f ca="1">D848/Calcs!$C$2/3.6</f>
        <v>2.7919144779377043</v>
      </c>
      <c r="E832" s="206">
        <f ca="1">E848/Calcs!$C$2/3.6</f>
        <v>10.779590315598092</v>
      </c>
      <c r="F832" s="206">
        <f ca="1">F848/Calcs!$C$2/3.6</f>
        <v>3.1309857201977609</v>
      </c>
      <c r="G832" s="206">
        <f>G848/Calcs!$C$2/3.6</f>
        <v>9.1251219080919075</v>
      </c>
      <c r="H832" s="206">
        <f>H848/Calcs!$C$2/3.6</f>
        <v>2.1560712328767124</v>
      </c>
      <c r="I832" s="206">
        <f ca="1">I848/Calcs!$C$2/3.6</f>
        <v>14.41217886116638</v>
      </c>
      <c r="J832" s="206">
        <f t="shared" ca="1" si="198"/>
        <v>0.68537739659022323</v>
      </c>
      <c r="K832" s="206">
        <f ca="1">K848/Calcs!$C$2/3.6</f>
        <v>0.90180868853923113</v>
      </c>
      <c r="L832" s="204"/>
      <c r="M832" s="9" t="s">
        <v>116</v>
      </c>
      <c r="N832" s="206">
        <f ca="1">N848/Calcs!$C$2/3.6</f>
        <v>10.54781487576772</v>
      </c>
      <c r="O832" s="206">
        <f ca="1">O848/Calcs!$C$2/3.6</f>
        <v>3.7018611879483712</v>
      </c>
      <c r="P832" s="206">
        <f ca="1">P848/Calcs!$C$2/3.6</f>
        <v>14.249676063716091</v>
      </c>
      <c r="Q832" s="206">
        <f ca="1">Q848/Calcs!$C$2/3.6</f>
        <v>3.1309857201977609</v>
      </c>
      <c r="R832" s="206">
        <f>R848/Calcs!$C$2/3.6</f>
        <v>9.1251219080919075</v>
      </c>
      <c r="S832" s="206">
        <f>S848/Calcs!$C$2/3.6</f>
        <v>2.1560712328767124</v>
      </c>
      <c r="T832" s="206">
        <f ca="1">T848/Calcs!$C$2/3.6</f>
        <v>14.41217886116638</v>
      </c>
      <c r="U832" s="206">
        <f t="shared" ca="1" si="199"/>
        <v>0.8247976424610447</v>
      </c>
      <c r="V832" s="206">
        <f ca="1">V848/Calcs!$C$2/3.6</f>
        <v>2.6590796379797705</v>
      </c>
      <c r="W832" s="204"/>
      <c r="X832" s="204"/>
      <c r="Y832" s="204"/>
      <c r="Z832" s="204"/>
      <c r="AA832" s="204"/>
      <c r="AB832" s="204"/>
      <c r="AC832" s="204"/>
      <c r="AD832" s="204"/>
      <c r="AE832" s="204"/>
      <c r="AF832" s="204"/>
      <c r="AG832" s="204"/>
      <c r="AH832" s="204"/>
      <c r="AI832" s="204"/>
      <c r="AJ832" s="204"/>
      <c r="AK832" s="204"/>
      <c r="AL832" s="204"/>
    </row>
    <row r="833" spans="1:38" ht="15.75" x14ac:dyDescent="0.25">
      <c r="A833" s="202"/>
      <c r="B833" s="9" t="s">
        <v>117</v>
      </c>
      <c r="C833" s="206">
        <f ca="1">C849/Calcs!$C$2/3.6</f>
        <v>5.3411924631814829</v>
      </c>
      <c r="D833" s="206">
        <f ca="1">D849/Calcs!$C$2/3.6</f>
        <v>1.6250185535477792</v>
      </c>
      <c r="E833" s="206">
        <f ca="1">E849/Calcs!$C$2/3.6</f>
        <v>6.9662110167292628</v>
      </c>
      <c r="F833" s="206">
        <f ca="1">F849/Calcs!$C$2/3.6</f>
        <v>3.3753100283154072</v>
      </c>
      <c r="G833" s="206">
        <f>G849/Calcs!$C$2/3.6</f>
        <v>8.830763136863137</v>
      </c>
      <c r="H833" s="206">
        <f>H849/Calcs!$C$2/3.6</f>
        <v>2.0865205479452054</v>
      </c>
      <c r="I833" s="206">
        <f ca="1">I849/Calcs!$C$2/3.6</f>
        <v>14.29259371312375</v>
      </c>
      <c r="J833" s="206">
        <f t="shared" ca="1" si="198"/>
        <v>0.47780297029022106</v>
      </c>
      <c r="K833" s="206">
        <f ca="1">K849/Calcs!$C$2/3.6</f>
        <v>0.13716728744739398</v>
      </c>
      <c r="L833" s="204"/>
      <c r="M833" s="9" t="s">
        <v>117</v>
      </c>
      <c r="N833" s="206">
        <f ca="1">N849/Calcs!$C$2/3.6</f>
        <v>7.1447372984601891</v>
      </c>
      <c r="O833" s="206">
        <f ca="1">O849/Calcs!$C$2/3.6</f>
        <v>2.180846540993199</v>
      </c>
      <c r="P833" s="206">
        <f ca="1">P849/Calcs!$C$2/3.6</f>
        <v>9.3255838394533868</v>
      </c>
      <c r="Q833" s="206">
        <f ca="1">Q849/Calcs!$C$2/3.6</f>
        <v>3.3753100283154072</v>
      </c>
      <c r="R833" s="206">
        <f>R849/Calcs!$C$2/3.6</f>
        <v>8.830763136863137</v>
      </c>
      <c r="S833" s="206">
        <f>S849/Calcs!$C$2/3.6</f>
        <v>2.0865205479452054</v>
      </c>
      <c r="T833" s="206">
        <f ca="1">T849/Calcs!$C$2/3.6</f>
        <v>14.29259371312375</v>
      </c>
      <c r="U833" s="206">
        <f t="shared" ca="1" si="199"/>
        <v>0.94534596238099122</v>
      </c>
      <c r="V833" s="206">
        <f ca="1">V849/Calcs!$C$2/3.6</f>
        <v>5.4766906836510687</v>
      </c>
      <c r="W833" s="204"/>
      <c r="X833" s="204"/>
      <c r="Y833" s="204"/>
      <c r="Z833" s="204"/>
      <c r="AA833" s="204"/>
      <c r="AB833" s="204"/>
      <c r="AC833" s="204"/>
      <c r="AD833" s="204"/>
      <c r="AE833" s="204"/>
      <c r="AF833" s="204"/>
      <c r="AG833" s="204"/>
      <c r="AH833" s="204"/>
      <c r="AI833" s="204"/>
      <c r="AJ833" s="204"/>
      <c r="AK833" s="204"/>
      <c r="AL833" s="204"/>
    </row>
    <row r="834" spans="1:38" ht="15.75" x14ac:dyDescent="0.25">
      <c r="A834" s="202"/>
      <c r="B834" s="9" t="s">
        <v>118</v>
      </c>
      <c r="C834" s="206">
        <f ca="1">C850/Calcs!$C$2/3.6</f>
        <v>2.7451872834201727</v>
      </c>
      <c r="D834" s="206">
        <f ca="1">D850/Calcs!$C$2/3.6</f>
        <v>0.64007119133364687</v>
      </c>
      <c r="E834" s="206">
        <f ca="1">E850/Calcs!$C$2/3.6</f>
        <v>3.3852584747538201</v>
      </c>
      <c r="F834" s="206">
        <f ca="1">F850/Calcs!$C$2/3.6</f>
        <v>4.4201390787828378</v>
      </c>
      <c r="G834" s="206">
        <f>G850/Calcs!$C$2/3.6</f>
        <v>9.1251219080919075</v>
      </c>
      <c r="H834" s="206">
        <f>H850/Calcs!$C$2/3.6</f>
        <v>2.1560712328767124</v>
      </c>
      <c r="I834" s="206">
        <f ca="1">I850/Calcs!$C$2/3.6</f>
        <v>15.701332219751457</v>
      </c>
      <c r="J834" s="206">
        <f t="shared" ca="1" si="198"/>
        <v>0.215448730717019</v>
      </c>
      <c r="K834" s="206">
        <f ca="1">K850/Calcs!$C$2/3.6</f>
        <v>2.4263774421338269E-3</v>
      </c>
      <c r="L834" s="204"/>
      <c r="M834" s="9" t="s">
        <v>118</v>
      </c>
      <c r="N834" s="206">
        <f ca="1">N850/Calcs!$C$2/3.6</f>
        <v>4.7559839588030952</v>
      </c>
      <c r="O834" s="206">
        <f ca="1">O850/Calcs!$C$2/3.6</f>
        <v>1.1132717223461106</v>
      </c>
      <c r="P834" s="206">
        <f ca="1">P850/Calcs!$C$2/3.6</f>
        <v>5.8692556811492054</v>
      </c>
      <c r="Q834" s="206">
        <f ca="1">Q850/Calcs!$C$2/3.6</f>
        <v>4.4201390787828378</v>
      </c>
      <c r="R834" s="206">
        <f>R850/Calcs!$C$2/3.6</f>
        <v>9.1251219080919075</v>
      </c>
      <c r="S834" s="206">
        <f>S850/Calcs!$C$2/3.6</f>
        <v>2.1560712328767124</v>
      </c>
      <c r="T834" s="206">
        <f ca="1">T850/Calcs!$C$2/3.6</f>
        <v>15.701332219751457</v>
      </c>
      <c r="U834" s="206">
        <f t="shared" ca="1" si="199"/>
        <v>0.99293126217498162</v>
      </c>
      <c r="V834" s="206">
        <f ca="1">V850/Calcs!$C$2/3.6</f>
        <v>9.8735647682402945</v>
      </c>
      <c r="W834" s="204"/>
      <c r="X834" s="204"/>
      <c r="Y834" s="204"/>
      <c r="Z834" s="204"/>
      <c r="AA834" s="204"/>
      <c r="AB834" s="204"/>
      <c r="AC834" s="204"/>
      <c r="AD834" s="204"/>
      <c r="AE834" s="204"/>
      <c r="AF834" s="204"/>
      <c r="AG834" s="204"/>
      <c r="AH834" s="204"/>
      <c r="AI834" s="204"/>
      <c r="AJ834" s="204"/>
      <c r="AK834" s="204"/>
      <c r="AL834" s="204"/>
    </row>
    <row r="835" spans="1:38" ht="15.75" x14ac:dyDescent="0.25">
      <c r="A835" s="202"/>
      <c r="B835" s="9" t="s">
        <v>119</v>
      </c>
      <c r="C835" s="206">
        <f ca="1">C851/Calcs!$C$2/3.6</f>
        <v>-0.25550218499781774</v>
      </c>
      <c r="D835" s="206">
        <f ca="1">D851/Calcs!$C$2/3.6</f>
        <v>-7.7475335415060256E-2</v>
      </c>
      <c r="E835" s="206">
        <f ca="1">E851/Calcs!$C$2/3.6</f>
        <v>-0.33297752041287793</v>
      </c>
      <c r="F835" s="206">
        <f ca="1">F851/Calcs!$C$2/3.6</f>
        <v>4.4185323468354323</v>
      </c>
      <c r="G835" s="206">
        <f>G851/Calcs!$C$2/3.6</f>
        <v>8.830763136863137</v>
      </c>
      <c r="H835" s="206">
        <f>H851/Calcs!$C$2/3.6</f>
        <v>2.0865205479452054</v>
      </c>
      <c r="I835" s="206">
        <f ca="1">I851/Calcs!$C$2/3.6</f>
        <v>15.335816031643775</v>
      </c>
      <c r="J835" s="206">
        <f t="shared" ca="1" si="198"/>
        <v>-2.1712409677177621E-2</v>
      </c>
      <c r="K835" s="206">
        <f ca="1">K851/Calcs!$C$2/3.6</f>
        <v>0</v>
      </c>
      <c r="L835" s="204"/>
      <c r="M835" s="9" t="s">
        <v>119</v>
      </c>
      <c r="N835" s="206">
        <f ca="1">N851/Calcs!$C$2/3.6</f>
        <v>1.9673476754391197</v>
      </c>
      <c r="O835" s="206">
        <f ca="1">O851/Calcs!$C$2/3.6</f>
        <v>0.60009266924857563</v>
      </c>
      <c r="P835" s="206">
        <f ca="1">P851/Calcs!$C$2/3.6</f>
        <v>2.5674403446876952</v>
      </c>
      <c r="Q835" s="206">
        <f ca="1">Q851/Calcs!$C$2/3.6</f>
        <v>4.4185323468354323</v>
      </c>
      <c r="R835" s="206">
        <f>R851/Calcs!$C$2/3.6</f>
        <v>8.830763136863137</v>
      </c>
      <c r="S835" s="206">
        <f>S851/Calcs!$C$2/3.6</f>
        <v>2.0865205479452054</v>
      </c>
      <c r="T835" s="206">
        <f ca="1">T851/Calcs!$C$2/3.6</f>
        <v>15.335816031643775</v>
      </c>
      <c r="U835" s="206">
        <f t="shared" ca="1" si="199"/>
        <v>0.99976005836763648</v>
      </c>
      <c r="V835" s="206">
        <f ca="1">V851/Calcs!$C$2/3.6</f>
        <v>12.768991722783378</v>
      </c>
      <c r="W835" s="204"/>
      <c r="X835" s="204"/>
      <c r="Y835" s="204"/>
      <c r="Z835" s="204"/>
      <c r="AA835" s="204"/>
      <c r="AB835" s="204"/>
      <c r="AC835" s="204"/>
      <c r="AD835" s="204"/>
      <c r="AE835" s="204"/>
      <c r="AF835" s="204"/>
      <c r="AG835" s="204"/>
      <c r="AH835" s="204"/>
      <c r="AI835" s="204"/>
      <c r="AJ835" s="204"/>
      <c r="AK835" s="204"/>
      <c r="AL835" s="204"/>
    </row>
    <row r="836" spans="1:38" ht="15.75" x14ac:dyDescent="0.25">
      <c r="A836" s="202"/>
      <c r="B836" s="9" t="s">
        <v>120</v>
      </c>
      <c r="C836" s="206">
        <f ca="1">C852/Calcs!$C$2/3.6</f>
        <v>-1.8272024450007209</v>
      </c>
      <c r="D836" s="206">
        <f ca="1">D852/Calcs!$C$2/3.6</f>
        <v>-0.48082110808245726</v>
      </c>
      <c r="E836" s="206">
        <f ca="1">E852/Calcs!$C$2/3.6</f>
        <v>-2.3080235530831783</v>
      </c>
      <c r="F836" s="206">
        <f ca="1">F852/Calcs!$C$2/3.6</f>
        <v>4.5797482783531898</v>
      </c>
      <c r="G836" s="206">
        <f>G852/Calcs!$C$2/3.6</f>
        <v>9.1251219080919075</v>
      </c>
      <c r="H836" s="206">
        <f>H852/Calcs!$C$2/3.6</f>
        <v>2.1560712328767124</v>
      </c>
      <c r="I836" s="206">
        <f ca="1">I852/Calcs!$C$2/3.6</f>
        <v>15.860941419321808</v>
      </c>
      <c r="J836" s="206">
        <f t="shared" ca="1" si="198"/>
        <v>-0.14551617662943656</v>
      </c>
      <c r="K836" s="206">
        <f ca="1">K852/Calcs!$C$2/3.6</f>
        <v>0</v>
      </c>
      <c r="L836" s="204"/>
      <c r="M836" s="9" t="s">
        <v>120</v>
      </c>
      <c r="N836" s="206">
        <f ca="1">N852/Calcs!$C$2/3.6</f>
        <v>0.55644149392264175</v>
      </c>
      <c r="O836" s="206">
        <f ca="1">O852/Calcs!$C$2/3.6</f>
        <v>0.14585780126765088</v>
      </c>
      <c r="P836" s="206">
        <f ca="1">P852/Calcs!$C$2/3.6</f>
        <v>0.70229929519029266</v>
      </c>
      <c r="Q836" s="206">
        <f ca="1">Q852/Calcs!$C$2/3.6</f>
        <v>4.5797482783531898</v>
      </c>
      <c r="R836" s="206">
        <f>R852/Calcs!$C$2/3.6</f>
        <v>9.1251219080919075</v>
      </c>
      <c r="S836" s="206">
        <f>S852/Calcs!$C$2/3.6</f>
        <v>2.1560712328767124</v>
      </c>
      <c r="T836" s="206">
        <f ca="1">T852/Calcs!$C$2/3.6</f>
        <v>15.860941419321808</v>
      </c>
      <c r="U836" s="206">
        <f t="shared" ca="1" si="199"/>
        <v>0.99999936099607556</v>
      </c>
      <c r="V836" s="206">
        <f ca="1">V852/Calcs!$C$2/3.6</f>
        <v>15.158642572903522</v>
      </c>
      <c r="W836" s="204"/>
      <c r="X836" s="204"/>
      <c r="Y836" s="204"/>
      <c r="Z836" s="204"/>
      <c r="AA836" s="204"/>
      <c r="AB836" s="204"/>
      <c r="AC836" s="204"/>
      <c r="AD836" s="204"/>
      <c r="AE836" s="204"/>
      <c r="AF836" s="204"/>
      <c r="AG836" s="204"/>
      <c r="AH836" s="204"/>
      <c r="AI836" s="204"/>
      <c r="AJ836" s="204"/>
      <c r="AK836" s="204"/>
      <c r="AL836" s="204"/>
    </row>
    <row r="837" spans="1:38" ht="15.75" x14ac:dyDescent="0.25">
      <c r="A837" s="202"/>
      <c r="B837" s="9" t="s">
        <v>121</v>
      </c>
      <c r="C837" s="206">
        <f ca="1">C853/Calcs!$C$2/3.6</f>
        <v>-0.61106214287877103</v>
      </c>
      <c r="D837" s="206">
        <f ca="1">D853/Calcs!$C$2/3.6</f>
        <v>-0.14534167021081626</v>
      </c>
      <c r="E837" s="206">
        <f ca="1">E853/Calcs!$C$2/3.6</f>
        <v>-0.75640381308958726</v>
      </c>
      <c r="F837" s="206">
        <f ca="1">F853/Calcs!$C$2/3.6</f>
        <v>4.0296076616968515</v>
      </c>
      <c r="G837" s="206">
        <f>G853/Calcs!$C$2/3.6</f>
        <v>9.1251219080919075</v>
      </c>
      <c r="H837" s="206">
        <f>H853/Calcs!$C$2/3.6</f>
        <v>2.1560712328767124</v>
      </c>
      <c r="I837" s="206">
        <f ca="1">I853/Calcs!$C$2/3.6</f>
        <v>15.31080080266547</v>
      </c>
      <c r="J837" s="206">
        <f t="shared" ca="1" si="198"/>
        <v>-4.9403282221391336E-2</v>
      </c>
      <c r="K837" s="206">
        <f ca="1">K853/Calcs!$C$2/3.6</f>
        <v>0</v>
      </c>
      <c r="L837" s="204"/>
      <c r="M837" s="9" t="s">
        <v>121</v>
      </c>
      <c r="N837" s="206">
        <f ca="1">N853/Calcs!$C$2/3.6</f>
        <v>1.6879547631436289</v>
      </c>
      <c r="O837" s="206">
        <f ca="1">O853/Calcs!$C$2/3.6</f>
        <v>0.40276983934383059</v>
      </c>
      <c r="P837" s="206">
        <f ca="1">P853/Calcs!$C$2/3.6</f>
        <v>2.0907246024874593</v>
      </c>
      <c r="Q837" s="206">
        <f ca="1">Q853/Calcs!$C$2/3.6</f>
        <v>4.0296076616968515</v>
      </c>
      <c r="R837" s="206">
        <f>R853/Calcs!$C$2/3.6</f>
        <v>9.1251219080919075</v>
      </c>
      <c r="S837" s="206">
        <f>S853/Calcs!$C$2/3.6</f>
        <v>2.1560712328767124</v>
      </c>
      <c r="T837" s="206">
        <f ca="1">T853/Calcs!$C$2/3.6</f>
        <v>15.31080080266547</v>
      </c>
      <c r="U837" s="206">
        <f t="shared" ca="1" si="199"/>
        <v>0.99990176471230374</v>
      </c>
      <c r="V837" s="206">
        <f ca="1">V853/Calcs!$C$2/3.6</f>
        <v>13.220281583110831</v>
      </c>
      <c r="W837" s="204"/>
      <c r="X837" s="204"/>
      <c r="Y837" s="204"/>
      <c r="Z837" s="204"/>
      <c r="AA837" s="204"/>
      <c r="AB837" s="204"/>
      <c r="AC837" s="204"/>
      <c r="AD837" s="204"/>
      <c r="AE837" s="204"/>
      <c r="AF837" s="204"/>
      <c r="AG837" s="204"/>
      <c r="AH837" s="204"/>
      <c r="AI837" s="204"/>
      <c r="AJ837" s="204"/>
      <c r="AK837" s="204"/>
      <c r="AL837" s="204"/>
    </row>
    <row r="838" spans="1:38" ht="15.75" x14ac:dyDescent="0.25">
      <c r="A838" s="202"/>
      <c r="B838" s="9" t="s">
        <v>122</v>
      </c>
      <c r="C838" s="206">
        <f ca="1">C854/Calcs!$C$2/3.6</f>
        <v>1.2313785860311326</v>
      </c>
      <c r="D838" s="206">
        <f ca="1">D854/Calcs!$C$2/3.6</f>
        <v>0.26231437181915018</v>
      </c>
      <c r="E838" s="206">
        <f ca="1">E854/Calcs!$C$2/3.6</f>
        <v>1.4936929578502829</v>
      </c>
      <c r="F838" s="206">
        <f ca="1">F854/Calcs!$C$2/3.6</f>
        <v>3.4804319492233087</v>
      </c>
      <c r="G838" s="206">
        <f>G854/Calcs!$C$2/3.6</f>
        <v>8.830763136863137</v>
      </c>
      <c r="H838" s="206">
        <f>H854/Calcs!$C$2/3.6</f>
        <v>2.0865205479452054</v>
      </c>
      <c r="I838" s="206">
        <f ca="1">I854/Calcs!$C$2/3.6</f>
        <v>14.397715634031652</v>
      </c>
      <c r="J838" s="206">
        <f t="shared" ca="1" si="198"/>
        <v>0.10374211443080401</v>
      </c>
      <c r="K838" s="206">
        <f ca="1">K854/Calcs!$C$2/3.6</f>
        <v>4.3495002395124893E-5</v>
      </c>
      <c r="L838" s="204"/>
      <c r="M838" s="9" t="s">
        <v>122</v>
      </c>
      <c r="N838" s="206">
        <f ca="1">N854/Calcs!$C$2/3.6</f>
        <v>3.2864936424917497</v>
      </c>
      <c r="O838" s="206">
        <f ca="1">O854/Calcs!$C$2/3.6</f>
        <v>0.70344268091913853</v>
      </c>
      <c r="P838" s="206">
        <f ca="1">P854/Calcs!$C$2/3.6</f>
        <v>3.989936323410888</v>
      </c>
      <c r="Q838" s="206">
        <f ca="1">Q854/Calcs!$C$2/3.6</f>
        <v>3.4804319492233087</v>
      </c>
      <c r="R838" s="206">
        <f>R854/Calcs!$C$2/3.6</f>
        <v>8.830763136863137</v>
      </c>
      <c r="S838" s="206">
        <f>S854/Calcs!$C$2/3.6</f>
        <v>2.0865205479452054</v>
      </c>
      <c r="T838" s="206">
        <f ca="1">T854/Calcs!$C$2/3.6</f>
        <v>14.397715634031652</v>
      </c>
      <c r="U838" s="206">
        <f t="shared" ca="1" si="199"/>
        <v>0.99792321602274559</v>
      </c>
      <c r="V838" s="206">
        <f ca="1">V854/Calcs!$C$2/3.6</f>
        <v>10.416065546447491</v>
      </c>
      <c r="W838" s="204"/>
      <c r="X838" s="204"/>
      <c r="Y838" s="204"/>
      <c r="Z838" s="204"/>
      <c r="AA838" s="204"/>
      <c r="AB838" s="204"/>
      <c r="AC838" s="204"/>
      <c r="AD838" s="204"/>
      <c r="AE838" s="204"/>
      <c r="AF838" s="204"/>
      <c r="AG838" s="204"/>
      <c r="AH838" s="204"/>
      <c r="AI838" s="204"/>
      <c r="AJ838" s="204"/>
      <c r="AK838" s="204"/>
      <c r="AL838" s="204"/>
    </row>
    <row r="839" spans="1:38" ht="15.75" x14ac:dyDescent="0.25">
      <c r="A839" s="202"/>
      <c r="B839" s="9" t="s">
        <v>123</v>
      </c>
      <c r="C839" s="206">
        <f ca="1">C855/Calcs!$C$2/3.6</f>
        <v>4.9699457034407892</v>
      </c>
      <c r="D839" s="206">
        <f ca="1">D855/Calcs!$C$2/3.6</f>
        <v>1.4927209897451039</v>
      </c>
      <c r="E839" s="206">
        <f ca="1">E855/Calcs!$C$2/3.6</f>
        <v>6.4626666931858923</v>
      </c>
      <c r="F839" s="206">
        <f ca="1">F855/Calcs!$C$2/3.6</f>
        <v>2.9014067391363683</v>
      </c>
      <c r="G839" s="206">
        <f>G855/Calcs!$C$2/3.6</f>
        <v>9.1251219080919075</v>
      </c>
      <c r="H839" s="206">
        <f>H855/Calcs!$C$2/3.6</f>
        <v>2.1560712328767124</v>
      </c>
      <c r="I839" s="206">
        <f ca="1">I855/Calcs!$C$2/3.6</f>
        <v>14.18259988010499</v>
      </c>
      <c r="J839" s="206">
        <f t="shared" ca="1" si="198"/>
        <v>0.44870724950852098</v>
      </c>
      <c r="K839" s="206">
        <f ca="1">K855/Calcs!$C$2/3.6</f>
        <v>9.8831310104103079E-2</v>
      </c>
      <c r="L839" s="204"/>
      <c r="M839" s="9" t="s">
        <v>123</v>
      </c>
      <c r="N839" s="206">
        <f ca="1">N855/Calcs!$C$2/3.6</f>
        <v>6.8421286376335324</v>
      </c>
      <c r="O839" s="206">
        <f ca="1">O855/Calcs!$C$2/3.6</f>
        <v>2.0619743419000587</v>
      </c>
      <c r="P839" s="206">
        <f ca="1">P855/Calcs!$C$2/3.6</f>
        <v>8.904102979533592</v>
      </c>
      <c r="Q839" s="206">
        <f ca="1">Q855/Calcs!$C$2/3.6</f>
        <v>2.9014067391363683</v>
      </c>
      <c r="R839" s="206">
        <f>R855/Calcs!$C$2/3.6</f>
        <v>9.1251219080919075</v>
      </c>
      <c r="S839" s="206">
        <f>S855/Calcs!$C$2/3.6</f>
        <v>2.1560712328767124</v>
      </c>
      <c r="T839" s="206">
        <f ca="1">T855/Calcs!$C$2/3.6</f>
        <v>14.18259988010499</v>
      </c>
      <c r="U839" s="206">
        <f t="shared" ca="1" si="199"/>
        <v>0.95185259915708087</v>
      </c>
      <c r="V839" s="206">
        <f ca="1">V855/Calcs!$C$2/3.6</f>
        <v>5.7072063158736333</v>
      </c>
      <c r="W839" s="204"/>
      <c r="X839" s="204"/>
      <c r="Y839" s="204"/>
      <c r="Z839" s="204"/>
      <c r="AA839" s="204"/>
      <c r="AB839" s="204"/>
      <c r="AC839" s="204"/>
      <c r="AD839" s="204"/>
      <c r="AE839" s="204"/>
      <c r="AF839" s="204"/>
      <c r="AG839" s="204"/>
      <c r="AH839" s="204"/>
      <c r="AI839" s="204"/>
      <c r="AJ839" s="204"/>
      <c r="AK839" s="204"/>
      <c r="AL839" s="204"/>
    </row>
    <row r="840" spans="1:38" ht="15.75" x14ac:dyDescent="0.25">
      <c r="A840" s="202"/>
      <c r="B840" s="9" t="s">
        <v>124</v>
      </c>
      <c r="C840" s="206">
        <f ca="1">C856/Calcs!$C$2/3.6</f>
        <v>7.2088260813649168</v>
      </c>
      <c r="D840" s="206">
        <f ca="1">D856/Calcs!$C$2/3.6</f>
        <v>2.4224783614258367</v>
      </c>
      <c r="E840" s="206">
        <f ca="1">E856/Calcs!$C$2/3.6</f>
        <v>9.6313044427907535</v>
      </c>
      <c r="F840" s="206">
        <f ca="1">F856/Calcs!$C$2/3.6</f>
        <v>1.8111242490548882</v>
      </c>
      <c r="G840" s="206">
        <f>G856/Calcs!$C$2/3.6</f>
        <v>8.830763136863137</v>
      </c>
      <c r="H840" s="206">
        <f>H856/Calcs!$C$2/3.6</f>
        <v>2.0865205479452054</v>
      </c>
      <c r="I840" s="206">
        <f ca="1">I856/Calcs!$C$2/3.6</f>
        <v>12.728407933863231</v>
      </c>
      <c r="J840" s="206">
        <f t="shared" ca="1" si="198"/>
        <v>0.69116234487675865</v>
      </c>
      <c r="K840" s="206">
        <f ca="1">K856/Calcs!$C$2/3.6</f>
        <v>0.83390816867390383</v>
      </c>
      <c r="L840" s="204"/>
      <c r="M840" s="9" t="s">
        <v>124</v>
      </c>
      <c r="N840" s="206">
        <f ca="1">N856/Calcs!$C$2/3.6</f>
        <v>9.7495097100596766</v>
      </c>
      <c r="O840" s="206">
        <f ca="1">O856/Calcs!$C$2/3.6</f>
        <v>3.2901791865708803</v>
      </c>
      <c r="P840" s="206">
        <f ca="1">P856/Calcs!$C$2/3.6</f>
        <v>13.039688896630558</v>
      </c>
      <c r="Q840" s="206">
        <f ca="1">Q856/Calcs!$C$2/3.6</f>
        <v>1.8111242490548882</v>
      </c>
      <c r="R840" s="206">
        <f>R856/Calcs!$C$2/3.6</f>
        <v>8.830763136863137</v>
      </c>
      <c r="S840" s="206">
        <f>S856/Calcs!$C$2/3.6</f>
        <v>2.0865205479452054</v>
      </c>
      <c r="T840" s="206">
        <f ca="1">T856/Calcs!$C$2/3.6</f>
        <v>12.728407933863231</v>
      </c>
      <c r="U840" s="206">
        <f t="shared" ca="1" si="199"/>
        <v>0.81013083610616787</v>
      </c>
      <c r="V840" s="206">
        <f ca="1">V856/Calcs!$C$2/3.6</f>
        <v>2.164553865471603</v>
      </c>
      <c r="W840" s="204"/>
      <c r="X840" s="204"/>
      <c r="Y840" s="204"/>
      <c r="Z840" s="204"/>
      <c r="AA840" s="204"/>
      <c r="AB840" s="204"/>
      <c r="AC840" s="204"/>
      <c r="AD840" s="204"/>
      <c r="AE840" s="204"/>
      <c r="AF840" s="204"/>
      <c r="AG840" s="204"/>
      <c r="AH840" s="204"/>
      <c r="AI840" s="204"/>
      <c r="AJ840" s="204"/>
      <c r="AK840" s="204"/>
      <c r="AL840" s="204"/>
    </row>
    <row r="841" spans="1:38" ht="15.75" x14ac:dyDescent="0.25">
      <c r="A841" s="202"/>
      <c r="B841" s="9" t="s">
        <v>125</v>
      </c>
      <c r="C841" s="206">
        <f ca="1">C857/Calcs!$C$2/3.6</f>
        <v>11.386082606791772</v>
      </c>
      <c r="D841" s="206">
        <f ca="1">D857/Calcs!$C$2/3.6</f>
        <v>3.0878472912974693</v>
      </c>
      <c r="E841" s="206">
        <f ca="1">E857/Calcs!$C$2/3.6</f>
        <v>14.473929898089242</v>
      </c>
      <c r="F841" s="206">
        <f ca="1">F857/Calcs!$C$2/3.6</f>
        <v>1.6832051488062136</v>
      </c>
      <c r="G841" s="206">
        <f>G857/Calcs!$C$2/3.6</f>
        <v>9.1251219080919075</v>
      </c>
      <c r="H841" s="206">
        <f>H857/Calcs!$C$2/3.6</f>
        <v>2.1560712328767124</v>
      </c>
      <c r="I841" s="206">
        <f ca="1">I857/Calcs!$C$2/3.6</f>
        <v>12.964398289774834</v>
      </c>
      <c r="J841" s="206">
        <f t="shared" ca="1" si="198"/>
        <v>0.86221420098581136</v>
      </c>
      <c r="K841" s="206">
        <f ca="1">K857/Calcs!$C$2/3.6</f>
        <v>3.2958415854092129</v>
      </c>
      <c r="L841" s="204"/>
      <c r="M841" s="9" t="s">
        <v>125</v>
      </c>
      <c r="N841" s="206">
        <f ca="1">N857/Calcs!$C$2/3.6</f>
        <v>14.431505807445586</v>
      </c>
      <c r="O841" s="206">
        <f ca="1">O857/Calcs!$C$2/3.6</f>
        <v>3.9296281066557004</v>
      </c>
      <c r="P841" s="206">
        <f ca="1">P857/Calcs!$C$2/3.6</f>
        <v>18.361133914101284</v>
      </c>
      <c r="Q841" s="206">
        <f ca="1">Q857/Calcs!$C$2/3.6</f>
        <v>1.6832051488062136</v>
      </c>
      <c r="R841" s="206">
        <f>R857/Calcs!$C$2/3.6</f>
        <v>9.1251219080919075</v>
      </c>
      <c r="S841" s="206">
        <f>S857/Calcs!$C$2/3.6</f>
        <v>2.1560712328767124</v>
      </c>
      <c r="T841" s="206">
        <f ca="1">T857/Calcs!$C$2/3.6</f>
        <v>12.964398289774834</v>
      </c>
      <c r="U841" s="206">
        <f t="shared" ca="1" si="199"/>
        <v>0.65648759170426929</v>
      </c>
      <c r="V841" s="206">
        <f ca="1">V857/Calcs!$C$2/3.6</f>
        <v>0.91054170554689906</v>
      </c>
      <c r="W841" s="204"/>
      <c r="X841" s="204"/>
      <c r="Y841" s="204"/>
      <c r="Z841" s="204"/>
      <c r="AA841" s="204"/>
      <c r="AB841" s="204"/>
      <c r="AC841" s="204"/>
      <c r="AD841" s="204"/>
      <c r="AE841" s="204"/>
      <c r="AF841" s="204"/>
      <c r="AG841" s="204"/>
      <c r="AH841" s="204"/>
      <c r="AI841" s="204"/>
      <c r="AJ841" s="204"/>
      <c r="AK841" s="204"/>
      <c r="AL841" s="204"/>
    </row>
    <row r="842" spans="1:38" ht="15.75" x14ac:dyDescent="0.25">
      <c r="A842" s="202"/>
      <c r="B842" s="207" t="s">
        <v>178</v>
      </c>
      <c r="C842" s="208">
        <f t="shared" ref="C842:I842" ca="1" si="200">SUM(C830:C841)</f>
        <v>59.832765563364831</v>
      </c>
      <c r="D842" s="208">
        <f t="shared" ca="1" si="200"/>
        <v>18.454430118288712</v>
      </c>
      <c r="E842" s="208">
        <f t="shared" ca="1" si="200"/>
        <v>78.287195681653543</v>
      </c>
      <c r="F842" s="208">
        <f t="shared" ca="1" si="200"/>
        <v>38.097913714004683</v>
      </c>
      <c r="G842" s="208">
        <f t="shared" si="200"/>
        <v>107.44095149850151</v>
      </c>
      <c r="H842" s="208">
        <f t="shared" si="200"/>
        <v>25.386000000000003</v>
      </c>
      <c r="I842" s="208">
        <f t="shared" ca="1" si="200"/>
        <v>170.92486521250615</v>
      </c>
      <c r="J842" s="208" t="s">
        <v>479</v>
      </c>
      <c r="K842" s="208">
        <f ca="1">SUM(K830:K841)</f>
        <v>11.694556883908255</v>
      </c>
      <c r="L842" s="204"/>
      <c r="M842" s="207" t="s">
        <v>178</v>
      </c>
      <c r="N842" s="208">
        <f t="shared" ref="N842:T842" ca="1" si="201">SUM(N830:N841)</f>
        <v>88.400669289794095</v>
      </c>
      <c r="O842" s="208">
        <f t="shared" ca="1" si="201"/>
        <v>26.826006955136684</v>
      </c>
      <c r="P842" s="208">
        <f t="shared" ca="1" si="201"/>
        <v>115.22667624493079</v>
      </c>
      <c r="Q842" s="208">
        <f t="shared" ca="1" si="201"/>
        <v>38.097913714004683</v>
      </c>
      <c r="R842" s="208">
        <f>SUM(R830:R841)</f>
        <v>107.44095149850151</v>
      </c>
      <c r="S842" s="208">
        <f t="shared" si="201"/>
        <v>25.386000000000003</v>
      </c>
      <c r="T842" s="208">
        <f t="shared" ca="1" si="201"/>
        <v>170.92486521250615</v>
      </c>
      <c r="U842" s="208" t="s">
        <v>479</v>
      </c>
      <c r="V842" s="208">
        <f ca="1">SUM(V830:V841)</f>
        <v>80.244997038189481</v>
      </c>
      <c r="W842" s="204"/>
      <c r="X842" s="204"/>
      <c r="Y842" s="204"/>
      <c r="Z842" s="204"/>
      <c r="AA842" s="204"/>
      <c r="AB842" s="204"/>
      <c r="AC842" s="204"/>
      <c r="AD842" s="204"/>
      <c r="AE842" s="204"/>
      <c r="AF842" s="204"/>
      <c r="AG842" s="204"/>
      <c r="AH842" s="204"/>
      <c r="AI842" s="204"/>
      <c r="AJ842" s="204"/>
      <c r="AK842" s="204"/>
      <c r="AL842" s="204"/>
    </row>
    <row r="843" spans="1:38" ht="15.75" x14ac:dyDescent="0.25">
      <c r="A843" s="202"/>
      <c r="B843" s="203"/>
      <c r="C843" s="204"/>
      <c r="D843" s="204"/>
      <c r="E843" s="203"/>
      <c r="F843" s="204"/>
      <c r="G843" s="204"/>
      <c r="H843" s="204"/>
      <c r="I843" s="204"/>
      <c r="J843" s="204"/>
      <c r="K843" s="204"/>
      <c r="L843" s="204"/>
      <c r="M843" s="204"/>
      <c r="N843" s="204"/>
      <c r="O843" s="204"/>
      <c r="P843" s="204"/>
      <c r="Q843" s="204"/>
      <c r="R843" s="204"/>
      <c r="S843" s="204"/>
      <c r="T843" s="204"/>
      <c r="U843" s="204"/>
      <c r="V843" s="204"/>
      <c r="W843" s="204"/>
      <c r="X843" s="204"/>
      <c r="Y843" s="204"/>
      <c r="Z843" s="204"/>
      <c r="AA843" s="204"/>
      <c r="AB843" s="204"/>
      <c r="AC843" s="204"/>
      <c r="AD843" s="204"/>
      <c r="AE843" s="204"/>
      <c r="AF843" s="204"/>
      <c r="AG843" s="204"/>
      <c r="AH843" s="204"/>
      <c r="AI843" s="204"/>
      <c r="AJ843" s="204"/>
      <c r="AK843" s="204"/>
      <c r="AL843" s="204"/>
    </row>
    <row r="844" spans="1:38" ht="15.75" x14ac:dyDescent="0.25">
      <c r="A844" s="202"/>
      <c r="B844" s="205" t="s">
        <v>459</v>
      </c>
      <c r="C844" s="205"/>
      <c r="D844" s="205"/>
      <c r="E844" s="205"/>
      <c r="F844" s="205"/>
      <c r="G844" s="205"/>
      <c r="H844" s="205"/>
      <c r="I844" s="205"/>
      <c r="J844" s="205"/>
      <c r="K844" s="205"/>
      <c r="L844" s="204"/>
      <c r="M844" s="205" t="s">
        <v>460</v>
      </c>
      <c r="N844" s="205"/>
      <c r="O844" s="205"/>
      <c r="P844" s="205"/>
      <c r="Q844" s="205"/>
      <c r="R844" s="205"/>
      <c r="S844" s="205"/>
      <c r="T844" s="205"/>
      <c r="U844" s="205"/>
      <c r="V844" s="205"/>
      <c r="W844" s="204"/>
      <c r="X844" s="204"/>
      <c r="Y844" s="204"/>
      <c r="Z844" s="204"/>
      <c r="AA844" s="204"/>
      <c r="AB844" s="204"/>
      <c r="AC844" s="204"/>
      <c r="AD844" s="204"/>
      <c r="AE844" s="204"/>
      <c r="AF844" s="204"/>
      <c r="AG844" s="204"/>
      <c r="AH844" s="204"/>
      <c r="AI844" s="204"/>
      <c r="AJ844" s="204"/>
      <c r="AK844" s="204"/>
      <c r="AL844" s="204"/>
    </row>
    <row r="845" spans="1:38" ht="27" x14ac:dyDescent="0.25">
      <c r="A845" s="202"/>
      <c r="B845" s="9" t="s">
        <v>373</v>
      </c>
      <c r="C845" s="7" t="s">
        <v>480</v>
      </c>
      <c r="D845" s="7" t="s">
        <v>481</v>
      </c>
      <c r="E845" s="7" t="s">
        <v>482</v>
      </c>
      <c r="F845" s="7" t="s">
        <v>483</v>
      </c>
      <c r="G845" s="7" t="s">
        <v>484</v>
      </c>
      <c r="H845" s="7" t="s">
        <v>485</v>
      </c>
      <c r="I845" s="7" t="s">
        <v>486</v>
      </c>
      <c r="J845" s="9" t="s">
        <v>468</v>
      </c>
      <c r="K845" s="7" t="s">
        <v>487</v>
      </c>
      <c r="L845" s="204"/>
      <c r="M845" s="9" t="s">
        <v>373</v>
      </c>
      <c r="N845" s="7" t="s">
        <v>488</v>
      </c>
      <c r="O845" s="7" t="s">
        <v>489</v>
      </c>
      <c r="P845" s="7" t="s">
        <v>490</v>
      </c>
      <c r="Q845" s="7" t="s">
        <v>491</v>
      </c>
      <c r="R845" s="7" t="s">
        <v>492</v>
      </c>
      <c r="S845" s="7" t="s">
        <v>493</v>
      </c>
      <c r="T845" s="7" t="s">
        <v>494</v>
      </c>
      <c r="U845" s="9" t="s">
        <v>477</v>
      </c>
      <c r="V845" s="7" t="s">
        <v>495</v>
      </c>
      <c r="W845" s="204"/>
      <c r="X845" s="204"/>
      <c r="Y845" s="204"/>
      <c r="Z845" s="204"/>
      <c r="AA845" s="204"/>
      <c r="AB845" s="204"/>
      <c r="AC845" s="204"/>
      <c r="AD845" s="204"/>
      <c r="AE845" s="204"/>
      <c r="AF845" s="204"/>
      <c r="AG845" s="204"/>
      <c r="AH845" s="204"/>
      <c r="AI845" s="204"/>
      <c r="AJ845" s="204"/>
      <c r="AK845" s="204"/>
      <c r="AL845" s="204"/>
    </row>
    <row r="846" spans="1:38" ht="15.75" x14ac:dyDescent="0.25">
      <c r="A846" s="202"/>
      <c r="B846" s="9" t="s">
        <v>114</v>
      </c>
      <c r="C846" s="208">
        <f t="shared" ref="C846:C857" ca="1" si="202">C345</f>
        <v>293423.9176942195</v>
      </c>
      <c r="D846" s="208">
        <f t="shared" ref="D846:D857" ca="1" si="203">E345</f>
        <v>90971.498491787774</v>
      </c>
      <c r="E846" s="208">
        <f t="shared" ref="E846:E857" ca="1" si="204">C846+D846</f>
        <v>384395.41618600726</v>
      </c>
      <c r="F846" s="208">
        <f t="shared" ref="F846:F857" ca="1" si="205">AM144</f>
        <v>48131.632961255258</v>
      </c>
      <c r="G846" s="208">
        <f t="shared" ref="G846:G857" si="206">C313+D313</f>
        <v>225715.36546979821</v>
      </c>
      <c r="H846" s="208">
        <f t="shared" ref="H846:H857" si="207">E313</f>
        <v>53331.715587945204</v>
      </c>
      <c r="I846" s="208">
        <f t="shared" ref="I846:I857" ca="1" si="208">F846+G846+H846</f>
        <v>327178.71401899867</v>
      </c>
      <c r="J846" s="209">
        <f t="shared" ref="J846:J857" ca="1" si="209">J345</f>
        <v>0.8794274607527669</v>
      </c>
      <c r="K846" s="208">
        <f t="shared" ref="K846:K857" ca="1" si="210">L345</f>
        <v>96665.470503923541</v>
      </c>
      <c r="L846" s="204"/>
      <c r="M846" s="9" t="s">
        <v>114</v>
      </c>
      <c r="N846" s="208">
        <f t="shared" ref="N846:N857" ca="1" si="211">C371</f>
        <v>369366.21139375865</v>
      </c>
      <c r="O846" s="208">
        <f t="shared" ref="O846:O857" ca="1" si="212">E371</f>
        <v>114996.10121989895</v>
      </c>
      <c r="P846" s="208">
        <f t="shared" ref="P846:P857" ca="1" si="213">N846+O846</f>
        <v>484362.31261365762</v>
      </c>
      <c r="Q846" s="208">
        <f ca="1">AM144</f>
        <v>48131.632961255258</v>
      </c>
      <c r="R846" s="208">
        <f t="shared" ref="R846:R857" si="214">C313+D313</f>
        <v>225715.36546979821</v>
      </c>
      <c r="S846" s="208">
        <f t="shared" ref="S846:S857" si="215">E313</f>
        <v>53331.715587945204</v>
      </c>
      <c r="T846" s="208">
        <f t="shared" ref="T846:T857" ca="1" si="216">Q846+R846+S846</f>
        <v>327178.71401899867</v>
      </c>
      <c r="U846" s="209">
        <f t="shared" ref="U846:U857" ca="1" si="217">J371</f>
        <v>0.63420634376485618</v>
      </c>
      <c r="V846" s="208">
        <f t="shared" ref="V846:V857" ca="1" si="218">L371</f>
        <v>19993.062678800605</v>
      </c>
      <c r="W846" s="204"/>
      <c r="X846" s="204"/>
      <c r="Y846" s="204"/>
      <c r="Z846" s="204"/>
      <c r="AA846" s="204"/>
      <c r="AB846" s="204"/>
      <c r="AC846" s="204"/>
      <c r="AD846" s="204"/>
      <c r="AE846" s="204"/>
      <c r="AF846" s="204"/>
      <c r="AG846" s="204"/>
      <c r="AH846" s="204"/>
      <c r="AI846" s="204"/>
      <c r="AJ846" s="204"/>
      <c r="AK846" s="204"/>
      <c r="AL846" s="204"/>
    </row>
    <row r="847" spans="1:38" ht="15.75" x14ac:dyDescent="0.25">
      <c r="A847" s="202"/>
      <c r="B847" s="9" t="s">
        <v>115</v>
      </c>
      <c r="C847" s="208">
        <f t="shared" ca="1" si="202"/>
        <v>242256.265810629</v>
      </c>
      <c r="D847" s="208">
        <f t="shared" ca="1" si="203"/>
        <v>78113.716508622179</v>
      </c>
      <c r="E847" s="208">
        <f t="shared" ca="1" si="204"/>
        <v>320369.98231925117</v>
      </c>
      <c r="F847" s="208">
        <f t="shared" ca="1" si="205"/>
        <v>57425.623366208849</v>
      </c>
      <c r="G847" s="208">
        <f t="shared" si="206"/>
        <v>203871.94300497902</v>
      </c>
      <c r="H847" s="208">
        <f t="shared" si="207"/>
        <v>48170.581821369866</v>
      </c>
      <c r="I847" s="208">
        <f t="shared" ca="1" si="208"/>
        <v>309468.14819255774</v>
      </c>
      <c r="J847" s="209">
        <f t="shared" ca="1" si="209"/>
        <v>0.83407888912925665</v>
      </c>
      <c r="K847" s="208">
        <f t="shared" ca="1" si="210"/>
        <v>62249.13305391444</v>
      </c>
      <c r="L847" s="204"/>
      <c r="M847" s="9" t="s">
        <v>115</v>
      </c>
      <c r="N847" s="208">
        <f t="shared" ca="1" si="211"/>
        <v>309149.88359472004</v>
      </c>
      <c r="O847" s="208">
        <f t="shared" ca="1" si="212"/>
        <v>100106.72641575211</v>
      </c>
      <c r="P847" s="208">
        <f t="shared" ca="1" si="213"/>
        <v>409256.61001047213</v>
      </c>
      <c r="Q847" s="208">
        <f t="shared" ref="Q847:Q858" ca="1" si="219">AM145</f>
        <v>57425.623366208849</v>
      </c>
      <c r="R847" s="208">
        <f t="shared" si="214"/>
        <v>203871.94300497902</v>
      </c>
      <c r="S847" s="208">
        <f t="shared" si="215"/>
        <v>48170.581821369866</v>
      </c>
      <c r="T847" s="208">
        <f t="shared" ca="1" si="216"/>
        <v>309468.14819255774</v>
      </c>
      <c r="U847" s="209">
        <f t="shared" ca="1" si="217"/>
        <v>0.69082890724967283</v>
      </c>
      <c r="V847" s="208">
        <f t="shared" ca="1" si="218"/>
        <v>26741.851514317794</v>
      </c>
      <c r="W847" s="204"/>
      <c r="X847" s="204"/>
      <c r="Y847" s="204"/>
      <c r="Z847" s="204"/>
      <c r="AA847" s="204"/>
      <c r="AB847" s="204"/>
      <c r="AC847" s="204"/>
      <c r="AD847" s="204"/>
      <c r="AE847" s="204"/>
      <c r="AF847" s="204"/>
      <c r="AG847" s="204"/>
      <c r="AH847" s="204"/>
      <c r="AI847" s="204"/>
      <c r="AJ847" s="204"/>
      <c r="AK847" s="204"/>
      <c r="AL847" s="204"/>
    </row>
    <row r="848" spans="1:38" ht="15.75" x14ac:dyDescent="0.25">
      <c r="A848" s="202"/>
      <c r="B848" s="9" t="s">
        <v>116</v>
      </c>
      <c r="C848" s="208">
        <f t="shared" ca="1" si="202"/>
        <v>197579.9544500323</v>
      </c>
      <c r="D848" s="208">
        <f t="shared" ca="1" si="203"/>
        <v>69059.679760475876</v>
      </c>
      <c r="E848" s="208">
        <f t="shared" ca="1" si="204"/>
        <v>266639.6342105082</v>
      </c>
      <c r="F848" s="208">
        <f t="shared" ca="1" si="205"/>
        <v>77446.810380523733</v>
      </c>
      <c r="G848" s="208">
        <f t="shared" si="206"/>
        <v>225715.36546979821</v>
      </c>
      <c r="H848" s="208">
        <f t="shared" si="207"/>
        <v>53331.715587945204</v>
      </c>
      <c r="I848" s="208">
        <f t="shared" ca="1" si="208"/>
        <v>356493.89143826714</v>
      </c>
      <c r="J848" s="209">
        <f t="shared" ca="1" si="209"/>
        <v>0.68537739659022323</v>
      </c>
      <c r="K848" s="208">
        <f t="shared" ca="1" si="210"/>
        <v>22306.778996231005</v>
      </c>
      <c r="L848" s="204"/>
      <c r="M848" s="9" t="s">
        <v>116</v>
      </c>
      <c r="N848" s="208">
        <f t="shared" ca="1" si="211"/>
        <v>260906.52964104005</v>
      </c>
      <c r="O848" s="208">
        <f t="shared" ca="1" si="212"/>
        <v>91567.757600615732</v>
      </c>
      <c r="P848" s="208">
        <f t="shared" ca="1" si="213"/>
        <v>352474.28724165575</v>
      </c>
      <c r="Q848" s="208">
        <f t="shared" ca="1" si="219"/>
        <v>77446.810380523733</v>
      </c>
      <c r="R848" s="208">
        <f t="shared" si="214"/>
        <v>225715.36546979821</v>
      </c>
      <c r="S848" s="208">
        <f t="shared" si="215"/>
        <v>53331.715587945204</v>
      </c>
      <c r="T848" s="208">
        <f t="shared" ca="1" si="216"/>
        <v>356493.89143826714</v>
      </c>
      <c r="U848" s="209">
        <f t="shared" ca="1" si="217"/>
        <v>0.8247976424610447</v>
      </c>
      <c r="V848" s="208">
        <f t="shared" ca="1" si="218"/>
        <v>65773.930293212412</v>
      </c>
      <c r="W848" s="204"/>
      <c r="X848" s="204"/>
      <c r="Y848" s="204"/>
      <c r="Z848" s="204"/>
      <c r="AA848" s="204"/>
      <c r="AB848" s="204"/>
      <c r="AC848" s="204"/>
      <c r="AD848" s="204"/>
      <c r="AE848" s="204"/>
      <c r="AF848" s="204"/>
      <c r="AG848" s="204"/>
      <c r="AH848" s="204"/>
      <c r="AI848" s="204"/>
      <c r="AJ848" s="204"/>
      <c r="AK848" s="204"/>
      <c r="AL848" s="204"/>
    </row>
    <row r="849" spans="1:38" ht="15.75" x14ac:dyDescent="0.25">
      <c r="A849" s="202"/>
      <c r="B849" s="9" t="s">
        <v>117</v>
      </c>
      <c r="C849" s="208">
        <f t="shared" ca="1" si="202"/>
        <v>132117.60029227188</v>
      </c>
      <c r="D849" s="208">
        <f t="shared" ca="1" si="203"/>
        <v>40195.808933136446</v>
      </c>
      <c r="E849" s="208">
        <f t="shared" ca="1" si="204"/>
        <v>172313.40922540834</v>
      </c>
      <c r="F849" s="208">
        <f t="shared" ca="1" si="205"/>
        <v>83490.318736398593</v>
      </c>
      <c r="G849" s="208">
        <f t="shared" si="206"/>
        <v>218434.22464819183</v>
      </c>
      <c r="H849" s="208">
        <f t="shared" si="207"/>
        <v>51611.337665753425</v>
      </c>
      <c r="I849" s="208">
        <f t="shared" ca="1" si="208"/>
        <v>353535.88105034386</v>
      </c>
      <c r="J849" s="209">
        <f t="shared" ca="1" si="209"/>
        <v>0.47780297029022106</v>
      </c>
      <c r="K849" s="208">
        <f t="shared" ca="1" si="210"/>
        <v>3392.9151553837582</v>
      </c>
      <c r="L849" s="204"/>
      <c r="M849" s="9" t="s">
        <v>117</v>
      </c>
      <c r="N849" s="208">
        <f t="shared" ca="1" si="211"/>
        <v>176729.36391979185</v>
      </c>
      <c r="O849" s="208">
        <f t="shared" ca="1" si="212"/>
        <v>53944.547699391369</v>
      </c>
      <c r="P849" s="208">
        <f t="shared" ca="1" si="213"/>
        <v>230673.91161918323</v>
      </c>
      <c r="Q849" s="208">
        <f t="shared" ca="1" si="219"/>
        <v>83490.318736398593</v>
      </c>
      <c r="R849" s="208">
        <f t="shared" si="214"/>
        <v>218434.22464819183</v>
      </c>
      <c r="S849" s="208">
        <f t="shared" si="215"/>
        <v>51611.337665753425</v>
      </c>
      <c r="T849" s="208">
        <f t="shared" ca="1" si="216"/>
        <v>353535.88105034386</v>
      </c>
      <c r="U849" s="209">
        <f t="shared" ca="1" si="217"/>
        <v>0.94534596238099122</v>
      </c>
      <c r="V849" s="208">
        <f t="shared" ca="1" si="218"/>
        <v>135469.23007451938</v>
      </c>
      <c r="W849" s="204"/>
      <c r="X849" s="204"/>
      <c r="Y849" s="204"/>
      <c r="Z849" s="204"/>
      <c r="AA849" s="204"/>
      <c r="AB849" s="204"/>
      <c r="AC849" s="204"/>
      <c r="AD849" s="204"/>
      <c r="AE849" s="204"/>
      <c r="AF849" s="204"/>
      <c r="AG849" s="204"/>
      <c r="AH849" s="204"/>
      <c r="AI849" s="204"/>
      <c r="AJ849" s="204"/>
      <c r="AK849" s="204"/>
      <c r="AL849" s="204"/>
    </row>
    <row r="850" spans="1:38" ht="15.75" x14ac:dyDescent="0.25">
      <c r="A850" s="202"/>
      <c r="B850" s="9" t="s">
        <v>118</v>
      </c>
      <c r="C850" s="208">
        <f t="shared" ca="1" si="202"/>
        <v>67903.854567768023</v>
      </c>
      <c r="D850" s="208">
        <f t="shared" ca="1" si="203"/>
        <v>15832.544960352558</v>
      </c>
      <c r="E850" s="208">
        <f t="shared" ca="1" si="204"/>
        <v>83736.399528120586</v>
      </c>
      <c r="F850" s="208">
        <f t="shared" ca="1" si="205"/>
        <v>109334.79219714076</v>
      </c>
      <c r="G850" s="208">
        <f t="shared" si="206"/>
        <v>225715.36546979821</v>
      </c>
      <c r="H850" s="208">
        <f t="shared" si="207"/>
        <v>53331.715587945204</v>
      </c>
      <c r="I850" s="208">
        <f t="shared" ca="1" si="208"/>
        <v>388381.87325488415</v>
      </c>
      <c r="J850" s="209">
        <f t="shared" ca="1" si="209"/>
        <v>0.215448730717019</v>
      </c>
      <c r="K850" s="208">
        <f t="shared" ca="1" si="210"/>
        <v>60.017901857645484</v>
      </c>
      <c r="L850" s="204"/>
      <c r="M850" s="9" t="s">
        <v>118</v>
      </c>
      <c r="N850" s="208">
        <f t="shared" ca="1" si="211"/>
        <v>117642.11681136985</v>
      </c>
      <c r="O850" s="208">
        <f t="shared" ca="1" si="212"/>
        <v>27537.444015264453</v>
      </c>
      <c r="P850" s="208">
        <f t="shared" ca="1" si="213"/>
        <v>145179.56082663429</v>
      </c>
      <c r="Q850" s="208">
        <f t="shared" ca="1" si="219"/>
        <v>109334.79219714076</v>
      </c>
      <c r="R850" s="208">
        <f t="shared" si="214"/>
        <v>225715.36546979821</v>
      </c>
      <c r="S850" s="208">
        <f t="shared" si="215"/>
        <v>53331.715587945204</v>
      </c>
      <c r="T850" s="208">
        <f t="shared" ca="1" si="216"/>
        <v>388381.87325488415</v>
      </c>
      <c r="U850" s="209">
        <f t="shared" ca="1" si="217"/>
        <v>0.99293126217498162</v>
      </c>
      <c r="V850" s="208">
        <f t="shared" ca="1" si="218"/>
        <v>244228.54868128465</v>
      </c>
      <c r="W850" s="204"/>
      <c r="X850" s="204"/>
      <c r="Y850" s="204"/>
      <c r="Z850" s="204"/>
      <c r="AA850" s="204"/>
      <c r="AB850" s="204"/>
      <c r="AC850" s="204"/>
      <c r="AD850" s="204"/>
      <c r="AE850" s="204"/>
      <c r="AF850" s="204"/>
      <c r="AG850" s="204"/>
      <c r="AH850" s="204"/>
      <c r="AI850" s="204"/>
      <c r="AJ850" s="204"/>
      <c r="AK850" s="204"/>
      <c r="AL850" s="204"/>
    </row>
    <row r="851" spans="1:38" ht="15.75" x14ac:dyDescent="0.25">
      <c r="A851" s="202"/>
      <c r="B851" s="9" t="s">
        <v>119</v>
      </c>
      <c r="C851" s="208">
        <f t="shared" ca="1" si="202"/>
        <v>-6319.9998472320203</v>
      </c>
      <c r="D851" s="208">
        <f t="shared" ca="1" si="203"/>
        <v>-1916.3989066927645</v>
      </c>
      <c r="E851" s="208">
        <f t="shared" ca="1" si="204"/>
        <v>-8236.3987539247846</v>
      </c>
      <c r="F851" s="208">
        <f t="shared" ca="1" si="205"/>
        <v>109295.04871838252</v>
      </c>
      <c r="G851" s="208">
        <f t="shared" si="206"/>
        <v>218434.22464819183</v>
      </c>
      <c r="H851" s="208">
        <f t="shared" si="207"/>
        <v>51611.337665753425</v>
      </c>
      <c r="I851" s="208">
        <f t="shared" ca="1" si="208"/>
        <v>379340.61103232775</v>
      </c>
      <c r="J851" s="209">
        <f t="shared" ca="1" si="209"/>
        <v>-2.1712409677177621E-2</v>
      </c>
      <c r="K851" s="208">
        <f t="shared" ca="1" si="210"/>
        <v>0</v>
      </c>
      <c r="L851" s="204"/>
      <c r="M851" s="9" t="s">
        <v>119</v>
      </c>
      <c r="N851" s="208">
        <f t="shared" ca="1" si="211"/>
        <v>48663.525160591889</v>
      </c>
      <c r="O851" s="208">
        <f t="shared" ca="1" si="212"/>
        <v>14843.652229465069</v>
      </c>
      <c r="P851" s="208">
        <f t="shared" ca="1" si="213"/>
        <v>63507.177390056961</v>
      </c>
      <c r="Q851" s="208">
        <f t="shared" ca="1" si="219"/>
        <v>109295.04871838252</v>
      </c>
      <c r="R851" s="208">
        <f t="shared" si="214"/>
        <v>218434.22464819183</v>
      </c>
      <c r="S851" s="208">
        <f t="shared" si="215"/>
        <v>51611.337665753425</v>
      </c>
      <c r="T851" s="208">
        <f t="shared" ca="1" si="216"/>
        <v>379340.61103232775</v>
      </c>
      <c r="U851" s="209">
        <f t="shared" ca="1" si="217"/>
        <v>0.99976005836763648</v>
      </c>
      <c r="V851" s="208">
        <f t="shared" ca="1" si="218"/>
        <v>315848.67165808054</v>
      </c>
      <c r="W851" s="204"/>
      <c r="X851" s="204"/>
      <c r="Y851" s="204"/>
      <c r="Z851" s="204"/>
      <c r="AA851" s="204"/>
      <c r="AB851" s="204"/>
      <c r="AC851" s="204"/>
      <c r="AD851" s="204"/>
      <c r="AE851" s="204"/>
      <c r="AF851" s="204"/>
      <c r="AG851" s="204"/>
      <c r="AH851" s="204"/>
      <c r="AI851" s="204"/>
      <c r="AJ851" s="204"/>
      <c r="AK851" s="204"/>
      <c r="AL851" s="204"/>
    </row>
    <row r="852" spans="1:38" ht="15.75" x14ac:dyDescent="0.25">
      <c r="A852" s="202"/>
      <c r="B852" s="9" t="s">
        <v>120</v>
      </c>
      <c r="C852" s="208">
        <f t="shared" ca="1" si="202"/>
        <v>-45196.948798559839</v>
      </c>
      <c r="D852" s="208">
        <f t="shared" ca="1" si="203"/>
        <v>-11893.398601084431</v>
      </c>
      <c r="E852" s="208">
        <f t="shared" ca="1" si="204"/>
        <v>-57090.34739964427</v>
      </c>
      <c r="F852" s="208">
        <f t="shared" ca="1" si="205"/>
        <v>113282.82151403316</v>
      </c>
      <c r="G852" s="208">
        <f t="shared" si="206"/>
        <v>225715.36546979821</v>
      </c>
      <c r="H852" s="208">
        <f t="shared" si="207"/>
        <v>53331.715587945204</v>
      </c>
      <c r="I852" s="208">
        <f t="shared" ca="1" si="208"/>
        <v>392329.90257177653</v>
      </c>
      <c r="J852" s="209">
        <f t="shared" ca="1" si="209"/>
        <v>-0.14551617662943656</v>
      </c>
      <c r="K852" s="208">
        <f t="shared" ca="1" si="210"/>
        <v>0</v>
      </c>
      <c r="L852" s="204"/>
      <c r="M852" s="9" t="s">
        <v>120</v>
      </c>
      <c r="N852" s="208">
        <f t="shared" ca="1" si="211"/>
        <v>13763.914217072897</v>
      </c>
      <c r="O852" s="208">
        <f t="shared" ca="1" si="212"/>
        <v>3607.8802290361054</v>
      </c>
      <c r="P852" s="208">
        <f t="shared" ca="1" si="213"/>
        <v>17371.794446109001</v>
      </c>
      <c r="Q852" s="208">
        <f t="shared" ca="1" si="219"/>
        <v>113282.82151403316</v>
      </c>
      <c r="R852" s="208">
        <f t="shared" si="214"/>
        <v>225715.36546979821</v>
      </c>
      <c r="S852" s="208">
        <f t="shared" si="215"/>
        <v>53331.715587945204</v>
      </c>
      <c r="T852" s="208">
        <f t="shared" ca="1" si="216"/>
        <v>392329.90257177653</v>
      </c>
      <c r="U852" s="209">
        <f t="shared" ca="1" si="217"/>
        <v>0.99999936099607556</v>
      </c>
      <c r="V852" s="208">
        <f t="shared" ca="1" si="218"/>
        <v>374958.11922631238</v>
      </c>
      <c r="W852" s="204"/>
      <c r="X852" s="204"/>
      <c r="Y852" s="204"/>
      <c r="Z852" s="204"/>
      <c r="AA852" s="204"/>
      <c r="AB852" s="204"/>
      <c r="AC852" s="204"/>
      <c r="AD852" s="204"/>
      <c r="AE852" s="204"/>
      <c r="AF852" s="204"/>
      <c r="AG852" s="204"/>
      <c r="AH852" s="204"/>
      <c r="AI852" s="204"/>
      <c r="AJ852" s="204"/>
      <c r="AK852" s="204"/>
      <c r="AL852" s="204"/>
    </row>
    <row r="853" spans="1:38" ht="15.75" x14ac:dyDescent="0.25">
      <c r="A853" s="202"/>
      <c r="B853" s="9" t="s">
        <v>121</v>
      </c>
      <c r="C853" s="208">
        <f t="shared" ca="1" si="202"/>
        <v>-15114.988741392128</v>
      </c>
      <c r="D853" s="208">
        <f t="shared" ca="1" si="203"/>
        <v>-3595.1134176666669</v>
      </c>
      <c r="E853" s="208">
        <f t="shared" ca="1" si="204"/>
        <v>-18710.102159058795</v>
      </c>
      <c r="F853" s="208">
        <f t="shared" ca="1" si="205"/>
        <v>99674.763276668644</v>
      </c>
      <c r="G853" s="208">
        <f t="shared" si="206"/>
        <v>225715.36546979821</v>
      </c>
      <c r="H853" s="208">
        <f t="shared" si="207"/>
        <v>53331.715587945204</v>
      </c>
      <c r="I853" s="208">
        <f t="shared" ca="1" si="208"/>
        <v>378721.84433441202</v>
      </c>
      <c r="J853" s="209">
        <f t="shared" ca="1" si="209"/>
        <v>-4.9403282221391336E-2</v>
      </c>
      <c r="K853" s="208">
        <f t="shared" ca="1" si="210"/>
        <v>0</v>
      </c>
      <c r="L853" s="204"/>
      <c r="M853" s="9" t="s">
        <v>121</v>
      </c>
      <c r="N853" s="208">
        <f t="shared" ca="1" si="211"/>
        <v>41752.573839215547</v>
      </c>
      <c r="O853" s="208">
        <f t="shared" ca="1" si="212"/>
        <v>9962.7536380732563</v>
      </c>
      <c r="P853" s="208">
        <f t="shared" ca="1" si="213"/>
        <v>51715.327477288803</v>
      </c>
      <c r="Q853" s="208">
        <f t="shared" ca="1" si="219"/>
        <v>99674.763276668644</v>
      </c>
      <c r="R853" s="208">
        <f t="shared" si="214"/>
        <v>225715.36546979821</v>
      </c>
      <c r="S853" s="208">
        <f t="shared" si="215"/>
        <v>53331.715587945204</v>
      </c>
      <c r="T853" s="208">
        <f t="shared" ca="1" si="216"/>
        <v>378721.84433441202</v>
      </c>
      <c r="U853" s="209">
        <f t="shared" ca="1" si="217"/>
        <v>0.99990176471230374</v>
      </c>
      <c r="V853" s="208">
        <f t="shared" ca="1" si="218"/>
        <v>327011.59712719626</v>
      </c>
      <c r="W853" s="204"/>
      <c r="X853" s="204"/>
      <c r="Y853" s="204"/>
      <c r="Z853" s="204"/>
      <c r="AA853" s="204"/>
      <c r="AB853" s="204"/>
      <c r="AC853" s="204"/>
      <c r="AD853" s="204"/>
      <c r="AE853" s="204"/>
      <c r="AF853" s="204"/>
      <c r="AG853" s="204"/>
      <c r="AH853" s="204"/>
      <c r="AI853" s="204"/>
      <c r="AJ853" s="204"/>
      <c r="AK853" s="204"/>
      <c r="AL853" s="204"/>
    </row>
    <row r="854" spans="1:38" ht="15.75" x14ac:dyDescent="0.25">
      <c r="A854" s="202"/>
      <c r="B854" s="9" t="s">
        <v>122</v>
      </c>
      <c r="C854" s="208">
        <f t="shared" ca="1" si="202"/>
        <v>30458.888152631684</v>
      </c>
      <c r="D854" s="208">
        <f t="shared" ca="1" si="203"/>
        <v>6488.5033755697705</v>
      </c>
      <c r="E854" s="208">
        <f t="shared" ca="1" si="204"/>
        <v>36947.391528201457</v>
      </c>
      <c r="F854" s="208">
        <f t="shared" ca="1" si="205"/>
        <v>86090.572523208073</v>
      </c>
      <c r="G854" s="208">
        <f t="shared" si="206"/>
        <v>218434.22464819183</v>
      </c>
      <c r="H854" s="208">
        <f t="shared" si="207"/>
        <v>51611.337665753425</v>
      </c>
      <c r="I854" s="208">
        <f t="shared" ca="1" si="208"/>
        <v>356136.13483715337</v>
      </c>
      <c r="J854" s="209">
        <f t="shared" ca="1" si="209"/>
        <v>0.10374211443080401</v>
      </c>
      <c r="K854" s="208">
        <f t="shared" ca="1" si="210"/>
        <v>1.0758749812448514</v>
      </c>
      <c r="L854" s="204"/>
      <c r="M854" s="9" t="s">
        <v>122</v>
      </c>
      <c r="N854" s="208">
        <f t="shared" ca="1" si="211"/>
        <v>81293.392143218924</v>
      </c>
      <c r="O854" s="208">
        <f t="shared" ca="1" si="212"/>
        <v>17400.076778143444</v>
      </c>
      <c r="P854" s="208">
        <f t="shared" ca="1" si="213"/>
        <v>98693.468921362364</v>
      </c>
      <c r="Q854" s="208">
        <f t="shared" ca="1" si="219"/>
        <v>86090.572523208073</v>
      </c>
      <c r="R854" s="208">
        <f t="shared" si="214"/>
        <v>218434.22464819183</v>
      </c>
      <c r="S854" s="208">
        <f t="shared" si="215"/>
        <v>51611.337665753425</v>
      </c>
      <c r="T854" s="208">
        <f t="shared" ca="1" si="216"/>
        <v>356136.13483715337</v>
      </c>
      <c r="U854" s="209">
        <f t="shared" ca="1" si="217"/>
        <v>0.99792321602274559</v>
      </c>
      <c r="V854" s="208">
        <f t="shared" ca="1" si="218"/>
        <v>257647.63093070654</v>
      </c>
      <c r="W854" s="204"/>
      <c r="X854" s="204"/>
      <c r="Y854" s="204"/>
      <c r="Z854" s="204"/>
      <c r="AA854" s="204"/>
      <c r="AB854" s="204"/>
      <c r="AC854" s="204"/>
      <c r="AD854" s="204"/>
      <c r="AE854" s="204"/>
      <c r="AF854" s="204"/>
      <c r="AG854" s="204"/>
      <c r="AH854" s="204"/>
      <c r="AI854" s="204"/>
      <c r="AJ854" s="204"/>
      <c r="AK854" s="204"/>
      <c r="AL854" s="204"/>
    </row>
    <row r="855" spans="1:38" ht="15.75" x14ac:dyDescent="0.25">
      <c r="A855" s="202"/>
      <c r="B855" s="9" t="s">
        <v>123</v>
      </c>
      <c r="C855" s="208">
        <f t="shared" ca="1" si="202"/>
        <v>122934.58894202999</v>
      </c>
      <c r="D855" s="208">
        <f t="shared" ca="1" si="203"/>
        <v>36923.34931393899</v>
      </c>
      <c r="E855" s="208">
        <f t="shared" ca="1" si="204"/>
        <v>159857.93825596897</v>
      </c>
      <c r="F855" s="208">
        <f t="shared" ca="1" si="205"/>
        <v>71768.036536581552</v>
      </c>
      <c r="G855" s="208">
        <f t="shared" si="206"/>
        <v>225715.36546979821</v>
      </c>
      <c r="H855" s="208">
        <f t="shared" si="207"/>
        <v>53331.715587945204</v>
      </c>
      <c r="I855" s="208">
        <f t="shared" ca="1" si="208"/>
        <v>350815.11759432498</v>
      </c>
      <c r="J855" s="209">
        <f t="shared" ca="1" si="209"/>
        <v>0.44870724950852098</v>
      </c>
      <c r="K855" s="208">
        <f t="shared" ca="1" si="210"/>
        <v>2444.6517542110523</v>
      </c>
      <c r="L855" s="204"/>
      <c r="M855" s="9" t="s">
        <v>123</v>
      </c>
      <c r="N855" s="208">
        <f t="shared" ca="1" si="211"/>
        <v>169244.15712904802</v>
      </c>
      <c r="O855" s="208">
        <f t="shared" ca="1" si="212"/>
        <v>51004.172531503093</v>
      </c>
      <c r="P855" s="208">
        <f t="shared" ca="1" si="213"/>
        <v>220248.3296605511</v>
      </c>
      <c r="Q855" s="208">
        <f t="shared" ca="1" si="219"/>
        <v>71768.036536581552</v>
      </c>
      <c r="R855" s="208">
        <f t="shared" si="214"/>
        <v>225715.36546979821</v>
      </c>
      <c r="S855" s="208">
        <f t="shared" si="215"/>
        <v>53331.715587945204</v>
      </c>
      <c r="T855" s="208">
        <f t="shared" ca="1" si="216"/>
        <v>350815.11759432498</v>
      </c>
      <c r="U855" s="209">
        <f t="shared" ca="1" si="217"/>
        <v>0.95185259915708087</v>
      </c>
      <c r="V855" s="208">
        <f t="shared" ca="1" si="218"/>
        <v>141171.17254692383</v>
      </c>
      <c r="W855" s="204"/>
      <c r="X855" s="204"/>
      <c r="Y855" s="204"/>
      <c r="Z855" s="204"/>
      <c r="AA855" s="204"/>
      <c r="AB855" s="204"/>
      <c r="AC855" s="204"/>
      <c r="AD855" s="204"/>
      <c r="AE855" s="204"/>
      <c r="AF855" s="204"/>
      <c r="AG855" s="204"/>
      <c r="AH855" s="204"/>
      <c r="AI855" s="204"/>
      <c r="AJ855" s="204"/>
      <c r="AK855" s="204"/>
      <c r="AL855" s="204"/>
    </row>
    <row r="856" spans="1:38" ht="15.75" x14ac:dyDescent="0.25">
      <c r="A856" s="202"/>
      <c r="B856" s="9" t="s">
        <v>124</v>
      </c>
      <c r="C856" s="208">
        <f t="shared" ca="1" si="202"/>
        <v>178314.63841821003</v>
      </c>
      <c r="D856" s="208">
        <f t="shared" ca="1" si="203"/>
        <v>59921.455756884927</v>
      </c>
      <c r="E856" s="208">
        <f t="shared" ca="1" si="204"/>
        <v>238236.09417509497</v>
      </c>
      <c r="F856" s="208">
        <f t="shared" ca="1" si="205"/>
        <v>44799.244974922098</v>
      </c>
      <c r="G856" s="208">
        <f t="shared" si="206"/>
        <v>218434.22464819183</v>
      </c>
      <c r="H856" s="208">
        <f t="shared" si="207"/>
        <v>51611.337665753425</v>
      </c>
      <c r="I856" s="208">
        <f t="shared" ca="1" si="208"/>
        <v>314844.80728886736</v>
      </c>
      <c r="J856" s="209">
        <f t="shared" ca="1" si="209"/>
        <v>0.69116234487675865</v>
      </c>
      <c r="K856" s="208">
        <f t="shared" ca="1" si="210"/>
        <v>20627.218897050217</v>
      </c>
      <c r="L856" s="204"/>
      <c r="M856" s="9" t="s">
        <v>124</v>
      </c>
      <c r="N856" s="208">
        <f t="shared" ca="1" si="211"/>
        <v>241159.97238415218</v>
      </c>
      <c r="O856" s="208">
        <f t="shared" ca="1" si="212"/>
        <v>81384.556287342668</v>
      </c>
      <c r="P856" s="208">
        <f t="shared" ca="1" si="213"/>
        <v>322544.52867149486</v>
      </c>
      <c r="Q856" s="208">
        <f t="shared" ca="1" si="219"/>
        <v>44799.244974922098</v>
      </c>
      <c r="R856" s="208">
        <f t="shared" si="214"/>
        <v>218434.22464819183</v>
      </c>
      <c r="S856" s="208">
        <f t="shared" si="215"/>
        <v>51611.337665753425</v>
      </c>
      <c r="T856" s="208">
        <f t="shared" ca="1" si="216"/>
        <v>314844.80728886736</v>
      </c>
      <c r="U856" s="209">
        <f t="shared" ca="1" si="217"/>
        <v>0.81013083610616787</v>
      </c>
      <c r="V856" s="208">
        <f t="shared" ca="1" si="218"/>
        <v>53541.53859475939</v>
      </c>
      <c r="W856" s="204"/>
      <c r="X856" s="204"/>
      <c r="Y856" s="204"/>
      <c r="Z856" s="204"/>
      <c r="AA856" s="204"/>
      <c r="AB856" s="204"/>
      <c r="AC856" s="204"/>
      <c r="AD856" s="204"/>
      <c r="AE856" s="204"/>
      <c r="AF856" s="204"/>
      <c r="AG856" s="204"/>
      <c r="AH856" s="204"/>
      <c r="AI856" s="204"/>
      <c r="AJ856" s="204"/>
      <c r="AK856" s="204"/>
      <c r="AL856" s="204"/>
    </row>
    <row r="857" spans="1:38" ht="15.75" x14ac:dyDescent="0.25">
      <c r="A857" s="202"/>
      <c r="B857" s="9" t="s">
        <v>125</v>
      </c>
      <c r="C857" s="208">
        <f t="shared" ca="1" si="202"/>
        <v>281641.58492855856</v>
      </c>
      <c r="D857" s="208">
        <f t="shared" ca="1" si="203"/>
        <v>76379.755458617685</v>
      </c>
      <c r="E857" s="208">
        <f t="shared" ca="1" si="204"/>
        <v>358021.34038717626</v>
      </c>
      <c r="F857" s="208">
        <f t="shared" ca="1" si="205"/>
        <v>41635.089278810978</v>
      </c>
      <c r="G857" s="208">
        <f t="shared" si="206"/>
        <v>225715.36546979821</v>
      </c>
      <c r="H857" s="208">
        <f t="shared" si="207"/>
        <v>53331.715587945204</v>
      </c>
      <c r="I857" s="208">
        <f t="shared" ca="1" si="208"/>
        <v>320682.17033655441</v>
      </c>
      <c r="J857" s="209">
        <f t="shared" ca="1" si="209"/>
        <v>0.86221420098581136</v>
      </c>
      <c r="K857" s="208">
        <f t="shared" ca="1" si="210"/>
        <v>81524.619120048126</v>
      </c>
      <c r="L857" s="204"/>
      <c r="M857" s="9" t="s">
        <v>125</v>
      </c>
      <c r="N857" s="208">
        <f t="shared" ca="1" si="211"/>
        <v>356971.95505065104</v>
      </c>
      <c r="O857" s="208">
        <f t="shared" ca="1" si="212"/>
        <v>97201.708994992747</v>
      </c>
      <c r="P857" s="208">
        <f t="shared" ca="1" si="213"/>
        <v>454173.66404564376</v>
      </c>
      <c r="Q857" s="208">
        <f t="shared" ca="1" si="219"/>
        <v>41635.089278810978</v>
      </c>
      <c r="R857" s="208">
        <f t="shared" si="214"/>
        <v>225715.36546979821</v>
      </c>
      <c r="S857" s="208">
        <f t="shared" si="215"/>
        <v>53331.715587945204</v>
      </c>
      <c r="T857" s="208">
        <f t="shared" ca="1" si="216"/>
        <v>320682.17033655441</v>
      </c>
      <c r="U857" s="209">
        <f t="shared" ca="1" si="217"/>
        <v>0.65648759170426929</v>
      </c>
      <c r="V857" s="208">
        <f t="shared" ca="1" si="218"/>
        <v>22522.795411725878</v>
      </c>
      <c r="W857" s="204"/>
      <c r="X857" s="204"/>
      <c r="Y857" s="204"/>
      <c r="Z857" s="204"/>
      <c r="AA857" s="204"/>
      <c r="AB857" s="204"/>
      <c r="AC857" s="204"/>
      <c r="AD857" s="204"/>
      <c r="AE857" s="204"/>
      <c r="AF857" s="204"/>
      <c r="AG857" s="204"/>
      <c r="AH857" s="204"/>
      <c r="AI857" s="204"/>
      <c r="AJ857" s="204"/>
      <c r="AK857" s="204"/>
      <c r="AL857" s="204"/>
    </row>
    <row r="858" spans="1:38" ht="15.75" x14ac:dyDescent="0.25">
      <c r="A858" s="202"/>
      <c r="B858" s="207" t="s">
        <v>178</v>
      </c>
      <c r="C858" s="208">
        <f t="shared" ref="C858:I858" ca="1" si="220">SUM(C846:C857)</f>
        <v>1479999.355869167</v>
      </c>
      <c r="D858" s="208">
        <f t="shared" ca="1" si="220"/>
        <v>456481.40163394238</v>
      </c>
      <c r="E858" s="208">
        <f t="shared" ca="1" si="220"/>
        <v>1936480.7575031093</v>
      </c>
      <c r="F858" s="208">
        <f t="shared" ca="1" si="220"/>
        <v>942374.75446413422</v>
      </c>
      <c r="G858" s="208">
        <f t="shared" si="220"/>
        <v>2657616.3998863343</v>
      </c>
      <c r="H858" s="208">
        <f t="shared" si="220"/>
        <v>627937.9415999999</v>
      </c>
      <c r="I858" s="208">
        <f t="shared" ca="1" si="220"/>
        <v>4227929.0959504675</v>
      </c>
      <c r="J858" s="208" t="s">
        <v>479</v>
      </c>
      <c r="K858" s="208">
        <f ca="1">SUM(K846:K857)</f>
        <v>289271.88125760102</v>
      </c>
      <c r="L858" s="204"/>
      <c r="M858" s="207" t="s">
        <v>178</v>
      </c>
      <c r="N858" s="208">
        <f t="shared" ref="N858:T858" ca="1" si="221">SUM(N846:N857)</f>
        <v>2186643.595284631</v>
      </c>
      <c r="O858" s="208">
        <f t="shared" ca="1" si="221"/>
        <v>663557.377639479</v>
      </c>
      <c r="P858" s="208">
        <f t="shared" ca="1" si="221"/>
        <v>2850200.9729241105</v>
      </c>
      <c r="Q858" s="208">
        <f t="shared" ca="1" si="219"/>
        <v>942374.75446413422</v>
      </c>
      <c r="R858" s="208">
        <f>SUM(R846:R857)</f>
        <v>2657616.3998863343</v>
      </c>
      <c r="S858" s="208">
        <f t="shared" si="221"/>
        <v>627937.9415999999</v>
      </c>
      <c r="T858" s="208">
        <f t="shared" ca="1" si="221"/>
        <v>4227929.0959504675</v>
      </c>
      <c r="U858" s="208" t="s">
        <v>479</v>
      </c>
      <c r="V858" s="208">
        <f ca="1">SUM(V846:V857)</f>
        <v>1984908.1487378394</v>
      </c>
      <c r="W858" s="204"/>
      <c r="X858" s="204"/>
      <c r="Y858" s="204"/>
      <c r="Z858" s="204"/>
      <c r="AA858" s="204"/>
      <c r="AB858" s="204"/>
      <c r="AC858" s="204"/>
      <c r="AD858" s="204"/>
      <c r="AE858" s="204"/>
      <c r="AF858" s="204"/>
      <c r="AG858" s="204"/>
      <c r="AH858" s="204"/>
      <c r="AI858" s="204"/>
      <c r="AJ858" s="204"/>
      <c r="AK858" s="204"/>
      <c r="AL858" s="204"/>
    </row>
    <row r="859" spans="1:38" ht="15.75" x14ac:dyDescent="0.25">
      <c r="A859" s="202"/>
      <c r="B859" s="203"/>
      <c r="C859" s="204"/>
      <c r="D859" s="204"/>
      <c r="E859" s="203"/>
      <c r="F859" s="204"/>
      <c r="G859" s="204"/>
      <c r="H859" s="204"/>
      <c r="I859" s="204"/>
      <c r="J859" s="204"/>
      <c r="K859" s="204"/>
      <c r="L859" s="204"/>
      <c r="M859" s="204"/>
      <c r="N859" s="204"/>
      <c r="O859" s="204"/>
      <c r="P859" s="204"/>
      <c r="Q859" s="204"/>
      <c r="R859" s="204"/>
      <c r="S859" s="204"/>
      <c r="T859" s="204"/>
      <c r="U859" s="204"/>
      <c r="V859" s="204"/>
      <c r="W859" s="204"/>
      <c r="X859" s="204"/>
      <c r="Y859" s="204"/>
      <c r="Z859" s="204"/>
      <c r="AA859" s="204"/>
      <c r="AB859" s="204"/>
      <c r="AC859" s="204"/>
      <c r="AD859" s="204"/>
      <c r="AE859" s="204"/>
      <c r="AF859" s="204"/>
      <c r="AG859" s="204"/>
      <c r="AH859" s="204"/>
      <c r="AI859" s="204"/>
      <c r="AJ859" s="204"/>
      <c r="AK859" s="204"/>
      <c r="AL859" s="204"/>
    </row>
    <row r="860" spans="1:38" ht="15.75" x14ac:dyDescent="0.25">
      <c r="A860" s="202"/>
      <c r="B860" s="203"/>
      <c r="C860" s="204"/>
      <c r="D860" s="204"/>
      <c r="E860" s="203"/>
      <c r="F860" s="204"/>
      <c r="G860" s="204"/>
      <c r="H860" s="204"/>
      <c r="I860" s="204"/>
      <c r="J860" s="204"/>
      <c r="K860" s="204"/>
      <c r="L860" s="204"/>
      <c r="M860" s="204"/>
      <c r="N860" s="204"/>
      <c r="O860" s="204"/>
      <c r="P860" s="204"/>
      <c r="Q860" s="204"/>
      <c r="R860" s="204"/>
      <c r="S860" s="204"/>
      <c r="T860" s="204"/>
      <c r="U860" s="204"/>
      <c r="V860" s="204"/>
      <c r="W860" s="204"/>
      <c r="X860" s="204"/>
      <c r="Y860" s="204"/>
      <c r="Z860" s="204"/>
      <c r="AA860" s="204"/>
      <c r="AB860" s="204"/>
      <c r="AC860" s="204"/>
      <c r="AD860" s="204"/>
      <c r="AE860" s="204"/>
      <c r="AF860" s="204"/>
      <c r="AG860" s="204"/>
      <c r="AH860" s="204"/>
      <c r="AI860" s="204"/>
      <c r="AJ860" s="204"/>
      <c r="AK860" s="204"/>
      <c r="AL860" s="204"/>
    </row>
    <row r="861" spans="1:38" x14ac:dyDescent="0.2">
      <c r="A861" s="210" t="s">
        <v>496</v>
      </c>
      <c r="B861" s="211"/>
      <c r="C861" s="212"/>
      <c r="D861" s="212"/>
      <c r="E861" s="211"/>
      <c r="F861" s="212"/>
      <c r="G861" s="212"/>
      <c r="H861" s="212"/>
      <c r="I861" s="212"/>
      <c r="J861" s="213"/>
      <c r="K861" s="213"/>
      <c r="L861" s="213"/>
      <c r="M861" s="212"/>
      <c r="N861" s="212"/>
      <c r="O861" s="212"/>
      <c r="P861" s="212"/>
      <c r="Q861" s="212"/>
      <c r="R861" s="212"/>
      <c r="S861" s="212"/>
      <c r="T861" s="212"/>
      <c r="U861" s="212"/>
      <c r="V861" s="212"/>
      <c r="W861" s="212"/>
      <c r="X861" s="212"/>
      <c r="Y861" s="212"/>
      <c r="Z861" s="212"/>
      <c r="AA861" s="212"/>
      <c r="AB861" s="212"/>
      <c r="AC861" s="212"/>
      <c r="AD861" s="212"/>
      <c r="AE861" s="212"/>
      <c r="AF861" s="212"/>
      <c r="AG861" s="212"/>
      <c r="AH861" s="212"/>
      <c r="AI861" s="212"/>
      <c r="AJ861" s="212"/>
      <c r="AK861" s="212"/>
      <c r="AL861" s="212"/>
    </row>
    <row r="862" spans="1:38" x14ac:dyDescent="0.2">
      <c r="A862" s="212"/>
      <c r="B862" s="211"/>
      <c r="E862" s="212"/>
      <c r="O862" s="212"/>
      <c r="T862" s="212"/>
      <c r="U862" s="212"/>
      <c r="V862" s="212"/>
      <c r="W862" s="212"/>
      <c r="X862" s="212"/>
      <c r="Y862" s="212"/>
      <c r="Z862" s="212"/>
      <c r="AA862" s="212"/>
      <c r="AB862" s="212"/>
      <c r="AC862" s="212"/>
      <c r="AD862" s="212"/>
      <c r="AE862" s="212"/>
      <c r="AF862" s="212"/>
      <c r="AG862" s="212"/>
      <c r="AH862" s="212"/>
      <c r="AI862" s="212"/>
      <c r="AJ862" s="212"/>
      <c r="AK862" s="212"/>
      <c r="AL862" s="212"/>
    </row>
    <row r="863" spans="1:38" x14ac:dyDescent="0.2">
      <c r="A863" s="216"/>
      <c r="B863" s="211"/>
      <c r="E863" s="212"/>
      <c r="O863" s="212"/>
      <c r="T863" s="212"/>
      <c r="U863" s="217"/>
      <c r="V863" s="213"/>
      <c r="W863" s="213"/>
      <c r="X863" s="213"/>
      <c r="Y863" s="213"/>
      <c r="Z863" s="212"/>
      <c r="AA863" s="217"/>
      <c r="AB863" s="213"/>
      <c r="AC863" s="213"/>
      <c r="AD863" s="212"/>
      <c r="AE863" s="212"/>
      <c r="AF863" s="212"/>
      <c r="AG863" s="212"/>
      <c r="AH863" s="212"/>
      <c r="AI863" s="212"/>
      <c r="AJ863" s="212"/>
      <c r="AK863" s="212"/>
      <c r="AL863" s="212"/>
    </row>
    <row r="864" spans="1:38" x14ac:dyDescent="0.2">
      <c r="A864" s="212"/>
      <c r="B864" s="211"/>
      <c r="E864" s="212"/>
      <c r="O864" s="212"/>
      <c r="T864" s="212"/>
      <c r="U864" s="218"/>
      <c r="V864" s="218"/>
      <c r="W864" s="218"/>
      <c r="X864" s="218"/>
      <c r="Y864" s="213"/>
      <c r="Z864" s="212"/>
      <c r="AA864" s="218"/>
      <c r="AB864" s="218"/>
      <c r="AC864" s="218"/>
      <c r="AD864" s="212"/>
      <c r="AE864" s="212"/>
      <c r="AF864" s="212"/>
      <c r="AG864" s="212"/>
      <c r="AH864" s="212"/>
      <c r="AI864" s="212"/>
      <c r="AJ864" s="212"/>
      <c r="AK864" s="212"/>
      <c r="AL864" s="212"/>
    </row>
    <row r="865" spans="1:38" x14ac:dyDescent="0.2">
      <c r="A865" s="212"/>
      <c r="B865" s="211"/>
      <c r="E865" s="248"/>
      <c r="O865" s="276"/>
      <c r="T865" s="212"/>
      <c r="U865" s="219"/>
      <c r="V865" s="219"/>
      <c r="W865" s="219"/>
      <c r="X865" s="219"/>
      <c r="Y865" s="219"/>
      <c r="Z865" s="212"/>
      <c r="AA865" s="219"/>
      <c r="AB865" s="219"/>
      <c r="AC865" s="219"/>
      <c r="AD865" s="212"/>
      <c r="AE865" s="212"/>
      <c r="AF865" s="212"/>
      <c r="AG865" s="212"/>
      <c r="AH865" s="212"/>
      <c r="AI865" s="212"/>
      <c r="AJ865" s="212"/>
      <c r="AK865" s="212"/>
      <c r="AL865" s="212"/>
    </row>
    <row r="866" spans="1:38" x14ac:dyDescent="0.2">
      <c r="A866" s="212"/>
      <c r="B866" s="211"/>
      <c r="E866" s="248"/>
      <c r="O866" s="276"/>
      <c r="T866" s="212"/>
      <c r="U866" s="219"/>
      <c r="V866" s="219"/>
      <c r="W866" s="219"/>
      <c r="X866" s="219"/>
      <c r="Y866" s="219"/>
      <c r="Z866" s="212"/>
      <c r="AA866" s="219"/>
      <c r="AB866" s="219"/>
      <c r="AC866" s="219"/>
      <c r="AD866" s="212"/>
      <c r="AE866" s="212"/>
      <c r="AF866" s="212"/>
      <c r="AG866" s="212"/>
      <c r="AH866" s="212"/>
      <c r="AI866" s="212"/>
      <c r="AJ866" s="212"/>
      <c r="AK866" s="212"/>
      <c r="AL866" s="212"/>
    </row>
    <row r="867" spans="1:38" x14ac:dyDescent="0.2">
      <c r="A867" s="212"/>
      <c r="B867" s="211"/>
      <c r="E867" s="248"/>
      <c r="O867" s="276"/>
      <c r="T867" s="212"/>
      <c r="U867" s="219"/>
      <c r="V867" s="219"/>
      <c r="W867" s="219"/>
      <c r="X867" s="219"/>
      <c r="Y867" s="219"/>
      <c r="Z867" s="212"/>
      <c r="AA867" s="219"/>
      <c r="AB867" s="219"/>
      <c r="AC867" s="219"/>
      <c r="AD867" s="212"/>
      <c r="AE867" s="212"/>
      <c r="AF867" s="212"/>
      <c r="AG867" s="212"/>
      <c r="AH867" s="212"/>
      <c r="AI867" s="212"/>
      <c r="AJ867" s="212"/>
      <c r="AK867" s="212"/>
      <c r="AL867" s="212"/>
    </row>
    <row r="868" spans="1:38" x14ac:dyDescent="0.2">
      <c r="A868" s="212"/>
      <c r="B868" s="211"/>
      <c r="E868" s="248"/>
      <c r="O868" s="276"/>
      <c r="T868" s="212"/>
      <c r="U868" s="219"/>
      <c r="V868" s="219"/>
      <c r="W868" s="219"/>
      <c r="X868" s="219"/>
      <c r="Y868" s="219"/>
      <c r="Z868" s="212"/>
      <c r="AA868" s="219"/>
      <c r="AB868" s="219"/>
      <c r="AC868" s="219"/>
      <c r="AD868" s="212"/>
      <c r="AE868" s="212"/>
      <c r="AF868" s="212"/>
      <c r="AG868" s="212"/>
      <c r="AH868" s="212"/>
      <c r="AI868" s="212"/>
      <c r="AJ868" s="212"/>
      <c r="AK868" s="212"/>
      <c r="AL868" s="212"/>
    </row>
    <row r="869" spans="1:38" x14ac:dyDescent="0.2">
      <c r="A869" s="212"/>
      <c r="B869" s="211"/>
      <c r="E869" s="248"/>
      <c r="O869" s="276"/>
      <c r="T869" s="212"/>
      <c r="U869" s="219"/>
      <c r="V869" s="219"/>
      <c r="W869" s="219"/>
      <c r="X869" s="219"/>
      <c r="Y869" s="219"/>
      <c r="Z869" s="212"/>
      <c r="AA869" s="219"/>
      <c r="AB869" s="219"/>
      <c r="AC869" s="219"/>
      <c r="AD869" s="212"/>
      <c r="AE869" s="212"/>
      <c r="AF869" s="212"/>
      <c r="AG869" s="212"/>
      <c r="AH869" s="212"/>
      <c r="AI869" s="212"/>
      <c r="AJ869" s="212"/>
      <c r="AK869" s="212"/>
      <c r="AL869" s="212"/>
    </row>
    <row r="870" spans="1:38" x14ac:dyDescent="0.2">
      <c r="A870" s="212"/>
      <c r="B870" s="211"/>
      <c r="E870" s="248"/>
      <c r="O870" s="276"/>
      <c r="T870" s="212"/>
      <c r="U870" s="219"/>
      <c r="V870" s="219"/>
      <c r="W870" s="219"/>
      <c r="X870" s="219"/>
      <c r="Y870" s="219"/>
      <c r="Z870" s="212"/>
      <c r="AA870" s="219"/>
      <c r="AB870" s="219"/>
      <c r="AC870" s="219"/>
      <c r="AD870" s="212"/>
      <c r="AE870" s="212"/>
      <c r="AF870" s="212"/>
      <c r="AG870" s="212"/>
      <c r="AH870" s="212"/>
      <c r="AI870" s="212"/>
      <c r="AJ870" s="212"/>
      <c r="AK870" s="212"/>
      <c r="AL870" s="212"/>
    </row>
    <row r="871" spans="1:38" x14ac:dyDescent="0.2">
      <c r="A871" s="212"/>
      <c r="B871" s="211"/>
      <c r="E871" s="248"/>
      <c r="O871" s="276"/>
      <c r="T871" s="212"/>
      <c r="U871" s="219"/>
      <c r="V871" s="219"/>
      <c r="W871" s="219"/>
      <c r="X871" s="219"/>
      <c r="Y871" s="219"/>
      <c r="Z871" s="212"/>
      <c r="AA871" s="219"/>
      <c r="AB871" s="219"/>
      <c r="AC871" s="219"/>
      <c r="AD871" s="212"/>
      <c r="AE871" s="212"/>
      <c r="AF871" s="212"/>
      <c r="AG871" s="212"/>
      <c r="AH871" s="212"/>
      <c r="AI871" s="212"/>
      <c r="AJ871" s="212"/>
      <c r="AK871" s="212"/>
      <c r="AL871" s="212"/>
    </row>
    <row r="872" spans="1:38" x14ac:dyDescent="0.2">
      <c r="A872" s="212"/>
      <c r="B872" s="211"/>
      <c r="E872" s="248"/>
      <c r="O872" s="276"/>
      <c r="T872" s="212"/>
      <c r="U872" s="219"/>
      <c r="V872" s="219"/>
      <c r="W872" s="219"/>
      <c r="X872" s="219"/>
      <c r="Y872" s="219"/>
      <c r="Z872" s="212"/>
      <c r="AA872" s="219"/>
      <c r="AB872" s="219"/>
      <c r="AC872" s="219"/>
      <c r="AD872" s="212"/>
      <c r="AE872" s="212"/>
      <c r="AF872" s="212"/>
      <c r="AG872" s="212"/>
      <c r="AH872" s="212"/>
      <c r="AI872" s="212"/>
      <c r="AJ872" s="212"/>
      <c r="AK872" s="212"/>
      <c r="AL872" s="212"/>
    </row>
    <row r="873" spans="1:38" x14ac:dyDescent="0.2">
      <c r="A873" s="212"/>
      <c r="B873" s="211"/>
      <c r="E873" s="248"/>
      <c r="O873" s="276"/>
      <c r="T873" s="212"/>
      <c r="U873" s="219"/>
      <c r="V873" s="219"/>
      <c r="W873" s="219"/>
      <c r="X873" s="219"/>
      <c r="Y873" s="219"/>
      <c r="Z873" s="212"/>
      <c r="AA873" s="219"/>
      <c r="AB873" s="219"/>
      <c r="AC873" s="219"/>
      <c r="AD873" s="212"/>
      <c r="AE873" s="212"/>
      <c r="AF873" s="212"/>
      <c r="AG873" s="212"/>
      <c r="AH873" s="212"/>
      <c r="AI873" s="212"/>
      <c r="AJ873" s="212"/>
      <c r="AK873" s="212"/>
      <c r="AL873" s="212"/>
    </row>
    <row r="874" spans="1:38" x14ac:dyDescent="0.2">
      <c r="A874" s="212"/>
      <c r="B874" s="211"/>
      <c r="E874" s="248"/>
      <c r="O874" s="276"/>
      <c r="T874" s="212"/>
      <c r="U874" s="219"/>
      <c r="V874" s="219"/>
      <c r="W874" s="219"/>
      <c r="X874" s="219"/>
      <c r="Y874" s="219"/>
      <c r="Z874" s="212"/>
      <c r="AA874" s="219"/>
      <c r="AB874" s="219"/>
      <c r="AC874" s="219"/>
      <c r="AD874" s="212"/>
      <c r="AE874" s="212"/>
      <c r="AF874" s="212"/>
      <c r="AG874" s="212"/>
      <c r="AH874" s="212"/>
      <c r="AI874" s="212"/>
      <c r="AJ874" s="212"/>
      <c r="AK874" s="212"/>
      <c r="AL874" s="212"/>
    </row>
    <row r="875" spans="1:38" x14ac:dyDescent="0.2">
      <c r="A875" s="212"/>
      <c r="B875" s="211"/>
      <c r="E875" s="248"/>
      <c r="O875" s="276"/>
      <c r="T875" s="212"/>
      <c r="U875" s="219"/>
      <c r="V875" s="219"/>
      <c r="W875" s="219"/>
      <c r="X875" s="219"/>
      <c r="Y875" s="219"/>
      <c r="Z875" s="212"/>
      <c r="AA875" s="219"/>
      <c r="AB875" s="219"/>
      <c r="AC875" s="219"/>
      <c r="AD875" s="212"/>
      <c r="AE875" s="212"/>
      <c r="AF875" s="212"/>
      <c r="AG875" s="212"/>
      <c r="AH875" s="212"/>
      <c r="AI875" s="212"/>
      <c r="AJ875" s="212"/>
      <c r="AK875" s="212"/>
      <c r="AL875" s="212"/>
    </row>
    <row r="876" spans="1:38" x14ac:dyDescent="0.2">
      <c r="A876" s="212"/>
      <c r="B876" s="211"/>
      <c r="E876" s="248"/>
      <c r="O876" s="276"/>
      <c r="T876" s="212"/>
      <c r="U876" s="219"/>
      <c r="V876" s="219"/>
      <c r="W876" s="219"/>
      <c r="X876" s="219"/>
      <c r="Y876" s="219"/>
      <c r="Z876" s="212"/>
      <c r="AA876" s="219"/>
      <c r="AB876" s="219"/>
      <c r="AC876" s="219"/>
      <c r="AD876" s="212"/>
      <c r="AE876" s="212"/>
      <c r="AF876" s="212"/>
      <c r="AG876" s="212"/>
      <c r="AH876" s="212"/>
      <c r="AI876" s="212"/>
      <c r="AJ876" s="212"/>
      <c r="AK876" s="212"/>
      <c r="AL876" s="212"/>
    </row>
    <row r="877" spans="1:38" x14ac:dyDescent="0.2">
      <c r="A877" s="212"/>
      <c r="B877" s="211"/>
      <c r="E877" s="248"/>
      <c r="O877" s="276"/>
      <c r="T877" s="212"/>
      <c r="U877" s="221"/>
      <c r="V877" s="221"/>
      <c r="W877" s="221"/>
      <c r="X877" s="221"/>
      <c r="Y877" s="221"/>
      <c r="Z877" s="212"/>
      <c r="AA877" s="221"/>
      <c r="AB877" s="221"/>
      <c r="AC877" s="221"/>
      <c r="AD877" s="212"/>
      <c r="AE877" s="212"/>
      <c r="AF877" s="212"/>
      <c r="AG877" s="212"/>
      <c r="AH877" s="212"/>
      <c r="AI877" s="212"/>
      <c r="AJ877" s="212"/>
      <c r="AK877" s="212"/>
      <c r="AL877" s="212"/>
    </row>
    <row r="878" spans="1:38" x14ac:dyDescent="0.2">
      <c r="A878" s="212"/>
      <c r="B878" s="211"/>
      <c r="C878" s="212"/>
      <c r="D878" s="212"/>
      <c r="E878" s="212"/>
      <c r="O878" s="212"/>
      <c r="T878" s="212"/>
      <c r="U878" s="213"/>
      <c r="V878" s="213"/>
      <c r="W878" s="213"/>
      <c r="X878" s="213"/>
      <c r="Y878" s="213"/>
      <c r="Z878" s="212"/>
      <c r="AA878" s="212"/>
      <c r="AB878" s="212"/>
      <c r="AC878" s="212"/>
      <c r="AD878" s="212"/>
      <c r="AE878" s="212"/>
      <c r="AF878" s="212"/>
      <c r="AG878" s="212"/>
      <c r="AH878" s="212"/>
      <c r="AI878" s="212"/>
      <c r="AJ878" s="212"/>
      <c r="AK878" s="212"/>
      <c r="AL878" s="212"/>
    </row>
    <row r="879" spans="1:38" x14ac:dyDescent="0.2">
      <c r="A879" s="212"/>
      <c r="B879" s="211"/>
      <c r="C879" s="212"/>
      <c r="D879" s="212"/>
      <c r="E879" s="212"/>
      <c r="G879" s="213"/>
      <c r="H879" s="213"/>
      <c r="I879" s="213"/>
      <c r="J879" s="213"/>
      <c r="K879" s="212"/>
      <c r="L879" s="212"/>
      <c r="M879" s="212"/>
      <c r="N879" s="212"/>
      <c r="O879" s="212"/>
      <c r="T879" s="212"/>
      <c r="U879" s="212"/>
      <c r="V879" s="212"/>
      <c r="W879" s="212"/>
      <c r="X879" s="212"/>
      <c r="Y879" s="212"/>
      <c r="Z879" s="212"/>
      <c r="AA879" s="212"/>
      <c r="AB879" s="212"/>
      <c r="AC879" s="212"/>
      <c r="AD879" s="212"/>
      <c r="AE879" s="212"/>
      <c r="AF879" s="212"/>
      <c r="AG879" s="212"/>
      <c r="AH879" s="212"/>
      <c r="AI879" s="212"/>
      <c r="AJ879" s="212"/>
      <c r="AK879" s="212"/>
      <c r="AL879" s="212"/>
    </row>
    <row r="880" spans="1:38" x14ac:dyDescent="0.2">
      <c r="A880" s="212"/>
      <c r="B880" s="211"/>
      <c r="C880" s="212"/>
      <c r="D880" s="212"/>
      <c r="E880" s="212"/>
      <c r="G880" s="222"/>
      <c r="H880" s="222"/>
      <c r="I880" s="222"/>
      <c r="J880" s="213"/>
      <c r="K880" s="212"/>
      <c r="L880" s="212"/>
      <c r="M880" s="212"/>
      <c r="N880" s="212"/>
      <c r="O880" s="212"/>
      <c r="T880" s="212"/>
      <c r="U880" s="212"/>
      <c r="V880" s="212"/>
      <c r="W880" s="212"/>
      <c r="X880" s="212"/>
      <c r="Y880" s="212"/>
      <c r="Z880" s="212"/>
      <c r="AA880" s="212"/>
      <c r="AB880" s="212"/>
      <c r="AC880" s="212"/>
      <c r="AD880" s="212"/>
      <c r="AE880" s="212"/>
      <c r="AF880" s="212"/>
      <c r="AG880" s="212"/>
      <c r="AH880" s="212"/>
      <c r="AI880" s="212"/>
      <c r="AJ880" s="212"/>
      <c r="AK880" s="212"/>
      <c r="AL880" s="212"/>
    </row>
    <row r="881" spans="1:38" x14ac:dyDescent="0.2">
      <c r="A881" s="212"/>
      <c r="B881" s="211"/>
      <c r="C881" s="212"/>
      <c r="D881" s="212"/>
      <c r="E881" s="212"/>
      <c r="G881" s="223"/>
      <c r="H881" s="223"/>
      <c r="I881" s="223"/>
      <c r="J881" s="213"/>
      <c r="K881" s="212"/>
      <c r="L881" s="212"/>
      <c r="M881" s="212"/>
      <c r="N881" s="212"/>
      <c r="O881" s="212"/>
      <c r="T881" s="212"/>
      <c r="U881" s="212"/>
      <c r="V881" s="212"/>
      <c r="W881" s="212"/>
      <c r="X881" s="212"/>
      <c r="Y881" s="212"/>
      <c r="Z881" s="212"/>
      <c r="AA881" s="212"/>
      <c r="AB881" s="212"/>
      <c r="AC881" s="212"/>
      <c r="AD881" s="212"/>
      <c r="AE881" s="212"/>
      <c r="AF881" s="212"/>
      <c r="AG881" s="212"/>
      <c r="AH881" s="212"/>
      <c r="AI881" s="212"/>
      <c r="AJ881" s="212"/>
      <c r="AK881" s="212"/>
      <c r="AL881" s="212"/>
    </row>
    <row r="882" spans="1:38" x14ac:dyDescent="0.2">
      <c r="A882" s="212"/>
      <c r="B882" s="211"/>
      <c r="C882" s="212"/>
      <c r="D882" s="212"/>
      <c r="E882" s="212"/>
      <c r="F882" s="212"/>
      <c r="G882" s="213"/>
      <c r="H882" s="213"/>
      <c r="I882" s="213"/>
      <c r="J882" s="213"/>
      <c r="K882" s="212"/>
      <c r="L882" s="212"/>
      <c r="M882" s="212"/>
      <c r="N882" s="212"/>
      <c r="O882" s="213"/>
      <c r="T882" s="213"/>
      <c r="U882" s="212"/>
      <c r="V882" s="212"/>
      <c r="W882" s="212"/>
      <c r="X882" s="212"/>
      <c r="Y882" s="212"/>
      <c r="Z882" s="212"/>
      <c r="AA882" s="212"/>
      <c r="AB882" s="212"/>
      <c r="AC882" s="212"/>
      <c r="AD882" s="212"/>
      <c r="AE882" s="212"/>
      <c r="AF882" s="212"/>
      <c r="AG882" s="212"/>
      <c r="AH882" s="212"/>
      <c r="AI882" s="212"/>
      <c r="AJ882" s="212"/>
      <c r="AK882" s="212"/>
      <c r="AL882" s="212"/>
    </row>
    <row r="883" spans="1:38" x14ac:dyDescent="0.2">
      <c r="A883" s="212"/>
      <c r="B883" s="211"/>
      <c r="C883" s="212"/>
      <c r="D883" s="212"/>
      <c r="E883" s="213"/>
      <c r="F883" s="217"/>
      <c r="G883" s="213"/>
      <c r="H883" s="213"/>
      <c r="I883" s="213"/>
      <c r="J883" s="213"/>
      <c r="K883" s="212"/>
      <c r="L883" s="212"/>
      <c r="M883" s="212"/>
      <c r="N883" s="212"/>
      <c r="O883" s="213"/>
      <c r="P883" s="224"/>
      <c r="Q883" s="225"/>
      <c r="R883" s="224"/>
      <c r="S883" s="224"/>
      <c r="T883" s="213"/>
      <c r="U883" s="212"/>
      <c r="V883" s="212"/>
      <c r="W883" s="212"/>
      <c r="X883" s="212"/>
      <c r="Y883" s="212"/>
      <c r="Z883" s="212"/>
      <c r="AA883" s="212"/>
      <c r="AB883" s="212"/>
      <c r="AC883" s="212"/>
      <c r="AD883" s="212"/>
      <c r="AE883" s="212"/>
      <c r="AF883" s="212"/>
      <c r="AG883" s="212"/>
      <c r="AH883" s="212"/>
      <c r="AI883" s="212"/>
      <c r="AJ883" s="212"/>
      <c r="AK883" s="212"/>
      <c r="AL883" s="212"/>
    </row>
    <row r="884" spans="1:38" x14ac:dyDescent="0.2">
      <c r="A884" s="212"/>
      <c r="B884" s="211"/>
      <c r="C884" s="212"/>
      <c r="D884" s="212"/>
      <c r="E884" s="213"/>
      <c r="F884" s="222"/>
      <c r="G884" s="222"/>
      <c r="H884" s="222"/>
      <c r="I884" s="222"/>
      <c r="J884" s="213"/>
      <c r="K884" s="212"/>
      <c r="L884" s="212"/>
      <c r="M884" s="212"/>
      <c r="N884" s="212"/>
      <c r="O884" s="213"/>
      <c r="P884" s="224"/>
      <c r="Q884" s="225"/>
      <c r="R884" s="224"/>
      <c r="S884" s="224"/>
      <c r="T884" s="213"/>
      <c r="U884" s="212"/>
      <c r="V884" s="212"/>
      <c r="W884" s="212"/>
      <c r="X884" s="212"/>
      <c r="Y884" s="212"/>
      <c r="Z884" s="212"/>
      <c r="AA884" s="212"/>
      <c r="AB884" s="212"/>
      <c r="AC884" s="212"/>
      <c r="AD884" s="212"/>
      <c r="AE884" s="212"/>
      <c r="AF884" s="212"/>
      <c r="AG884" s="212"/>
      <c r="AH884" s="212"/>
      <c r="AI884" s="212"/>
      <c r="AJ884" s="212"/>
      <c r="AK884" s="212"/>
      <c r="AL884" s="212"/>
    </row>
    <row r="885" spans="1:38" x14ac:dyDescent="0.2">
      <c r="A885" s="212"/>
      <c r="B885" s="211"/>
      <c r="C885" s="212"/>
      <c r="D885" s="212"/>
      <c r="G885" s="226"/>
      <c r="H885" s="226"/>
      <c r="I885" s="226"/>
      <c r="J885" s="213"/>
      <c r="K885" s="212"/>
      <c r="L885" s="212"/>
      <c r="M885" s="212"/>
      <c r="N885" s="212"/>
      <c r="O885" s="213"/>
      <c r="P885" s="224"/>
      <c r="Q885" s="225"/>
      <c r="R885" s="224"/>
      <c r="S885" s="224"/>
      <c r="T885" s="213"/>
      <c r="U885" s="212"/>
      <c r="V885" s="212"/>
      <c r="W885" s="212"/>
      <c r="X885" s="212"/>
      <c r="Y885" s="212"/>
      <c r="Z885" s="212"/>
      <c r="AA885" s="212"/>
      <c r="AB885" s="212"/>
      <c r="AC885" s="327"/>
      <c r="AD885" s="328"/>
      <c r="AE885" s="212"/>
      <c r="AF885" s="212"/>
      <c r="AG885" s="212"/>
      <c r="AH885" s="212"/>
      <c r="AI885" s="212"/>
      <c r="AJ885" s="212"/>
      <c r="AK885" s="212"/>
      <c r="AL885" s="212"/>
    </row>
    <row r="886" spans="1:38" x14ac:dyDescent="0.2">
      <c r="A886" s="212"/>
      <c r="B886" s="211"/>
      <c r="C886" s="212"/>
      <c r="D886" s="212"/>
      <c r="E886" s="212"/>
      <c r="F886" s="226"/>
      <c r="G886" s="226"/>
      <c r="H886" s="226"/>
      <c r="I886" s="226"/>
      <c r="J886" s="227"/>
      <c r="K886" s="212"/>
      <c r="L886" s="212"/>
      <c r="M886" s="212"/>
      <c r="N886" s="212"/>
      <c r="O886" s="213"/>
      <c r="P886" s="213"/>
      <c r="Q886" s="213"/>
      <c r="R886" s="213"/>
      <c r="S886" s="213"/>
      <c r="T886" s="213"/>
      <c r="U886" s="212"/>
      <c r="V886" s="212"/>
      <c r="W886" s="212"/>
      <c r="X886" s="212"/>
      <c r="Y886" s="212"/>
      <c r="Z886" s="213"/>
      <c r="AA886" s="213"/>
      <c r="AB886" s="213"/>
      <c r="AC886" s="213"/>
      <c r="AD886" s="213"/>
      <c r="AE886" s="213"/>
      <c r="AF886" s="213"/>
      <c r="AG886" s="213"/>
      <c r="AH886" s="213"/>
      <c r="AI886" s="213"/>
      <c r="AJ886" s="213"/>
      <c r="AK886" s="213"/>
      <c r="AL886" s="213"/>
    </row>
    <row r="887" spans="1:38" x14ac:dyDescent="0.2">
      <c r="A887" s="228"/>
      <c r="B887" s="216"/>
      <c r="C887" s="10"/>
      <c r="D887" s="10"/>
      <c r="AA887" s="10"/>
      <c r="AB887" s="10"/>
      <c r="AL887" s="212"/>
    </row>
    <row r="888" spans="1:38" x14ac:dyDescent="0.2">
      <c r="A888" s="228"/>
      <c r="B888" s="216"/>
      <c r="C888" s="10"/>
      <c r="D888" s="10"/>
      <c r="AA888" s="10"/>
      <c r="AB888" s="10"/>
      <c r="AL888" s="212"/>
    </row>
    <row r="889" spans="1:38" x14ac:dyDescent="0.2">
      <c r="A889" s="210"/>
      <c r="B889" s="212"/>
      <c r="C889" s="10"/>
      <c r="D889" s="10"/>
      <c r="AA889" s="10"/>
      <c r="AB889" s="10"/>
      <c r="AL889" s="230"/>
    </row>
    <row r="890" spans="1:38" x14ac:dyDescent="0.2">
      <c r="A890" s="212"/>
      <c r="B890" s="212"/>
      <c r="C890" s="10"/>
      <c r="D890" s="10"/>
      <c r="AA890" s="10"/>
      <c r="AB890" s="10"/>
      <c r="AL890" s="230"/>
    </row>
    <row r="891" spans="1:38" x14ac:dyDescent="0.2">
      <c r="A891" s="212"/>
      <c r="B891" s="212"/>
      <c r="C891" s="10"/>
      <c r="D891" s="10"/>
      <c r="AA891" s="10"/>
      <c r="AB891" s="10"/>
      <c r="AL891" s="230"/>
    </row>
    <row r="892" spans="1:38" x14ac:dyDescent="0.2">
      <c r="A892" s="212"/>
      <c r="B892" s="212"/>
      <c r="C892" s="10"/>
      <c r="D892" s="10"/>
      <c r="AA892" s="10"/>
      <c r="AB892" s="10"/>
      <c r="AL892" s="230"/>
    </row>
    <row r="893" spans="1:38" x14ac:dyDescent="0.2">
      <c r="A893" s="212"/>
      <c r="B893" s="212"/>
      <c r="C893" s="10"/>
      <c r="D893" s="10"/>
      <c r="AA893" s="10"/>
      <c r="AB893" s="10"/>
      <c r="AL893" s="230"/>
    </row>
    <row r="894" spans="1:38" x14ac:dyDescent="0.2">
      <c r="A894" s="212"/>
      <c r="B894" s="212"/>
      <c r="C894" s="10"/>
      <c r="D894" s="10"/>
      <c r="AA894" s="10"/>
      <c r="AB894" s="10"/>
      <c r="AL894" s="230"/>
    </row>
    <row r="895" spans="1:38" x14ac:dyDescent="0.2">
      <c r="A895" s="212"/>
      <c r="B895" s="212"/>
      <c r="C895" s="10"/>
      <c r="D895" s="10"/>
      <c r="AA895" s="10"/>
      <c r="AB895" s="10"/>
      <c r="AL895" s="230"/>
    </row>
    <row r="896" spans="1:38" x14ac:dyDescent="0.2">
      <c r="A896" s="212"/>
      <c r="B896" s="212"/>
      <c r="C896" s="10"/>
      <c r="D896" s="10"/>
      <c r="AA896" s="10"/>
      <c r="AB896" s="10"/>
      <c r="AL896" s="230"/>
    </row>
    <row r="897" spans="1:38" x14ac:dyDescent="0.2">
      <c r="A897" s="212"/>
      <c r="B897" s="212"/>
      <c r="C897" s="10"/>
      <c r="D897" s="10"/>
      <c r="AA897" s="10"/>
      <c r="AB897" s="10"/>
      <c r="AL897" s="230"/>
    </row>
    <row r="898" spans="1:38" x14ac:dyDescent="0.2">
      <c r="A898" s="212"/>
      <c r="B898" s="212"/>
      <c r="C898" s="10"/>
      <c r="D898" s="10"/>
      <c r="AA898" s="10"/>
      <c r="AB898" s="10"/>
      <c r="AL898" s="230"/>
    </row>
    <row r="899" spans="1:38" x14ac:dyDescent="0.2">
      <c r="A899" s="212"/>
      <c r="B899" s="212"/>
      <c r="C899" s="10"/>
      <c r="D899" s="10"/>
      <c r="AA899" s="10"/>
      <c r="AB899" s="10"/>
      <c r="AL899" s="230"/>
    </row>
    <row r="900" spans="1:38" x14ac:dyDescent="0.2">
      <c r="A900" s="212"/>
      <c r="B900" s="212"/>
      <c r="C900" s="10"/>
      <c r="D900" s="10"/>
      <c r="AA900" s="10"/>
      <c r="AB900" s="10"/>
      <c r="AL900" s="230"/>
    </row>
    <row r="901" spans="1:38" x14ac:dyDescent="0.2">
      <c r="A901" s="212"/>
      <c r="B901" s="212"/>
      <c r="C901" s="10"/>
      <c r="D901" s="10"/>
      <c r="AA901" s="10"/>
      <c r="AB901" s="10"/>
      <c r="AL901" s="232"/>
    </row>
    <row r="902" spans="1:38" x14ac:dyDescent="0.2">
      <c r="A902" s="212"/>
      <c r="B902" s="216"/>
      <c r="C902" s="10"/>
      <c r="D902" s="10"/>
      <c r="AA902" s="10"/>
      <c r="AB902" s="10"/>
      <c r="AL902" s="232"/>
    </row>
    <row r="903" spans="1:38" x14ac:dyDescent="0.2">
      <c r="A903" s="221"/>
      <c r="B903" s="236"/>
      <c r="C903" s="10"/>
      <c r="D903" s="10"/>
      <c r="AA903" s="10"/>
      <c r="AB903" s="10"/>
      <c r="AL903" s="230"/>
    </row>
    <row r="904" spans="1:38" x14ac:dyDescent="0.2">
      <c r="A904" s="212"/>
      <c r="B904" s="212"/>
      <c r="C904" s="10"/>
      <c r="D904" s="10"/>
      <c r="AA904" s="10"/>
      <c r="AB904" s="10"/>
      <c r="AL904" s="230"/>
    </row>
    <row r="905" spans="1:38" x14ac:dyDescent="0.2">
      <c r="A905" s="212"/>
      <c r="B905" s="212"/>
      <c r="C905" s="10"/>
      <c r="D905" s="10"/>
      <c r="AA905" s="10"/>
      <c r="AB905" s="10"/>
      <c r="AL905" s="232"/>
    </row>
    <row r="906" spans="1:38" x14ac:dyDescent="0.2">
      <c r="A906" s="212"/>
      <c r="B906" s="212"/>
      <c r="C906" s="10"/>
      <c r="D906" s="10"/>
      <c r="AA906" s="10"/>
      <c r="AB906" s="10"/>
      <c r="AL906" s="230"/>
    </row>
    <row r="907" spans="1:38" x14ac:dyDescent="0.2">
      <c r="A907" s="212"/>
      <c r="B907" s="212"/>
      <c r="C907" s="10"/>
      <c r="D907" s="10"/>
      <c r="AA907" s="10"/>
      <c r="AB907" s="10"/>
      <c r="AL907" s="212"/>
    </row>
    <row r="908" spans="1:38" x14ac:dyDescent="0.2">
      <c r="A908" s="212"/>
      <c r="B908" s="212"/>
      <c r="C908" s="212"/>
      <c r="D908" s="212"/>
      <c r="E908" s="212"/>
      <c r="F908" s="212"/>
      <c r="G908" s="212"/>
      <c r="H908" s="211"/>
      <c r="I908" s="212"/>
      <c r="J908" s="212"/>
      <c r="K908" s="212"/>
      <c r="L908" s="212"/>
      <c r="M908" s="212"/>
      <c r="N908" s="213"/>
      <c r="O908" s="213"/>
      <c r="P908" s="212"/>
      <c r="Q908" s="212"/>
      <c r="R908" s="212"/>
      <c r="S908" s="212"/>
      <c r="T908" s="212"/>
      <c r="U908" s="212"/>
      <c r="V908" s="212"/>
      <c r="W908" s="212"/>
      <c r="X908" s="212"/>
      <c r="Y908" s="212"/>
      <c r="Z908" s="212"/>
      <c r="AA908" s="212"/>
      <c r="AB908" s="229"/>
      <c r="AC908" s="229"/>
      <c r="AD908" s="229"/>
      <c r="AE908" s="229"/>
      <c r="AF908" s="229"/>
      <c r="AG908" s="229"/>
      <c r="AH908" s="229"/>
      <c r="AI908" s="229"/>
      <c r="AJ908" s="229"/>
      <c r="AK908" s="213"/>
      <c r="AL908" s="213"/>
    </row>
    <row r="913" spans="1:38" x14ac:dyDescent="0.2">
      <c r="A913" s="213"/>
      <c r="B913" s="213"/>
      <c r="C913" s="227"/>
      <c r="D913" s="213"/>
      <c r="E913" s="213"/>
      <c r="F913" s="213"/>
      <c r="G913" s="213"/>
      <c r="H913" s="213"/>
      <c r="I913" s="213"/>
      <c r="J913" s="213"/>
      <c r="K913" s="213"/>
      <c r="L913" s="213"/>
      <c r="M913" s="213"/>
      <c r="N913" s="222"/>
      <c r="O913" s="227"/>
      <c r="P913" s="213"/>
      <c r="Q913" s="213"/>
      <c r="R913" s="213"/>
      <c r="S913" s="213"/>
      <c r="T913" s="213"/>
      <c r="U913" s="213"/>
      <c r="V913" s="213"/>
      <c r="W913" s="213"/>
      <c r="X913" s="213"/>
      <c r="Y913" s="213"/>
      <c r="Z913" s="213"/>
      <c r="AA913" s="213"/>
      <c r="AB913" s="213"/>
      <c r="AC913" s="213"/>
      <c r="AD913" s="213"/>
      <c r="AE913" s="213"/>
      <c r="AF913" s="213"/>
      <c r="AG913" s="213"/>
      <c r="AH913" s="213"/>
      <c r="AI913" s="213"/>
      <c r="AJ913" s="213"/>
      <c r="AK913" s="213"/>
      <c r="AL913" s="213"/>
    </row>
    <row r="933" spans="1:38" x14ac:dyDescent="0.25">
      <c r="C933" s="10"/>
      <c r="D933" s="10"/>
    </row>
    <row r="934" spans="1:38" x14ac:dyDescent="0.2">
      <c r="A934" s="212"/>
      <c r="B934" s="211"/>
      <c r="C934" s="10"/>
      <c r="D934" s="10"/>
      <c r="N934" s="212"/>
      <c r="O934" s="212"/>
      <c r="P934" s="212"/>
      <c r="Q934" s="212"/>
      <c r="R934" s="212"/>
      <c r="S934" s="212"/>
      <c r="T934" s="212"/>
      <c r="U934" s="212"/>
      <c r="V934" s="212"/>
      <c r="W934" s="231"/>
      <c r="X934" s="231"/>
      <c r="Y934" s="231"/>
      <c r="Z934" s="212"/>
      <c r="AA934" s="212"/>
      <c r="AB934" s="212"/>
      <c r="AC934" s="212"/>
      <c r="AD934" s="212"/>
      <c r="AE934" s="212"/>
      <c r="AF934" s="212"/>
      <c r="AG934" s="212"/>
      <c r="AH934" s="212"/>
      <c r="AI934" s="212"/>
      <c r="AJ934" s="212"/>
      <c r="AK934" s="212"/>
      <c r="AL934" s="212"/>
    </row>
    <row r="935" spans="1:38" x14ac:dyDescent="0.2">
      <c r="A935" s="212"/>
      <c r="B935" s="211"/>
      <c r="C935" s="10"/>
      <c r="D935" s="10"/>
      <c r="N935" s="212"/>
      <c r="O935" s="212"/>
      <c r="P935" s="212"/>
      <c r="Q935" s="212"/>
      <c r="R935" s="212"/>
      <c r="S935" s="212"/>
      <c r="T935" s="212"/>
      <c r="U935" s="212"/>
      <c r="V935" s="212"/>
      <c r="W935" s="231"/>
      <c r="X935" s="231"/>
      <c r="Y935" s="231"/>
      <c r="Z935" s="212"/>
      <c r="AA935" s="212"/>
      <c r="AB935" s="212"/>
      <c r="AC935" s="212"/>
      <c r="AD935" s="212"/>
      <c r="AE935" s="212"/>
      <c r="AF935" s="212"/>
      <c r="AG935" s="212"/>
      <c r="AH935" s="212"/>
      <c r="AI935" s="212"/>
      <c r="AJ935" s="212"/>
      <c r="AK935" s="212"/>
      <c r="AL935" s="212"/>
    </row>
    <row r="936" spans="1:38" x14ac:dyDescent="0.2">
      <c r="A936" s="212"/>
      <c r="B936" s="211"/>
      <c r="C936" s="10"/>
      <c r="D936" s="10"/>
      <c r="N936" s="212"/>
      <c r="O936" s="212"/>
      <c r="P936" s="212"/>
      <c r="Q936" s="212"/>
      <c r="R936" s="212"/>
      <c r="S936" s="212"/>
      <c r="T936" s="212"/>
      <c r="U936" s="212"/>
      <c r="V936" s="212"/>
      <c r="W936" s="231"/>
      <c r="X936" s="231"/>
      <c r="Y936" s="231"/>
      <c r="Z936" s="231"/>
      <c r="AA936" s="231"/>
      <c r="AB936" s="231"/>
      <c r="AC936" s="213"/>
      <c r="AD936" s="213"/>
      <c r="AE936" s="213"/>
      <c r="AF936" s="213"/>
      <c r="AG936" s="213"/>
      <c r="AH936" s="213"/>
      <c r="AI936" s="213"/>
      <c r="AJ936" s="213"/>
      <c r="AK936" s="213"/>
      <c r="AL936" s="213"/>
    </row>
    <row r="937" spans="1:38" x14ac:dyDescent="0.2">
      <c r="A937" s="212"/>
      <c r="B937" s="211"/>
      <c r="C937" s="10"/>
      <c r="D937" s="10"/>
      <c r="K937" s="212"/>
      <c r="L937" s="240"/>
      <c r="M937" s="212"/>
      <c r="N937" s="212"/>
      <c r="O937" s="241"/>
      <c r="P937" s="212"/>
      <c r="Q937" s="212"/>
      <c r="R937" s="212"/>
      <c r="S937" s="212"/>
      <c r="T937" s="212"/>
      <c r="U937" s="212"/>
      <c r="V937" s="212"/>
      <c r="W937" s="231"/>
      <c r="X937" s="231"/>
      <c r="Y937" s="231"/>
      <c r="Z937" s="231"/>
      <c r="AA937" s="231"/>
      <c r="AB937" s="231"/>
      <c r="AC937" s="231"/>
      <c r="AD937" s="231"/>
      <c r="AE937" s="213"/>
      <c r="AF937" s="213"/>
      <c r="AG937" s="213"/>
      <c r="AH937" s="213"/>
      <c r="AI937" s="213"/>
      <c r="AJ937" s="213"/>
      <c r="AK937" s="213"/>
      <c r="AL937" s="213"/>
    </row>
    <row r="938" spans="1:38" x14ac:dyDescent="0.2">
      <c r="A938" s="212"/>
      <c r="B938" s="211"/>
      <c r="C938" s="10"/>
      <c r="D938" s="10"/>
      <c r="K938" s="227"/>
      <c r="L938" s="213"/>
      <c r="M938" s="241"/>
      <c r="N938" s="212"/>
      <c r="O938" s="241"/>
      <c r="P938" s="212"/>
      <c r="Q938" s="212"/>
      <c r="R938" s="212"/>
      <c r="S938" s="212"/>
      <c r="T938" s="212"/>
      <c r="U938" s="212"/>
      <c r="V938" s="212"/>
      <c r="W938" s="231"/>
      <c r="X938" s="231"/>
      <c r="Y938" s="231"/>
      <c r="Z938" s="231"/>
      <c r="AA938" s="231"/>
      <c r="AB938" s="231"/>
      <c r="AC938" s="231"/>
      <c r="AD938" s="231"/>
      <c r="AE938" s="213"/>
      <c r="AF938" s="213"/>
      <c r="AG938" s="213"/>
      <c r="AH938" s="213"/>
      <c r="AI938" s="213"/>
      <c r="AJ938" s="213"/>
      <c r="AK938" s="213"/>
      <c r="AL938" s="213"/>
    </row>
    <row r="939" spans="1:38" x14ac:dyDescent="0.2">
      <c r="A939" s="212"/>
      <c r="B939" s="211"/>
      <c r="C939" s="10"/>
      <c r="D939" s="10"/>
      <c r="K939" s="227"/>
      <c r="L939" s="220"/>
      <c r="M939" s="212"/>
      <c r="N939" s="212"/>
      <c r="O939" s="241"/>
      <c r="P939" s="212"/>
      <c r="Q939" s="212"/>
      <c r="R939" s="212"/>
      <c r="S939" s="212"/>
      <c r="T939" s="212"/>
      <c r="U939" s="212"/>
      <c r="V939" s="212"/>
      <c r="W939" s="231"/>
      <c r="X939" s="231"/>
      <c r="Y939" s="231"/>
      <c r="Z939" s="231"/>
      <c r="AA939" s="231"/>
      <c r="AB939" s="231"/>
      <c r="AC939" s="231"/>
      <c r="AD939" s="231"/>
      <c r="AE939" s="213"/>
      <c r="AF939" s="213"/>
      <c r="AG939" s="213"/>
      <c r="AH939" s="213"/>
      <c r="AI939" s="213"/>
      <c r="AJ939" s="213"/>
      <c r="AK939" s="213"/>
      <c r="AL939" s="213"/>
    </row>
    <row r="940" spans="1:38" x14ac:dyDescent="0.2">
      <c r="A940" s="212"/>
      <c r="B940" s="211"/>
      <c r="C940" s="10"/>
      <c r="D940" s="10"/>
      <c r="K940" s="227"/>
      <c r="L940" s="220"/>
      <c r="M940" s="212"/>
      <c r="N940" s="212"/>
      <c r="O940" s="241"/>
      <c r="P940" s="212"/>
      <c r="Q940" s="212"/>
      <c r="R940" s="212"/>
      <c r="S940" s="212"/>
      <c r="T940" s="212"/>
      <c r="U940" s="212"/>
      <c r="V940" s="212"/>
      <c r="W940" s="231"/>
      <c r="X940" s="231"/>
      <c r="Y940" s="231"/>
      <c r="Z940" s="231"/>
      <c r="AA940" s="231"/>
      <c r="AB940" s="231"/>
      <c r="AC940" s="231"/>
      <c r="AD940" s="231"/>
      <c r="AE940" s="213"/>
      <c r="AF940" s="213"/>
      <c r="AG940" s="213"/>
      <c r="AH940" s="213"/>
      <c r="AI940" s="213"/>
      <c r="AJ940" s="213"/>
      <c r="AK940" s="213"/>
      <c r="AL940" s="213"/>
    </row>
    <row r="941" spans="1:38" x14ac:dyDescent="0.2">
      <c r="A941" s="212"/>
      <c r="B941" s="211"/>
      <c r="C941" s="10"/>
      <c r="D941" s="10"/>
      <c r="K941" s="227"/>
      <c r="L941" s="220"/>
      <c r="M941" s="212"/>
      <c r="N941" s="212"/>
      <c r="O941" s="241"/>
      <c r="P941" s="212"/>
      <c r="Q941" s="212"/>
      <c r="R941" s="212"/>
      <c r="S941" s="212"/>
      <c r="T941" s="212"/>
      <c r="U941" s="212"/>
      <c r="V941" s="212"/>
      <c r="W941" s="213"/>
      <c r="X941" s="213"/>
      <c r="Y941" s="213"/>
      <c r="Z941" s="213"/>
      <c r="AA941" s="213"/>
      <c r="AB941" s="213"/>
      <c r="AC941" s="213"/>
      <c r="AD941" s="213"/>
      <c r="AE941" s="213"/>
      <c r="AF941" s="213"/>
      <c r="AG941" s="213"/>
      <c r="AH941" s="213"/>
      <c r="AI941" s="213"/>
      <c r="AJ941" s="213"/>
      <c r="AK941" s="213"/>
      <c r="AL941" s="213"/>
    </row>
    <row r="942" spans="1:38" x14ac:dyDescent="0.2">
      <c r="A942" s="212"/>
      <c r="B942" s="211"/>
      <c r="C942" s="10"/>
      <c r="D942" s="10"/>
      <c r="K942" s="227"/>
      <c r="L942" s="220"/>
      <c r="M942" s="212"/>
      <c r="N942" s="212"/>
      <c r="O942" s="241"/>
      <c r="P942" s="212"/>
      <c r="Q942" s="212"/>
      <c r="R942" s="212"/>
      <c r="S942" s="212"/>
      <c r="T942" s="212"/>
      <c r="U942" s="212"/>
      <c r="V942" s="212"/>
      <c r="W942" s="213"/>
      <c r="X942" s="213"/>
      <c r="Y942" s="213"/>
      <c r="Z942" s="213"/>
      <c r="AA942" s="213"/>
      <c r="AB942" s="213"/>
      <c r="AC942" s="213"/>
      <c r="AD942" s="213"/>
      <c r="AE942" s="213"/>
      <c r="AF942" s="213"/>
      <c r="AG942" s="213"/>
      <c r="AH942" s="213"/>
      <c r="AI942" s="213"/>
      <c r="AJ942" s="213"/>
      <c r="AK942" s="213"/>
      <c r="AL942" s="213"/>
    </row>
    <row r="943" spans="1:38" x14ac:dyDescent="0.2">
      <c r="A943" s="212"/>
      <c r="B943" s="211"/>
      <c r="C943" s="10"/>
      <c r="D943" s="10"/>
      <c r="K943" s="227"/>
      <c r="L943" s="220"/>
      <c r="M943" s="212"/>
      <c r="N943" s="212"/>
      <c r="O943" s="241"/>
      <c r="P943" s="212"/>
      <c r="Q943" s="212"/>
      <c r="R943" s="212"/>
      <c r="S943" s="212"/>
      <c r="T943" s="212"/>
      <c r="U943" s="212"/>
      <c r="V943" s="212"/>
      <c r="W943" s="213"/>
      <c r="X943" s="213"/>
      <c r="Y943" s="213"/>
      <c r="Z943" s="213"/>
      <c r="AA943" s="213"/>
      <c r="AB943" s="213"/>
      <c r="AC943" s="213"/>
      <c r="AD943" s="213"/>
      <c r="AE943" s="213"/>
      <c r="AF943" s="213"/>
      <c r="AG943" s="213"/>
      <c r="AH943" s="213"/>
      <c r="AI943" s="213"/>
      <c r="AJ943" s="213"/>
      <c r="AK943" s="213"/>
      <c r="AL943" s="213"/>
    </row>
    <row r="944" spans="1:38" x14ac:dyDescent="0.2">
      <c r="A944" s="212"/>
      <c r="B944" s="211"/>
      <c r="C944" s="10"/>
      <c r="D944" s="10"/>
      <c r="K944" s="227"/>
      <c r="L944" s="220"/>
      <c r="M944" s="212"/>
      <c r="N944" s="212"/>
      <c r="O944" s="241"/>
      <c r="P944" s="212"/>
      <c r="Q944" s="212"/>
      <c r="R944" s="212"/>
      <c r="S944" s="212"/>
      <c r="T944" s="212"/>
      <c r="U944" s="212"/>
      <c r="V944" s="212"/>
      <c r="W944" s="213"/>
      <c r="X944" s="231"/>
      <c r="Y944" s="213"/>
      <c r="Z944" s="213"/>
      <c r="AA944" s="213"/>
      <c r="AB944" s="213"/>
      <c r="AC944" s="213"/>
      <c r="AD944" s="213"/>
      <c r="AE944" s="213"/>
      <c r="AF944" s="213"/>
      <c r="AG944" s="213"/>
      <c r="AH944" s="213"/>
      <c r="AI944" s="213"/>
      <c r="AJ944" s="213"/>
      <c r="AK944" s="235"/>
      <c r="AL944" s="213"/>
    </row>
    <row r="945" spans="1:38" x14ac:dyDescent="0.2">
      <c r="A945" s="212"/>
      <c r="B945" s="211"/>
      <c r="C945" s="10"/>
      <c r="D945" s="10"/>
      <c r="K945" s="239"/>
      <c r="L945" s="220"/>
      <c r="M945" s="212"/>
      <c r="N945" s="212"/>
      <c r="O945" s="241"/>
      <c r="P945" s="212"/>
      <c r="Q945" s="212"/>
      <c r="R945" s="212"/>
      <c r="S945" s="212"/>
      <c r="T945" s="212"/>
      <c r="U945" s="212"/>
      <c r="V945" s="212"/>
      <c r="W945" s="213"/>
      <c r="X945" s="213"/>
      <c r="Y945" s="213"/>
      <c r="Z945" s="213"/>
      <c r="AA945" s="213"/>
      <c r="AB945" s="213"/>
      <c r="AC945" s="213"/>
      <c r="AD945" s="213"/>
      <c r="AE945" s="213"/>
      <c r="AF945" s="213"/>
      <c r="AG945" s="213"/>
      <c r="AH945" s="213"/>
      <c r="AI945" s="213"/>
      <c r="AJ945" s="231"/>
      <c r="AK945" s="213"/>
      <c r="AL945" s="213"/>
    </row>
    <row r="946" spans="1:38" x14ac:dyDescent="0.2">
      <c r="A946" s="212"/>
      <c r="B946" s="211"/>
      <c r="C946" s="10"/>
      <c r="D946" s="10"/>
      <c r="K946" s="212"/>
      <c r="L946" s="213"/>
      <c r="M946" s="212"/>
      <c r="N946" s="212"/>
      <c r="O946" s="242"/>
      <c r="P946" s="212"/>
      <c r="Q946" s="212"/>
      <c r="R946" s="212"/>
      <c r="S946" s="212"/>
      <c r="T946" s="212"/>
      <c r="U946" s="212"/>
      <c r="V946" s="212"/>
      <c r="W946" s="213"/>
      <c r="X946" s="213"/>
      <c r="Y946" s="213"/>
      <c r="Z946" s="213"/>
      <c r="AA946" s="213"/>
      <c r="AB946" s="213"/>
      <c r="AC946" s="213"/>
      <c r="AD946" s="213"/>
      <c r="AE946" s="213"/>
      <c r="AF946" s="213"/>
      <c r="AG946" s="213"/>
      <c r="AH946" s="213"/>
      <c r="AI946" s="213"/>
      <c r="AJ946" s="231"/>
      <c r="AK946" s="213"/>
      <c r="AL946" s="213"/>
    </row>
    <row r="947" spans="1:38" x14ac:dyDescent="0.2">
      <c r="A947" s="212"/>
      <c r="B947" s="211"/>
      <c r="C947" s="10"/>
      <c r="D947" s="10"/>
      <c r="K947" s="212"/>
      <c r="L947" s="212"/>
      <c r="M947" s="212"/>
      <c r="N947" s="212"/>
      <c r="O947" s="243"/>
      <c r="P947" s="212"/>
      <c r="Q947" s="212"/>
      <c r="R947" s="212"/>
      <c r="S947" s="212"/>
      <c r="T947" s="212"/>
      <c r="U947" s="212"/>
      <c r="V947" s="213"/>
      <c r="W947" s="213"/>
      <c r="X947" s="213"/>
      <c r="Y947" s="213"/>
      <c r="Z947" s="213"/>
      <c r="AA947" s="213"/>
      <c r="AB947" s="213"/>
      <c r="AC947" s="213"/>
      <c r="AD947" s="213"/>
      <c r="AE947" s="213"/>
      <c r="AF947" s="213"/>
      <c r="AG947" s="213"/>
      <c r="AH947" s="213"/>
      <c r="AI947" s="213"/>
      <c r="AJ947" s="213"/>
      <c r="AK947" s="213"/>
      <c r="AL947" s="213"/>
    </row>
    <row r="948" spans="1:38" x14ac:dyDescent="0.2">
      <c r="A948" s="212"/>
      <c r="B948" s="211"/>
      <c r="C948" s="10"/>
      <c r="D948" s="10"/>
      <c r="K948" s="212"/>
      <c r="L948" s="212"/>
      <c r="M948" s="212"/>
      <c r="N948" s="212"/>
      <c r="O948" s="212"/>
      <c r="P948" s="212"/>
      <c r="Q948" s="246"/>
      <c r="R948" s="212"/>
      <c r="S948" s="212"/>
      <c r="T948" s="212"/>
      <c r="U948" s="212"/>
      <c r="V948" s="212"/>
      <c r="W948" s="212"/>
      <c r="X948" s="212"/>
      <c r="Y948" s="212"/>
      <c r="Z948" s="212"/>
      <c r="AA948" s="212"/>
      <c r="AB948" s="212"/>
      <c r="AC948" s="212"/>
      <c r="AD948" s="212"/>
      <c r="AE948" s="212"/>
      <c r="AF948" s="212"/>
      <c r="AG948" s="212"/>
      <c r="AH948" s="212"/>
      <c r="AI948" s="212"/>
      <c r="AJ948" s="212"/>
      <c r="AK948" s="212"/>
      <c r="AL948" s="212"/>
    </row>
    <row r="949" spans="1:38" x14ac:dyDescent="0.2">
      <c r="A949" s="212"/>
      <c r="B949" s="211"/>
      <c r="C949" s="211"/>
      <c r="D949" s="244"/>
      <c r="E949" s="213"/>
      <c r="F949" s="213"/>
      <c r="G949" s="227"/>
      <c r="H949" s="245"/>
      <c r="I949" s="212"/>
      <c r="J949" s="212"/>
      <c r="K949" s="227"/>
      <c r="L949" s="213"/>
      <c r="M949" s="241"/>
      <c r="N949" s="212"/>
      <c r="O949" s="212"/>
      <c r="P949" s="212"/>
      <c r="Q949" s="246"/>
      <c r="R949" s="212"/>
      <c r="S949" s="212"/>
      <c r="T949" s="212"/>
      <c r="U949" s="212"/>
      <c r="V949" s="212"/>
      <c r="W949" s="212"/>
      <c r="X949" s="212"/>
      <c r="Y949" s="212"/>
      <c r="Z949" s="212"/>
      <c r="AA949" s="212"/>
      <c r="AB949" s="212"/>
      <c r="AC949" s="212"/>
      <c r="AD949" s="212"/>
      <c r="AE949" s="212"/>
      <c r="AF949" s="212"/>
      <c r="AG949" s="212"/>
      <c r="AH949" s="212"/>
      <c r="AI949" s="212"/>
      <c r="AJ949" s="212"/>
      <c r="AK949" s="212"/>
      <c r="AL949" s="212"/>
    </row>
    <row r="950" spans="1:38" x14ac:dyDescent="0.2">
      <c r="C950" s="10"/>
      <c r="D950" s="10"/>
      <c r="O950" s="212"/>
      <c r="P950" s="212"/>
      <c r="Q950" s="212"/>
      <c r="R950" s="212"/>
      <c r="S950" s="212"/>
      <c r="T950" s="212"/>
      <c r="U950" s="212"/>
      <c r="V950" s="212"/>
      <c r="W950" s="212"/>
      <c r="X950" s="212"/>
      <c r="Y950" s="212"/>
      <c r="Z950" s="212"/>
      <c r="AA950" s="212"/>
      <c r="AB950" s="212"/>
      <c r="AC950" s="212"/>
      <c r="AD950" s="212"/>
      <c r="AE950" s="212"/>
      <c r="AF950" s="212"/>
      <c r="AG950" s="212"/>
      <c r="AH950" s="212"/>
      <c r="AI950" s="212"/>
      <c r="AJ950" s="212"/>
      <c r="AK950" s="212"/>
      <c r="AL950" s="212"/>
    </row>
    <row r="951" spans="1:38" x14ac:dyDescent="0.2">
      <c r="C951" s="10"/>
      <c r="D951" s="10"/>
      <c r="O951" s="212"/>
      <c r="P951" s="212"/>
      <c r="Q951" s="213"/>
      <c r="R951" s="213"/>
      <c r="S951" s="213"/>
      <c r="T951" s="212"/>
      <c r="U951" s="212"/>
      <c r="V951" s="212"/>
      <c r="W951" s="212"/>
      <c r="X951" s="212"/>
      <c r="Y951" s="212"/>
      <c r="Z951" s="212"/>
      <c r="AA951" s="212"/>
      <c r="AB951" s="212"/>
      <c r="AC951" s="212"/>
      <c r="AD951" s="212"/>
      <c r="AE951" s="212"/>
      <c r="AF951" s="212"/>
      <c r="AG951" s="212"/>
      <c r="AH951" s="212"/>
      <c r="AI951" s="212"/>
      <c r="AJ951" s="212"/>
      <c r="AK951" s="212"/>
      <c r="AL951" s="212"/>
    </row>
    <row r="952" spans="1:38" x14ac:dyDescent="0.2">
      <c r="C952" s="10"/>
      <c r="D952" s="10"/>
      <c r="O952" s="213"/>
      <c r="P952" s="244"/>
      <c r="Q952" s="212"/>
      <c r="R952" s="212"/>
      <c r="S952" s="212"/>
      <c r="T952" s="212"/>
      <c r="U952" s="212"/>
      <c r="V952" s="212"/>
      <c r="W952" s="212"/>
      <c r="X952" s="212"/>
      <c r="Y952" s="212"/>
      <c r="Z952" s="212"/>
      <c r="AA952" s="212"/>
      <c r="AB952" s="212"/>
      <c r="AC952" s="212"/>
      <c r="AD952" s="212"/>
      <c r="AE952" s="212"/>
      <c r="AF952" s="212"/>
      <c r="AG952" s="212"/>
      <c r="AH952" s="212"/>
      <c r="AI952" s="212"/>
      <c r="AJ952" s="212"/>
      <c r="AK952" s="212"/>
      <c r="AL952" s="212"/>
    </row>
    <row r="953" spans="1:38" x14ac:dyDescent="0.2">
      <c r="C953" s="10"/>
      <c r="D953" s="10"/>
      <c r="O953" s="213"/>
      <c r="P953" s="213"/>
      <c r="Q953" s="212"/>
      <c r="R953" s="212"/>
      <c r="S953" s="212"/>
      <c r="T953" s="212"/>
      <c r="U953" s="212"/>
      <c r="V953" s="212"/>
      <c r="W953" s="212"/>
      <c r="X953" s="212"/>
      <c r="Y953" s="212"/>
      <c r="Z953" s="212"/>
      <c r="AA953" s="212"/>
      <c r="AB953" s="212"/>
      <c r="AC953" s="212"/>
      <c r="AD953" s="212"/>
      <c r="AE953" s="212"/>
      <c r="AF953" s="212"/>
      <c r="AG953" s="212"/>
      <c r="AH953" s="212"/>
      <c r="AI953" s="212"/>
      <c r="AJ953" s="212"/>
      <c r="AK953" s="212"/>
      <c r="AL953" s="212"/>
    </row>
    <row r="954" spans="1:38" x14ac:dyDescent="0.2">
      <c r="C954" s="10"/>
      <c r="D954" s="10"/>
      <c r="O954" s="247"/>
      <c r="P954" s="220"/>
      <c r="Q954" s="212"/>
      <c r="R954" s="212"/>
      <c r="S954" s="212"/>
      <c r="T954" s="212"/>
      <c r="U954" s="212"/>
      <c r="V954" s="212"/>
      <c r="W954" s="212"/>
      <c r="X954" s="212"/>
      <c r="Y954" s="212"/>
      <c r="Z954" s="212"/>
      <c r="AA954" s="212"/>
      <c r="AB954" s="212"/>
      <c r="AC954" s="212"/>
      <c r="AD954" s="212"/>
      <c r="AE954" s="212"/>
      <c r="AF954" s="212"/>
      <c r="AG954" s="212"/>
      <c r="AH954" s="212"/>
      <c r="AI954" s="212"/>
      <c r="AJ954" s="212"/>
      <c r="AK954" s="212"/>
      <c r="AL954" s="212"/>
    </row>
    <row r="955" spans="1:38" x14ac:dyDescent="0.2">
      <c r="C955" s="10"/>
      <c r="D955" s="10"/>
      <c r="O955" s="247"/>
      <c r="P955" s="220"/>
      <c r="Q955" s="212"/>
      <c r="R955" s="212"/>
      <c r="S955" s="212"/>
      <c r="T955" s="212"/>
      <c r="U955" s="212"/>
      <c r="V955" s="212"/>
      <c r="W955" s="212"/>
      <c r="X955" s="212"/>
      <c r="Y955" s="212"/>
      <c r="Z955" s="212"/>
      <c r="AA955" s="212"/>
      <c r="AB955" s="212"/>
      <c r="AC955" s="212"/>
      <c r="AD955" s="212"/>
      <c r="AE955" s="212"/>
      <c r="AF955" s="212"/>
      <c r="AG955" s="212"/>
      <c r="AH955" s="212"/>
      <c r="AI955" s="212"/>
      <c r="AJ955" s="212"/>
      <c r="AK955" s="212"/>
      <c r="AL955" s="212"/>
    </row>
    <row r="956" spans="1:38" x14ac:dyDescent="0.2">
      <c r="C956" s="10"/>
      <c r="D956" s="10"/>
      <c r="O956" s="247"/>
      <c r="P956" s="220"/>
      <c r="Q956" s="212"/>
      <c r="R956" s="212"/>
      <c r="S956" s="212"/>
      <c r="T956" s="212"/>
      <c r="U956" s="212"/>
      <c r="V956" s="212"/>
      <c r="W956" s="212"/>
      <c r="X956" s="212"/>
      <c r="Y956" s="212"/>
      <c r="Z956" s="212"/>
      <c r="AA956" s="212"/>
      <c r="AB956" s="212"/>
      <c r="AC956" s="212"/>
      <c r="AD956" s="212"/>
      <c r="AE956" s="212"/>
      <c r="AF956" s="212"/>
      <c r="AG956" s="212"/>
      <c r="AH956" s="212"/>
      <c r="AI956" s="212"/>
      <c r="AJ956" s="212"/>
      <c r="AK956" s="212"/>
      <c r="AL956" s="212"/>
    </row>
    <row r="957" spans="1:38" x14ac:dyDescent="0.2">
      <c r="C957" s="10"/>
      <c r="D957" s="10"/>
      <c r="O957" s="247"/>
      <c r="P957" s="220"/>
      <c r="Q957" s="212"/>
      <c r="R957" s="212"/>
      <c r="S957" s="212"/>
      <c r="T957" s="212"/>
      <c r="U957" s="212"/>
      <c r="V957" s="212"/>
      <c r="W957" s="212"/>
      <c r="X957" s="212"/>
      <c r="Y957" s="212"/>
      <c r="Z957" s="212"/>
      <c r="AA957" s="212"/>
      <c r="AB957" s="212"/>
      <c r="AC957" s="212"/>
      <c r="AD957" s="212"/>
      <c r="AE957" s="212"/>
      <c r="AF957" s="212"/>
      <c r="AG957" s="212"/>
      <c r="AH957" s="212"/>
      <c r="AI957" s="212"/>
      <c r="AJ957" s="212"/>
      <c r="AK957" s="212"/>
      <c r="AL957" s="212"/>
    </row>
    <row r="958" spans="1:38" x14ac:dyDescent="0.2">
      <c r="C958" s="10"/>
      <c r="D958" s="10"/>
      <c r="O958" s="247"/>
      <c r="P958" s="220"/>
      <c r="Q958" s="212"/>
      <c r="R958" s="212"/>
      <c r="S958" s="212"/>
      <c r="T958" s="212"/>
      <c r="U958" s="212"/>
      <c r="V958" s="212"/>
      <c r="W958" s="212"/>
      <c r="X958" s="212"/>
      <c r="Y958" s="212"/>
      <c r="Z958" s="212"/>
      <c r="AA958" s="212"/>
      <c r="AB958" s="212"/>
      <c r="AC958" s="212"/>
      <c r="AD958" s="212"/>
      <c r="AE958" s="212"/>
      <c r="AF958" s="212"/>
      <c r="AG958" s="212"/>
      <c r="AH958" s="212"/>
      <c r="AI958" s="212"/>
      <c r="AJ958" s="212"/>
      <c r="AK958" s="212"/>
      <c r="AL958" s="212"/>
    </row>
    <row r="959" spans="1:38" x14ac:dyDescent="0.2">
      <c r="C959" s="10"/>
      <c r="D959" s="10"/>
      <c r="O959" s="247"/>
      <c r="P959" s="220"/>
      <c r="Q959" s="212"/>
      <c r="R959" s="212"/>
      <c r="S959" s="212"/>
      <c r="T959" s="212"/>
      <c r="U959" s="212"/>
      <c r="V959" s="212"/>
      <c r="W959" s="212"/>
      <c r="X959" s="212"/>
      <c r="Y959" s="212"/>
      <c r="Z959" s="212"/>
      <c r="AA959" s="212"/>
      <c r="AB959" s="212"/>
      <c r="AC959" s="212"/>
      <c r="AD959" s="212"/>
      <c r="AE959" s="212"/>
      <c r="AF959" s="212"/>
      <c r="AG959" s="212"/>
      <c r="AH959" s="212"/>
      <c r="AI959" s="212"/>
      <c r="AJ959" s="212"/>
      <c r="AK959" s="212"/>
      <c r="AL959" s="212"/>
    </row>
    <row r="960" spans="1:38" x14ac:dyDescent="0.2">
      <c r="C960" s="10"/>
      <c r="D960" s="10"/>
      <c r="O960" s="247"/>
      <c r="P960" s="220"/>
      <c r="Q960" s="212"/>
      <c r="R960" s="212"/>
      <c r="S960" s="212"/>
      <c r="T960" s="212"/>
      <c r="U960" s="212"/>
      <c r="V960" s="212"/>
      <c r="W960" s="212"/>
      <c r="X960" s="212"/>
      <c r="Y960" s="212"/>
      <c r="Z960" s="212"/>
      <c r="AA960" s="212"/>
      <c r="AB960" s="212"/>
      <c r="AC960" s="212"/>
      <c r="AD960" s="212"/>
      <c r="AE960" s="212"/>
      <c r="AF960" s="212"/>
      <c r="AG960" s="212"/>
      <c r="AH960" s="212"/>
      <c r="AI960" s="212"/>
      <c r="AJ960" s="212"/>
      <c r="AK960" s="212"/>
      <c r="AL960" s="212"/>
    </row>
    <row r="961" spans="3:38" x14ac:dyDescent="0.2">
      <c r="C961" s="10"/>
      <c r="D961" s="10"/>
      <c r="O961" s="247"/>
      <c r="P961" s="220"/>
      <c r="Q961" s="212"/>
      <c r="R961" s="212"/>
      <c r="S961" s="212"/>
      <c r="T961" s="212"/>
      <c r="U961" s="212"/>
      <c r="V961" s="212"/>
      <c r="W961" s="212"/>
      <c r="X961" s="212"/>
      <c r="Y961" s="212"/>
      <c r="Z961" s="212"/>
      <c r="AA961" s="212"/>
      <c r="AB961" s="212"/>
      <c r="AC961" s="212"/>
      <c r="AD961" s="212"/>
      <c r="AE961" s="212"/>
      <c r="AF961" s="212"/>
      <c r="AG961" s="212"/>
      <c r="AH961" s="212"/>
      <c r="AI961" s="212"/>
      <c r="AJ961" s="212"/>
      <c r="AK961" s="212"/>
      <c r="AL961" s="212"/>
    </row>
    <row r="962" spans="3:38" x14ac:dyDescent="0.2">
      <c r="C962" s="10"/>
      <c r="D962" s="10"/>
      <c r="O962" s="247"/>
      <c r="P962" s="220"/>
      <c r="Q962" s="212"/>
      <c r="R962" s="212"/>
      <c r="S962" s="212"/>
      <c r="T962" s="212"/>
      <c r="U962" s="212"/>
      <c r="V962" s="212"/>
      <c r="W962" s="212"/>
      <c r="X962" s="212"/>
      <c r="Y962" s="212"/>
      <c r="Z962" s="212"/>
      <c r="AA962" s="212"/>
      <c r="AB962" s="212"/>
      <c r="AC962" s="212"/>
      <c r="AD962" s="212"/>
      <c r="AE962" s="212"/>
      <c r="AF962" s="212"/>
      <c r="AG962" s="212"/>
      <c r="AH962" s="212"/>
      <c r="AI962" s="212"/>
      <c r="AJ962" s="212"/>
      <c r="AK962" s="212"/>
      <c r="AL962" s="212"/>
    </row>
    <row r="963" spans="3:38" x14ac:dyDescent="0.2">
      <c r="C963" s="10"/>
      <c r="D963" s="10"/>
      <c r="O963" s="247"/>
      <c r="P963" s="220"/>
      <c r="Q963" s="212"/>
      <c r="R963" s="212"/>
      <c r="S963" s="212"/>
      <c r="T963" s="212"/>
      <c r="U963" s="212"/>
      <c r="V963" s="212"/>
      <c r="W963" s="212"/>
      <c r="X963" s="212"/>
      <c r="Y963" s="212"/>
      <c r="Z963" s="212"/>
      <c r="AA963" s="212"/>
      <c r="AB963" s="212"/>
      <c r="AC963" s="212"/>
      <c r="AD963" s="212"/>
      <c r="AE963" s="212"/>
      <c r="AF963" s="212"/>
      <c r="AG963" s="212"/>
      <c r="AH963" s="212"/>
      <c r="AI963" s="212"/>
      <c r="AJ963" s="212"/>
      <c r="AK963" s="212"/>
      <c r="AL963" s="212"/>
    </row>
    <row r="964" spans="3:38" x14ac:dyDescent="0.2">
      <c r="C964" s="10"/>
      <c r="D964" s="10"/>
      <c r="O964" s="247"/>
      <c r="P964" s="220"/>
      <c r="Q964" s="212"/>
      <c r="R964" s="212"/>
      <c r="S964" s="212"/>
      <c r="T964" s="212"/>
      <c r="U964" s="212"/>
      <c r="V964" s="212"/>
      <c r="W964" s="212"/>
      <c r="X964" s="212"/>
      <c r="Y964" s="212"/>
      <c r="Z964" s="212"/>
      <c r="AA964" s="212"/>
      <c r="AB964" s="212"/>
      <c r="AC964" s="212"/>
      <c r="AD964" s="212"/>
      <c r="AE964" s="212"/>
      <c r="AF964" s="212"/>
      <c r="AG964" s="212"/>
      <c r="AH964" s="212"/>
      <c r="AI964" s="212"/>
      <c r="AJ964" s="212"/>
      <c r="AK964" s="212"/>
      <c r="AL964" s="212"/>
    </row>
    <row r="965" spans="3:38" x14ac:dyDescent="0.2">
      <c r="C965" s="10"/>
      <c r="D965" s="10"/>
      <c r="O965" s="247"/>
      <c r="P965" s="220"/>
      <c r="Q965" s="212"/>
      <c r="R965" s="212"/>
      <c r="S965" s="212"/>
      <c r="T965" s="212"/>
      <c r="U965" s="212"/>
      <c r="V965" s="212"/>
      <c r="W965" s="212"/>
      <c r="X965" s="212"/>
      <c r="Y965" s="212"/>
      <c r="Z965" s="212"/>
      <c r="AA965" s="212"/>
      <c r="AB965" s="212"/>
      <c r="AC965" s="212"/>
      <c r="AD965" s="212"/>
      <c r="AE965" s="212"/>
      <c r="AF965" s="212"/>
      <c r="AG965" s="212"/>
      <c r="AH965" s="212"/>
      <c r="AI965" s="212"/>
      <c r="AJ965" s="212"/>
      <c r="AK965" s="212"/>
      <c r="AL965" s="212"/>
    </row>
    <row r="966" spans="3:38" x14ac:dyDescent="0.2">
      <c r="C966" s="10"/>
      <c r="D966" s="10"/>
      <c r="O966" s="221"/>
      <c r="P966" s="221"/>
      <c r="Q966" s="212"/>
      <c r="R966" s="212"/>
      <c r="S966" s="212"/>
      <c r="T966" s="212"/>
      <c r="U966" s="212"/>
      <c r="V966" s="212"/>
      <c r="W966" s="212"/>
      <c r="X966" s="212"/>
      <c r="Y966" s="212"/>
      <c r="Z966" s="212"/>
      <c r="AA966" s="212"/>
      <c r="AB966" s="212"/>
      <c r="AC966" s="212"/>
      <c r="AD966" s="212"/>
      <c r="AE966" s="212"/>
      <c r="AF966" s="212"/>
      <c r="AG966" s="212"/>
      <c r="AH966" s="212"/>
      <c r="AI966" s="212"/>
      <c r="AJ966" s="212"/>
      <c r="AK966" s="212"/>
      <c r="AL966" s="212"/>
    </row>
    <row r="967" spans="3:38" x14ac:dyDescent="0.2">
      <c r="C967" s="10"/>
      <c r="D967" s="10"/>
      <c r="O967" s="213"/>
      <c r="P967" s="213"/>
      <c r="Q967" s="212"/>
      <c r="R967" s="212"/>
      <c r="S967" s="212"/>
      <c r="T967" s="212"/>
      <c r="U967" s="212"/>
      <c r="V967" s="212"/>
      <c r="W967" s="212"/>
      <c r="X967" s="212"/>
      <c r="Y967" s="212"/>
      <c r="Z967" s="212"/>
      <c r="AA967" s="212"/>
      <c r="AB967" s="212"/>
      <c r="AC967" s="212"/>
      <c r="AD967" s="212"/>
      <c r="AE967" s="212"/>
      <c r="AF967" s="212"/>
      <c r="AG967" s="212"/>
      <c r="AH967" s="212"/>
      <c r="AI967" s="212"/>
      <c r="AJ967" s="212"/>
      <c r="AK967" s="212"/>
      <c r="AL967" s="212"/>
    </row>
    <row r="968" spans="3:38" x14ac:dyDescent="0.2">
      <c r="C968" s="10"/>
      <c r="D968" s="10"/>
      <c r="O968" s="238"/>
      <c r="P968" s="213"/>
      <c r="Q968" s="212"/>
      <c r="R968" s="212"/>
      <c r="S968" s="212"/>
      <c r="T968" s="212"/>
      <c r="U968" s="212"/>
      <c r="V968" s="212"/>
      <c r="W968" s="212"/>
      <c r="X968" s="212"/>
      <c r="Y968" s="212"/>
      <c r="Z968" s="212"/>
      <c r="AA968" s="212"/>
      <c r="AB968" s="212"/>
      <c r="AC968" s="212"/>
      <c r="AD968" s="212"/>
      <c r="AE968" s="212"/>
      <c r="AF968" s="212"/>
      <c r="AG968" s="212"/>
      <c r="AH968" s="212"/>
      <c r="AI968" s="212"/>
      <c r="AJ968" s="212"/>
      <c r="AK968" s="212"/>
      <c r="AL968" s="212"/>
    </row>
    <row r="969" spans="3:38" x14ac:dyDescent="0.2">
      <c r="C969" s="10"/>
      <c r="D969" s="10"/>
      <c r="O969" s="212"/>
      <c r="P969" s="212"/>
      <c r="Q969" s="212"/>
      <c r="R969" s="213"/>
      <c r="S969" s="213"/>
      <c r="T969" s="213"/>
      <c r="U969" s="247"/>
      <c r="V969" s="247"/>
      <c r="W969" s="213"/>
      <c r="X969" s="212"/>
      <c r="Y969" s="212"/>
      <c r="Z969" s="212"/>
      <c r="AA969" s="212"/>
      <c r="AB969" s="212"/>
      <c r="AC969" s="212"/>
      <c r="AD969" s="212"/>
      <c r="AE969" s="212"/>
      <c r="AF969" s="212"/>
      <c r="AG969" s="212"/>
      <c r="AH969" s="212"/>
      <c r="AI969" s="212"/>
      <c r="AJ969" s="212"/>
      <c r="AK969" s="212"/>
      <c r="AL969" s="212"/>
    </row>
    <row r="970" spans="3:38" x14ac:dyDescent="0.2">
      <c r="C970" s="10"/>
      <c r="D970" s="10"/>
      <c r="O970" s="212"/>
      <c r="P970" s="211"/>
      <c r="Q970" s="212"/>
      <c r="R970" s="212"/>
      <c r="S970" s="212"/>
      <c r="T970" s="212"/>
      <c r="U970" s="213"/>
      <c r="V970" s="213"/>
      <c r="W970" s="213"/>
      <c r="X970" s="247"/>
      <c r="Y970" s="247"/>
      <c r="Z970" s="213"/>
      <c r="AA970" s="212"/>
      <c r="AB970" s="212"/>
      <c r="AC970" s="212"/>
      <c r="AD970" s="212"/>
      <c r="AE970" s="212"/>
      <c r="AF970" s="212"/>
      <c r="AG970" s="212"/>
      <c r="AH970" s="212"/>
      <c r="AI970" s="212"/>
      <c r="AJ970" s="212"/>
      <c r="AK970" s="212"/>
      <c r="AL970" s="212"/>
    </row>
    <row r="971" spans="3:38" x14ac:dyDescent="0.2">
      <c r="C971" s="10"/>
      <c r="D971" s="10"/>
      <c r="O971" s="212"/>
      <c r="P971" s="211"/>
      <c r="Q971" s="212"/>
      <c r="R971" s="212"/>
      <c r="S971" s="212"/>
      <c r="T971" s="212"/>
      <c r="U971" s="213"/>
      <c r="V971" s="213"/>
      <c r="W971" s="213"/>
      <c r="X971" s="247"/>
      <c r="Y971" s="247"/>
      <c r="Z971" s="213"/>
      <c r="AA971" s="212"/>
      <c r="AB971" s="212"/>
      <c r="AC971" s="212"/>
      <c r="AD971" s="212"/>
      <c r="AE971" s="212"/>
      <c r="AF971" s="212"/>
      <c r="AG971" s="212"/>
      <c r="AH971" s="212"/>
      <c r="AI971" s="212"/>
      <c r="AJ971" s="212"/>
      <c r="AK971" s="212"/>
      <c r="AL971" s="212"/>
    </row>
    <row r="972" spans="3:38" x14ac:dyDescent="0.2">
      <c r="C972" s="10"/>
      <c r="D972" s="10"/>
      <c r="O972" s="212"/>
      <c r="P972" s="211"/>
      <c r="Q972" s="212"/>
      <c r="R972" s="212"/>
      <c r="S972" s="212"/>
      <c r="T972" s="212"/>
      <c r="U972" s="213"/>
      <c r="V972" s="213"/>
      <c r="W972" s="213"/>
      <c r="X972" s="247"/>
      <c r="Y972" s="247"/>
      <c r="Z972" s="213"/>
      <c r="AA972" s="212"/>
      <c r="AB972" s="212"/>
      <c r="AC972" s="212"/>
      <c r="AD972" s="212"/>
      <c r="AE972" s="212"/>
      <c r="AF972" s="212"/>
      <c r="AG972" s="212"/>
      <c r="AH972" s="212"/>
      <c r="AI972" s="212"/>
      <c r="AJ972" s="212"/>
      <c r="AK972" s="212"/>
      <c r="AL972" s="212"/>
    </row>
    <row r="973" spans="3:38" x14ac:dyDescent="0.2">
      <c r="C973" s="10"/>
      <c r="D973" s="10"/>
      <c r="O973" s="212"/>
      <c r="P973" s="212"/>
      <c r="Q973" s="212"/>
      <c r="R973" s="213"/>
      <c r="S973" s="213"/>
      <c r="T973" s="213"/>
      <c r="U973" s="247"/>
      <c r="V973" s="247"/>
      <c r="W973" s="213"/>
      <c r="X973" s="212"/>
      <c r="Y973" s="212"/>
      <c r="Z973" s="212"/>
      <c r="AA973" s="212"/>
      <c r="AB973" s="212"/>
      <c r="AC973" s="212"/>
      <c r="AD973" s="212"/>
      <c r="AE973" s="212"/>
      <c r="AF973" s="212"/>
      <c r="AG973" s="212"/>
      <c r="AH973" s="212"/>
      <c r="AI973" s="212"/>
      <c r="AJ973" s="212"/>
      <c r="AK973" s="212"/>
      <c r="AL973" s="212"/>
    </row>
    <row r="974" spans="3:38" x14ac:dyDescent="0.2">
      <c r="C974" s="10"/>
      <c r="D974" s="10"/>
      <c r="O974" s="212"/>
      <c r="P974" s="212"/>
      <c r="Q974" s="212"/>
      <c r="R974" s="213"/>
      <c r="S974" s="213"/>
      <c r="T974" s="213"/>
      <c r="U974" s="247"/>
      <c r="V974" s="247"/>
      <c r="W974" s="213"/>
      <c r="X974" s="212"/>
      <c r="Y974" s="212"/>
      <c r="Z974" s="212"/>
      <c r="AA974" s="212"/>
      <c r="AB974" s="212"/>
      <c r="AC974" s="212"/>
      <c r="AD974" s="212"/>
      <c r="AE974" s="212"/>
      <c r="AF974" s="212"/>
      <c r="AG974" s="212"/>
      <c r="AH974" s="212"/>
      <c r="AI974" s="212"/>
      <c r="AJ974" s="212"/>
      <c r="AK974" s="212"/>
      <c r="AL974" s="212"/>
    </row>
    <row r="975" spans="3:38" x14ac:dyDescent="0.2">
      <c r="C975" s="10"/>
      <c r="D975" s="10"/>
      <c r="O975" s="212"/>
      <c r="P975" s="212"/>
      <c r="Q975" s="212"/>
      <c r="R975" s="213"/>
      <c r="S975" s="213"/>
      <c r="T975" s="213"/>
      <c r="U975" s="247"/>
      <c r="V975" s="247"/>
      <c r="W975" s="213"/>
      <c r="X975" s="212"/>
      <c r="Y975" s="212"/>
      <c r="Z975" s="212"/>
      <c r="AA975" s="212"/>
      <c r="AB975" s="212"/>
      <c r="AC975" s="212"/>
      <c r="AD975" s="212"/>
      <c r="AE975" s="212"/>
      <c r="AF975" s="212"/>
      <c r="AG975" s="212"/>
      <c r="AH975" s="212"/>
      <c r="AI975" s="212"/>
      <c r="AJ975" s="212"/>
      <c r="AK975" s="212"/>
      <c r="AL975" s="212"/>
    </row>
    <row r="976" spans="3:38" x14ac:dyDescent="0.2">
      <c r="C976" s="10"/>
      <c r="D976" s="10"/>
      <c r="O976" s="248"/>
      <c r="P976" s="248"/>
      <c r="Q976" s="248"/>
      <c r="R976" s="248"/>
      <c r="S976" s="248"/>
      <c r="T976" s="248"/>
      <c r="U976" s="248"/>
      <c r="V976" s="248"/>
      <c r="W976" s="248"/>
      <c r="X976" s="248"/>
      <c r="Y976" s="248"/>
      <c r="Z976" s="248"/>
      <c r="AA976" s="248"/>
      <c r="AB976" s="248"/>
      <c r="AC976" s="248"/>
      <c r="AD976" s="248"/>
      <c r="AE976" s="248"/>
      <c r="AF976" s="248"/>
      <c r="AG976" s="248"/>
      <c r="AH976" s="248"/>
      <c r="AI976" s="248"/>
      <c r="AJ976" s="248"/>
      <c r="AK976" s="248"/>
      <c r="AL976" s="248"/>
    </row>
    <row r="977" spans="3:38" x14ac:dyDescent="0.2">
      <c r="C977" s="10"/>
      <c r="D977" s="10"/>
      <c r="O977" s="212"/>
      <c r="P977" s="212"/>
      <c r="Q977" s="212"/>
      <c r="R977" s="213"/>
      <c r="S977" s="213"/>
      <c r="T977" s="213"/>
      <c r="U977" s="247"/>
      <c r="V977" s="247"/>
      <c r="W977" s="213"/>
      <c r="X977" s="212"/>
      <c r="Y977" s="212"/>
      <c r="Z977" s="212"/>
      <c r="AA977" s="212"/>
      <c r="AB977" s="212"/>
      <c r="AC977" s="212"/>
      <c r="AD977" s="212"/>
      <c r="AE977" s="212"/>
      <c r="AF977" s="212"/>
      <c r="AG977" s="212"/>
      <c r="AH977" s="212"/>
      <c r="AI977" s="212"/>
      <c r="AJ977" s="212"/>
      <c r="AK977" s="212"/>
      <c r="AL977" s="212"/>
    </row>
    <row r="978" spans="3:38" x14ac:dyDescent="0.2">
      <c r="C978" s="10"/>
      <c r="D978" s="10"/>
      <c r="O978" s="212"/>
      <c r="P978" s="212"/>
      <c r="Q978" s="212"/>
      <c r="R978" s="212"/>
      <c r="S978" s="212"/>
      <c r="T978" s="212"/>
      <c r="U978" s="212"/>
      <c r="V978" s="212"/>
      <c r="W978" s="212"/>
      <c r="X978" s="212"/>
      <c r="Y978" s="212"/>
      <c r="Z978" s="212"/>
      <c r="AA978" s="212"/>
      <c r="AB978" s="212"/>
      <c r="AC978" s="212"/>
      <c r="AD978" s="212"/>
      <c r="AE978" s="212"/>
      <c r="AF978" s="212"/>
      <c r="AG978" s="212"/>
      <c r="AH978" s="212"/>
      <c r="AI978" s="212"/>
      <c r="AJ978" s="212"/>
      <c r="AK978" s="212"/>
      <c r="AL978" s="212"/>
    </row>
    <row r="979" spans="3:38" x14ac:dyDescent="0.2">
      <c r="C979" s="10"/>
      <c r="D979" s="10"/>
      <c r="O979" s="212"/>
      <c r="P979" s="212"/>
      <c r="Q979" s="212"/>
      <c r="R979" s="212"/>
      <c r="S979" s="212"/>
      <c r="T979" s="212"/>
      <c r="U979" s="212"/>
      <c r="V979" s="212"/>
      <c r="W979" s="212"/>
      <c r="X979" s="212"/>
      <c r="Y979" s="212"/>
      <c r="Z979" s="212"/>
      <c r="AA979" s="212"/>
      <c r="AB979" s="212"/>
      <c r="AC979" s="212"/>
      <c r="AD979" s="212"/>
      <c r="AE979" s="212"/>
      <c r="AF979" s="212"/>
      <c r="AG979" s="212"/>
      <c r="AH979" s="212"/>
      <c r="AI979" s="212"/>
      <c r="AJ979" s="212"/>
      <c r="AK979" s="212"/>
      <c r="AL979" s="212"/>
    </row>
    <row r="980" spans="3:38" x14ac:dyDescent="0.2">
      <c r="C980" s="10"/>
      <c r="D980" s="10"/>
      <c r="O980" s="212"/>
      <c r="P980" s="212"/>
      <c r="Q980" s="212"/>
      <c r="R980" s="212"/>
      <c r="S980" s="212"/>
      <c r="T980" s="212"/>
      <c r="U980" s="212"/>
      <c r="V980" s="212"/>
      <c r="W980" s="212"/>
      <c r="X980" s="212"/>
      <c r="Y980" s="212"/>
      <c r="Z980" s="212"/>
      <c r="AA980" s="212"/>
      <c r="AB980" s="212"/>
      <c r="AC980" s="212"/>
      <c r="AD980" s="212"/>
      <c r="AE980" s="212"/>
      <c r="AF980" s="212"/>
      <c r="AG980" s="212"/>
      <c r="AH980" s="212"/>
      <c r="AI980" s="212"/>
      <c r="AJ980" s="212"/>
      <c r="AK980" s="212"/>
      <c r="AL980" s="212"/>
    </row>
    <row r="981" spans="3:38" x14ac:dyDescent="0.2">
      <c r="C981" s="10"/>
      <c r="D981" s="10"/>
      <c r="O981" s="212"/>
      <c r="P981" s="212"/>
      <c r="Q981" s="212"/>
      <c r="R981" s="212"/>
      <c r="S981" s="212"/>
      <c r="T981" s="212"/>
      <c r="U981" s="212"/>
      <c r="V981" s="212"/>
      <c r="W981" s="212"/>
      <c r="X981" s="212"/>
      <c r="Y981" s="212"/>
      <c r="Z981" s="212"/>
      <c r="AA981" s="212"/>
      <c r="AB981" s="212"/>
      <c r="AC981" s="212"/>
      <c r="AD981" s="212"/>
      <c r="AE981" s="212"/>
      <c r="AF981" s="212"/>
      <c r="AG981" s="212"/>
      <c r="AH981" s="212"/>
      <c r="AI981" s="212"/>
      <c r="AJ981" s="212"/>
      <c r="AK981" s="212"/>
      <c r="AL981" s="212"/>
    </row>
    <row r="982" spans="3:38" x14ac:dyDescent="0.2">
      <c r="C982" s="10"/>
      <c r="D982" s="10"/>
      <c r="O982" s="212"/>
      <c r="P982" s="212"/>
      <c r="Q982" s="212"/>
      <c r="R982" s="212"/>
      <c r="S982" s="212"/>
      <c r="T982" s="212"/>
      <c r="U982" s="212"/>
      <c r="V982" s="212"/>
      <c r="W982" s="212"/>
      <c r="X982" s="212"/>
      <c r="Y982" s="212"/>
      <c r="Z982" s="212"/>
      <c r="AA982" s="212"/>
      <c r="AB982" s="212"/>
      <c r="AC982" s="212"/>
      <c r="AD982" s="212"/>
      <c r="AE982" s="212"/>
      <c r="AF982" s="212"/>
      <c r="AG982" s="212"/>
      <c r="AH982" s="212"/>
      <c r="AI982" s="212"/>
      <c r="AJ982" s="212"/>
      <c r="AK982" s="212"/>
      <c r="AL982" s="212"/>
    </row>
    <row r="983" spans="3:38" x14ac:dyDescent="0.2">
      <c r="C983" s="10"/>
      <c r="D983" s="10"/>
      <c r="O983" s="212"/>
      <c r="P983" s="212"/>
      <c r="Q983" s="212"/>
      <c r="R983" s="212"/>
      <c r="S983" s="212"/>
      <c r="T983" s="212"/>
      <c r="U983" s="212"/>
      <c r="V983" s="212"/>
      <c r="W983" s="212"/>
      <c r="X983" s="212"/>
      <c r="Y983" s="212"/>
      <c r="Z983" s="212"/>
      <c r="AA983" s="212"/>
      <c r="AB983" s="212"/>
      <c r="AC983" s="212"/>
      <c r="AD983" s="212"/>
      <c r="AE983" s="212"/>
      <c r="AF983" s="212"/>
      <c r="AG983" s="212"/>
      <c r="AH983" s="212"/>
      <c r="AI983" s="212"/>
      <c r="AJ983" s="212"/>
      <c r="AK983" s="212"/>
      <c r="AL983" s="212"/>
    </row>
    <row r="984" spans="3:38" x14ac:dyDescent="0.25">
      <c r="C984" s="10"/>
      <c r="D984" s="10"/>
    </row>
    <row r="985" spans="3:38" x14ac:dyDescent="0.25">
      <c r="C985" s="10"/>
      <c r="D985" s="10"/>
    </row>
  </sheetData>
  <dataConsolidate/>
  <dataValidations count="1">
    <dataValidation type="list" allowBlank="1" showInputMessage="1" showErrorMessage="1" sqref="D446 D451">
      <formula1>"0, 1"</formula1>
    </dataValidation>
  </dataValidations>
  <hyperlinks>
    <hyperlink ref="AO284" r:id="rId1" display="http://www.infiltec.com/infmukstd.htm"/>
  </hyperlinks>
  <printOptions headings="1" gridLines="1"/>
  <pageMargins left="0.7" right="0.7" top="0.75" bottom="0.75" header="0.3" footer="0.3"/>
  <pageSetup scale="10" pageOrder="overThenDown" orientation="landscape" r:id="rId2"/>
  <headerFooter>
    <oddFooter>&amp;R&amp;P</oddFooter>
  </headerFooter>
  <rowBreaks count="3" manualBreakCount="3">
    <brk id="666" max="31" man="1"/>
    <brk id="762" max="31" man="1"/>
    <brk id="779" max="31" man="1"/>
  </rowBreaks>
  <ignoredErrors>
    <ignoredError sqref="P283" evalError="1"/>
  </ignoredErrors>
  <drawing r:id="rId3"/>
  <legacyDrawing r:id="rId4"/>
  <oleObjects>
    <mc:AlternateContent xmlns:mc="http://schemas.openxmlformats.org/markup-compatibility/2006">
      <mc:Choice Requires="x14">
        <oleObject progId="Equation.DSMT4" shapeId="2049" r:id="rId5">
          <objectPr defaultSize="0" autoPict="0" r:id="rId6">
            <anchor moveWithCells="1" sizeWithCells="1">
              <from>
                <xdr:col>9</xdr:col>
                <xdr:colOff>0</xdr:colOff>
                <xdr:row>779</xdr:row>
                <xdr:rowOff>0</xdr:rowOff>
              </from>
              <to>
                <xdr:col>9</xdr:col>
                <xdr:colOff>428625</xdr:colOff>
                <xdr:row>779</xdr:row>
                <xdr:rowOff>0</xdr:rowOff>
              </to>
            </anchor>
          </objectPr>
        </oleObject>
      </mc:Choice>
      <mc:Fallback>
        <oleObject progId="Equation.DSMT4" shapeId="2049" r:id="rId5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2:CI8729"/>
  <sheetViews>
    <sheetView topLeftCell="A6" zoomScale="80" zoomScaleNormal="80" workbookViewId="0">
      <selection activeCell="J9" sqref="J9"/>
    </sheetView>
  </sheetViews>
  <sheetFormatPr defaultColWidth="9.140625" defaultRowHeight="12.75" x14ac:dyDescent="0.25"/>
  <cols>
    <col min="1" max="1" width="9.140625" style="250"/>
    <col min="2" max="2" width="8.7109375" style="250" customWidth="1"/>
    <col min="3" max="3" width="7.28515625" style="250" customWidth="1"/>
    <col min="4" max="5" width="7.42578125" style="250" customWidth="1"/>
    <col min="6" max="6" width="8.28515625" style="250" customWidth="1"/>
    <col min="7" max="26" width="7.42578125" style="250" customWidth="1"/>
    <col min="27" max="16384" width="9.140625" style="250"/>
  </cols>
  <sheetData>
    <row r="2" spans="2:87" ht="15" customHeight="1" x14ac:dyDescent="0.25">
      <c r="B2" s="249" t="s">
        <v>853</v>
      </c>
      <c r="Z2" s="250" t="s">
        <v>598</v>
      </c>
    </row>
    <row r="3" spans="2:87" ht="15" customHeight="1" x14ac:dyDescent="0.25">
      <c r="B3" s="251"/>
    </row>
    <row r="4" spans="2:87" ht="15" customHeight="1" x14ac:dyDescent="0.25"/>
    <row r="5" spans="2:87" ht="15" customHeight="1" x14ac:dyDescent="0.25"/>
    <row r="6" spans="2:87" ht="15" customHeight="1" x14ac:dyDescent="0.25">
      <c r="E6" s="919" t="s">
        <v>1110</v>
      </c>
      <c r="F6" s="920" t="s">
        <v>854</v>
      </c>
    </row>
    <row r="7" spans="2:87" ht="15" customHeight="1" x14ac:dyDescent="0.25"/>
    <row r="9" spans="2:87" ht="15" customHeight="1" x14ac:dyDescent="0.25">
      <c r="B9" s="251" t="s">
        <v>579</v>
      </c>
      <c r="BL9" s="438"/>
      <c r="BM9" s="251" t="s">
        <v>928</v>
      </c>
    </row>
    <row r="10" spans="2:87" ht="32.25" customHeight="1" x14ac:dyDescent="0.25">
      <c r="B10" s="253" t="s">
        <v>580</v>
      </c>
      <c r="C10" s="254" t="s">
        <v>581</v>
      </c>
      <c r="D10" s="254" t="s">
        <v>582</v>
      </c>
      <c r="E10" s="255"/>
      <c r="F10" s="256"/>
      <c r="G10" s="256" t="s">
        <v>583</v>
      </c>
      <c r="H10" s="256"/>
      <c r="I10" s="256"/>
      <c r="J10" s="256"/>
      <c r="K10" s="256"/>
      <c r="L10" s="256"/>
      <c r="M10" s="257"/>
      <c r="N10" s="377" t="s">
        <v>585</v>
      </c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2"/>
      <c r="AL10" s="377" t="s">
        <v>586</v>
      </c>
      <c r="AM10" s="261"/>
      <c r="AN10" s="261"/>
      <c r="AO10" s="261"/>
      <c r="AP10" s="261"/>
      <c r="AQ10" s="261"/>
      <c r="AR10" s="261"/>
      <c r="AS10" s="261"/>
      <c r="AT10" s="261"/>
      <c r="AU10" s="261"/>
      <c r="AV10" s="261"/>
      <c r="AW10" s="261"/>
      <c r="AX10" s="261"/>
      <c r="AY10" s="261"/>
      <c r="AZ10" s="261"/>
      <c r="BA10" s="261"/>
      <c r="BB10" s="261"/>
      <c r="BC10" s="261"/>
      <c r="BD10" s="261"/>
      <c r="BE10" s="261"/>
      <c r="BF10" s="261"/>
      <c r="BG10" s="261"/>
      <c r="BH10" s="261"/>
      <c r="BI10" s="262"/>
      <c r="BL10" s="82" t="s">
        <v>929</v>
      </c>
      <c r="BM10" s="190">
        <v>0</v>
      </c>
      <c r="BN10" s="477">
        <v>30</v>
      </c>
      <c r="BO10" s="478">
        <v>30</v>
      </c>
      <c r="BP10" s="478">
        <v>30</v>
      </c>
      <c r="BQ10" s="478">
        <v>30</v>
      </c>
      <c r="BR10" s="479">
        <v>30</v>
      </c>
      <c r="BS10" s="477">
        <v>45</v>
      </c>
      <c r="BT10" s="478">
        <v>45</v>
      </c>
      <c r="BU10" s="478">
        <v>45</v>
      </c>
      <c r="BV10" s="478">
        <v>45</v>
      </c>
      <c r="BW10" s="479">
        <v>45</v>
      </c>
      <c r="BX10" s="480">
        <v>60</v>
      </c>
      <c r="BY10" s="481">
        <v>60</v>
      </c>
      <c r="BZ10" s="481">
        <v>60</v>
      </c>
      <c r="CA10" s="481">
        <v>60</v>
      </c>
      <c r="CB10" s="482">
        <v>60</v>
      </c>
      <c r="CC10" s="481">
        <v>90</v>
      </c>
      <c r="CD10" s="481">
        <v>90</v>
      </c>
      <c r="CE10" s="481">
        <v>90</v>
      </c>
      <c r="CF10" s="481">
        <v>90</v>
      </c>
      <c r="CG10" s="482">
        <v>90</v>
      </c>
    </row>
    <row r="11" spans="2:87" ht="15" customHeight="1" x14ac:dyDescent="0.25">
      <c r="B11" s="258"/>
      <c r="C11" s="259"/>
      <c r="D11" s="259"/>
      <c r="E11" s="260" t="s">
        <v>8</v>
      </c>
      <c r="F11" s="260" t="s">
        <v>10</v>
      </c>
      <c r="G11" s="260" t="s">
        <v>12</v>
      </c>
      <c r="H11" s="260" t="s">
        <v>14</v>
      </c>
      <c r="I11" s="260" t="s">
        <v>15</v>
      </c>
      <c r="J11" s="260" t="s">
        <v>17</v>
      </c>
      <c r="K11" s="260" t="s">
        <v>19</v>
      </c>
      <c r="L11" s="260" t="s">
        <v>7</v>
      </c>
      <c r="M11" s="260" t="s">
        <v>584</v>
      </c>
      <c r="N11" s="261">
        <v>1</v>
      </c>
      <c r="O11" s="261">
        <v>2</v>
      </c>
      <c r="P11" s="261">
        <v>3</v>
      </c>
      <c r="Q11" s="261">
        <v>4</v>
      </c>
      <c r="R11" s="261">
        <v>5</v>
      </c>
      <c r="S11" s="261">
        <v>6</v>
      </c>
      <c r="T11" s="261">
        <v>7</v>
      </c>
      <c r="U11" s="261">
        <v>8</v>
      </c>
      <c r="V11" s="261">
        <v>9</v>
      </c>
      <c r="W11" s="261">
        <v>10</v>
      </c>
      <c r="X11" s="261">
        <v>11</v>
      </c>
      <c r="Y11" s="261">
        <v>12</v>
      </c>
      <c r="Z11" s="261">
        <v>13</v>
      </c>
      <c r="AA11" s="261">
        <v>14</v>
      </c>
      <c r="AB11" s="261">
        <v>15</v>
      </c>
      <c r="AC11" s="261">
        <v>16</v>
      </c>
      <c r="AD11" s="261">
        <v>17</v>
      </c>
      <c r="AE11" s="261">
        <v>18</v>
      </c>
      <c r="AF11" s="261">
        <v>19</v>
      </c>
      <c r="AG11" s="261">
        <v>20</v>
      </c>
      <c r="AH11" s="261">
        <v>21</v>
      </c>
      <c r="AI11" s="261">
        <v>22</v>
      </c>
      <c r="AJ11" s="261">
        <v>23</v>
      </c>
      <c r="AK11" s="262">
        <v>24</v>
      </c>
      <c r="AL11" s="261">
        <v>1</v>
      </c>
      <c r="AM11" s="261">
        <v>2</v>
      </c>
      <c r="AN11" s="261">
        <v>3</v>
      </c>
      <c r="AO11" s="261">
        <v>4</v>
      </c>
      <c r="AP11" s="261">
        <v>5</v>
      </c>
      <c r="AQ11" s="261">
        <v>6</v>
      </c>
      <c r="AR11" s="261">
        <v>7</v>
      </c>
      <c r="AS11" s="261">
        <v>8</v>
      </c>
      <c r="AT11" s="261">
        <v>9</v>
      </c>
      <c r="AU11" s="261">
        <v>10</v>
      </c>
      <c r="AV11" s="261">
        <v>11</v>
      </c>
      <c r="AW11" s="261">
        <v>12</v>
      </c>
      <c r="AX11" s="261">
        <v>13</v>
      </c>
      <c r="AY11" s="261">
        <v>14</v>
      </c>
      <c r="AZ11" s="261">
        <v>15</v>
      </c>
      <c r="BA11" s="261">
        <v>16</v>
      </c>
      <c r="BB11" s="261">
        <v>17</v>
      </c>
      <c r="BC11" s="261">
        <v>18</v>
      </c>
      <c r="BD11" s="261">
        <v>19</v>
      </c>
      <c r="BE11" s="261">
        <v>20</v>
      </c>
      <c r="BF11" s="261">
        <v>21</v>
      </c>
      <c r="BG11" s="261">
        <v>22</v>
      </c>
      <c r="BH11" s="261">
        <v>23</v>
      </c>
      <c r="BI11" s="262">
        <v>24</v>
      </c>
      <c r="BL11" s="82" t="s">
        <v>6</v>
      </c>
      <c r="BM11" s="192"/>
      <c r="BN11" s="453" t="s">
        <v>424</v>
      </c>
      <c r="BO11" s="454" t="s">
        <v>924</v>
      </c>
      <c r="BP11" s="454" t="s">
        <v>425</v>
      </c>
      <c r="BQ11" s="483" t="s">
        <v>423</v>
      </c>
      <c r="BR11" s="484" t="s">
        <v>925</v>
      </c>
      <c r="BS11" s="453" t="s">
        <v>424</v>
      </c>
      <c r="BT11" s="454" t="s">
        <v>924</v>
      </c>
      <c r="BU11" s="454" t="s">
        <v>425</v>
      </c>
      <c r="BV11" s="483" t="s">
        <v>423</v>
      </c>
      <c r="BW11" s="484" t="s">
        <v>925</v>
      </c>
      <c r="BX11" s="453" t="s">
        <v>424</v>
      </c>
      <c r="BY11" s="454" t="s">
        <v>924</v>
      </c>
      <c r="BZ11" s="454" t="s">
        <v>425</v>
      </c>
      <c r="CA11" s="483" t="s">
        <v>423</v>
      </c>
      <c r="CB11" s="484" t="s">
        <v>925</v>
      </c>
      <c r="CC11" s="454" t="s">
        <v>424</v>
      </c>
      <c r="CD11" s="454" t="s">
        <v>924</v>
      </c>
      <c r="CE11" s="454" t="s">
        <v>425</v>
      </c>
      <c r="CF11" s="483" t="s">
        <v>423</v>
      </c>
      <c r="CG11" s="484" t="s">
        <v>925</v>
      </c>
      <c r="CI11" s="250" t="s">
        <v>978</v>
      </c>
    </row>
    <row r="12" spans="2:87" ht="15" customHeight="1" x14ac:dyDescent="0.25">
      <c r="B12" s="376" t="s">
        <v>114</v>
      </c>
      <c r="C12" s="349">
        <f ca="1">OFFSET(C32,B31,0)</f>
        <v>-4.6449528936742839</v>
      </c>
      <c r="D12" s="351">
        <f t="shared" ref="D12:AI12" ca="1" si="0">OFFSET(D32,$B$31,0)</f>
        <v>4.8803499327052062</v>
      </c>
      <c r="E12" s="350">
        <f t="shared" ca="1" si="0"/>
        <v>125.29874723787528</v>
      </c>
      <c r="F12" s="350">
        <f t="shared" ca="1" si="0"/>
        <v>87.47012497021079</v>
      </c>
      <c r="G12" s="350">
        <f t="shared" ca="1" si="0"/>
        <v>43.025255393380995</v>
      </c>
      <c r="H12" s="350">
        <f t="shared" ca="1" si="0"/>
        <v>23.676016893917467</v>
      </c>
      <c r="I12" s="350">
        <f t="shared" ca="1" si="0"/>
        <v>23.012963114183467</v>
      </c>
      <c r="J12" s="350">
        <f t="shared" ca="1" si="0"/>
        <v>26.291711032177453</v>
      </c>
      <c r="K12" s="350">
        <f t="shared" ca="1" si="0"/>
        <v>58.818099030452551</v>
      </c>
      <c r="L12" s="350">
        <f t="shared" ca="1" si="0"/>
        <v>107.34785920366583</v>
      </c>
      <c r="M12" s="351">
        <f t="shared" ca="1" si="0"/>
        <v>73.597577388963657</v>
      </c>
      <c r="N12" s="349">
        <f t="shared" ca="1" si="0"/>
        <v>-6.283870967741934</v>
      </c>
      <c r="O12" s="350">
        <f t="shared" ca="1" si="0"/>
        <v>-6.1806451612903217</v>
      </c>
      <c r="P12" s="350">
        <f t="shared" ca="1" si="0"/>
        <v>-6.0870967741935464</v>
      </c>
      <c r="Q12" s="350">
        <f t="shared" ca="1" si="0"/>
        <v>-6.2741935483870952</v>
      </c>
      <c r="R12" s="350">
        <f t="shared" ca="1" si="0"/>
        <v>-6.5225806451612884</v>
      </c>
      <c r="S12" s="350">
        <f t="shared" ca="1" si="0"/>
        <v>-6.8064516129032233</v>
      </c>
      <c r="T12" s="350">
        <f t="shared" ca="1" si="0"/>
        <v>-6.7806451612903214</v>
      </c>
      <c r="U12" s="350">
        <f t="shared" ca="1" si="0"/>
        <v>-6.5580645161290327</v>
      </c>
      <c r="V12" s="350">
        <f t="shared" ca="1" si="0"/>
        <v>-5.5516129032258075</v>
      </c>
      <c r="W12" s="350">
        <f t="shared" ca="1" si="0"/>
        <v>-4.3612903225806479</v>
      </c>
      <c r="X12" s="350">
        <f t="shared" ca="1" si="0"/>
        <v>-3.5451612903225809</v>
      </c>
      <c r="Y12" s="350">
        <f t="shared" ca="1" si="0"/>
        <v>-2.7903225806451619</v>
      </c>
      <c r="Z12" s="350">
        <f t="shared" ca="1" si="0"/>
        <v>-2.0290322580645159</v>
      </c>
      <c r="AA12" s="350">
        <f t="shared" ca="1" si="0"/>
        <v>-1.6838709677419355</v>
      </c>
      <c r="AB12" s="350">
        <f t="shared" ca="1" si="0"/>
        <v>-1.596774193548387</v>
      </c>
      <c r="AC12" s="350">
        <f t="shared" ca="1" si="0"/>
        <v>-1.8612903225806452</v>
      </c>
      <c r="AD12" s="350">
        <f t="shared" ca="1" si="0"/>
        <v>-2.9129032258064509</v>
      </c>
      <c r="AE12" s="350">
        <f t="shared" ca="1" si="0"/>
        <v>-3.8258064516129031</v>
      </c>
      <c r="AF12" s="350">
        <f t="shared" ca="1" si="0"/>
        <v>-4.5451612903225795</v>
      </c>
      <c r="AG12" s="350">
        <f t="shared" ca="1" si="0"/>
        <v>-4.5096774193548379</v>
      </c>
      <c r="AH12" s="350">
        <f t="shared" ca="1" si="0"/>
        <v>-4.7096774193548381</v>
      </c>
      <c r="AI12" s="350">
        <f t="shared" ca="1" si="0"/>
        <v>-4.9774193548387098</v>
      </c>
      <c r="AJ12" s="350">
        <f t="shared" ref="AJ12:BI12" ca="1" si="1">OFFSET(AJ32,$B$31,0)</f>
        <v>-5.2387096774193544</v>
      </c>
      <c r="AK12" s="351">
        <f t="shared" ca="1" si="1"/>
        <v>-5.8866666666666667</v>
      </c>
      <c r="AL12" s="349">
        <f t="shared" ca="1" si="1"/>
        <v>0</v>
      </c>
      <c r="AM12" s="350">
        <f t="shared" ca="1" si="1"/>
        <v>0</v>
      </c>
      <c r="AN12" s="350">
        <f t="shared" ca="1" si="1"/>
        <v>0</v>
      </c>
      <c r="AO12" s="350">
        <f t="shared" ca="1" si="1"/>
        <v>0</v>
      </c>
      <c r="AP12" s="350">
        <f t="shared" ca="1" si="1"/>
        <v>0</v>
      </c>
      <c r="AQ12" s="350">
        <f t="shared" ca="1" si="1"/>
        <v>0</v>
      </c>
      <c r="AR12" s="350">
        <f t="shared" ca="1" si="1"/>
        <v>0</v>
      </c>
      <c r="AS12" s="350">
        <f t="shared" ca="1" si="1"/>
        <v>20.322580645161292</v>
      </c>
      <c r="AT12" s="350">
        <f t="shared" ca="1" si="1"/>
        <v>92.870967741935488</v>
      </c>
      <c r="AU12" s="350">
        <f t="shared" ca="1" si="1"/>
        <v>191.2258064516129</v>
      </c>
      <c r="AV12" s="350">
        <f t="shared" ca="1" si="1"/>
        <v>260.12903225806451</v>
      </c>
      <c r="AW12" s="350">
        <f t="shared" ca="1" si="1"/>
        <v>302.74193548387098</v>
      </c>
      <c r="AX12" s="350">
        <f t="shared" ca="1" si="1"/>
        <v>305.90322580645159</v>
      </c>
      <c r="AY12" s="350">
        <f t="shared" ca="1" si="1"/>
        <v>276.77419354838707</v>
      </c>
      <c r="AZ12" s="350">
        <f t="shared" ca="1" si="1"/>
        <v>192.51612903225808</v>
      </c>
      <c r="BA12" s="350">
        <f t="shared" ca="1" si="1"/>
        <v>98.806451612903231</v>
      </c>
      <c r="BB12" s="350">
        <f t="shared" ca="1" si="1"/>
        <v>22.677419354838708</v>
      </c>
      <c r="BC12" s="350">
        <f t="shared" ca="1" si="1"/>
        <v>0</v>
      </c>
      <c r="BD12" s="350">
        <f t="shared" ca="1" si="1"/>
        <v>0</v>
      </c>
      <c r="BE12" s="350">
        <f t="shared" ca="1" si="1"/>
        <v>0</v>
      </c>
      <c r="BF12" s="350">
        <f t="shared" ca="1" si="1"/>
        <v>0</v>
      </c>
      <c r="BG12" s="350">
        <f t="shared" ca="1" si="1"/>
        <v>0</v>
      </c>
      <c r="BH12" s="350">
        <f t="shared" ca="1" si="1"/>
        <v>0</v>
      </c>
      <c r="BI12" s="351">
        <f t="shared" ca="1" si="1"/>
        <v>0</v>
      </c>
      <c r="BL12" s="438"/>
      <c r="BM12" s="485">
        <v>68.788694481830419</v>
      </c>
      <c r="BN12" s="486">
        <v>112.89561096046027</v>
      </c>
      <c r="BO12" s="487">
        <v>71.700889034456807</v>
      </c>
      <c r="BP12" s="487">
        <v>84.085518543794137</v>
      </c>
      <c r="BQ12" s="488">
        <v>55.763493341574836</v>
      </c>
      <c r="BR12" s="489">
        <v>79.649203799421542</v>
      </c>
      <c r="BS12" s="486">
        <v>127.78141522381902</v>
      </c>
      <c r="BT12" s="487">
        <v>81.282123763587109</v>
      </c>
      <c r="BU12" s="487">
        <v>82.197748167060936</v>
      </c>
      <c r="BV12" s="487">
        <v>55.265117063393944</v>
      </c>
      <c r="BW12" s="490">
        <v>87.792073665007806</v>
      </c>
      <c r="BX12" s="486">
        <v>134.02064416418094</v>
      </c>
      <c r="BY12" s="487">
        <v>87.002713754511007</v>
      </c>
      <c r="BZ12" s="487">
        <v>73.454174903126344</v>
      </c>
      <c r="CA12" s="487">
        <v>55.470793787997401</v>
      </c>
      <c r="CB12" s="490">
        <v>96.117395516074581</v>
      </c>
      <c r="CC12" s="487">
        <v>114.69922519886124</v>
      </c>
      <c r="CD12" s="487">
        <v>81.355152637125911</v>
      </c>
      <c r="CE12" s="487">
        <v>25.832163649277113</v>
      </c>
      <c r="CF12" s="487">
        <v>55.202020156444291</v>
      </c>
      <c r="CG12" s="490">
        <v>98.278194347698857</v>
      </c>
    </row>
    <row r="13" spans="2:87" ht="15" customHeight="1" x14ac:dyDescent="0.25">
      <c r="B13" s="348" t="s">
        <v>115</v>
      </c>
      <c r="C13" s="352">
        <f t="shared" ref="C13:C23" ca="1" si="2">OFFSET(C33,$B$31,0)</f>
        <v>-2.5291666666666686</v>
      </c>
      <c r="D13" s="354">
        <f t="shared" ref="D13:AI13" ca="1" si="3">OFFSET(D33,$B$31,0)</f>
        <v>5.0703869047618753</v>
      </c>
      <c r="E13" s="353">
        <f t="shared" ca="1" si="3"/>
        <v>143.27943725883407</v>
      </c>
      <c r="F13" s="353">
        <f t="shared" ca="1" si="3"/>
        <v>105.53195061557504</v>
      </c>
      <c r="G13" s="353">
        <f t="shared" ca="1" si="3"/>
        <v>60.44094852673404</v>
      </c>
      <c r="H13" s="353">
        <f t="shared" ca="1" si="3"/>
        <v>34.671139634170245</v>
      </c>
      <c r="I13" s="353">
        <f t="shared" ca="1" si="3"/>
        <v>32.098611138550666</v>
      </c>
      <c r="J13" s="353">
        <f t="shared" ca="1" si="3"/>
        <v>40.146531337066307</v>
      </c>
      <c r="K13" s="353">
        <f t="shared" ca="1" si="3"/>
        <v>79.499319569158715</v>
      </c>
      <c r="L13" s="353">
        <f t="shared" ca="1" si="3"/>
        <v>127.1272531646656</v>
      </c>
      <c r="M13" s="354">
        <f t="shared" ca="1" si="3"/>
        <v>103.88988095238095</v>
      </c>
      <c r="N13" s="352">
        <f t="shared" ca="1" si="3"/>
        <v>-3.6571428571428575</v>
      </c>
      <c r="O13" s="353">
        <f t="shared" ca="1" si="3"/>
        <v>-3.9285714285714297</v>
      </c>
      <c r="P13" s="353">
        <f t="shared" ca="1" si="3"/>
        <v>-4.1464285714285714</v>
      </c>
      <c r="Q13" s="353">
        <f t="shared" ca="1" si="3"/>
        <v>-4.4642857142857153</v>
      </c>
      <c r="R13" s="353">
        <f t="shared" ca="1" si="3"/>
        <v>-4.9071428571428566</v>
      </c>
      <c r="S13" s="353">
        <f t="shared" ca="1" si="3"/>
        <v>-5.1214285714285728</v>
      </c>
      <c r="T13" s="353">
        <f t="shared" ca="1" si="3"/>
        <v>-5.2642857142857151</v>
      </c>
      <c r="U13" s="353">
        <f t="shared" ca="1" si="3"/>
        <v>-4.625</v>
      </c>
      <c r="V13" s="353">
        <f t="shared" ca="1" si="3"/>
        <v>-3.2928571428571418</v>
      </c>
      <c r="W13" s="353">
        <f t="shared" ca="1" si="3"/>
        <v>-2.0964285714285711</v>
      </c>
      <c r="X13" s="353">
        <f t="shared" ca="1" si="3"/>
        <v>-1.0214285714285718</v>
      </c>
      <c r="Y13" s="353">
        <f t="shared" ca="1" si="3"/>
        <v>-0.24285714285714294</v>
      </c>
      <c r="Z13" s="353">
        <f t="shared" ca="1" si="3"/>
        <v>0.25714285714285684</v>
      </c>
      <c r="AA13" s="353">
        <f t="shared" ca="1" si="3"/>
        <v>0.39642857142857163</v>
      </c>
      <c r="AB13" s="353">
        <f t="shared" ca="1" si="3"/>
        <v>0.49642857142857127</v>
      </c>
      <c r="AC13" s="353">
        <f t="shared" ca="1" si="3"/>
        <v>0.26071428571428618</v>
      </c>
      <c r="AD13" s="353">
        <f t="shared" ca="1" si="3"/>
        <v>-0.46428571428571414</v>
      </c>
      <c r="AE13" s="353">
        <f t="shared" ca="1" si="3"/>
        <v>-1.4249999999999996</v>
      </c>
      <c r="AF13" s="353">
        <f t="shared" ca="1" si="3"/>
        <v>-2.346428571428572</v>
      </c>
      <c r="AG13" s="353">
        <f t="shared" ca="1" si="3"/>
        <v>-2.5821428571428577</v>
      </c>
      <c r="AH13" s="353">
        <f t="shared" ca="1" si="3"/>
        <v>-2.850000000000001</v>
      </c>
      <c r="AI13" s="353">
        <f t="shared" ca="1" si="3"/>
        <v>-2.9250000000000007</v>
      </c>
      <c r="AJ13" s="353">
        <f t="shared" ref="AJ13:BI13" ca="1" si="4">OFFSET(AJ33,$B$31,0)</f>
        <v>-3.1500000000000008</v>
      </c>
      <c r="AK13" s="354">
        <f t="shared" ca="1" si="4"/>
        <v>-3.5999999999999992</v>
      </c>
      <c r="AL13" s="352">
        <f t="shared" ca="1" si="4"/>
        <v>0</v>
      </c>
      <c r="AM13" s="353">
        <f t="shared" ca="1" si="4"/>
        <v>0</v>
      </c>
      <c r="AN13" s="353">
        <f t="shared" ca="1" si="4"/>
        <v>0</v>
      </c>
      <c r="AO13" s="353">
        <f t="shared" ca="1" si="4"/>
        <v>0</v>
      </c>
      <c r="AP13" s="353">
        <f t="shared" ca="1" si="4"/>
        <v>0</v>
      </c>
      <c r="AQ13" s="353">
        <f t="shared" ca="1" si="4"/>
        <v>0</v>
      </c>
      <c r="AR13" s="353">
        <f t="shared" ca="1" si="4"/>
        <v>3.0714285714285716</v>
      </c>
      <c r="AS13" s="353">
        <f t="shared" ca="1" si="4"/>
        <v>48.25</v>
      </c>
      <c r="AT13" s="353">
        <f t="shared" ca="1" si="4"/>
        <v>149.5</v>
      </c>
      <c r="AU13" s="353">
        <f t="shared" ca="1" si="4"/>
        <v>271.39285714285717</v>
      </c>
      <c r="AV13" s="353">
        <f t="shared" ca="1" si="4"/>
        <v>364.5</v>
      </c>
      <c r="AW13" s="353">
        <f t="shared" ca="1" si="4"/>
        <v>390.39285714285717</v>
      </c>
      <c r="AX13" s="353">
        <f t="shared" ca="1" si="4"/>
        <v>395.17857142857144</v>
      </c>
      <c r="AY13" s="353">
        <f t="shared" ca="1" si="4"/>
        <v>342.28571428571428</v>
      </c>
      <c r="AZ13" s="353">
        <f t="shared" ca="1" si="4"/>
        <v>273.92857142857144</v>
      </c>
      <c r="BA13" s="353">
        <f t="shared" ca="1" si="4"/>
        <v>179.64285714285714</v>
      </c>
      <c r="BB13" s="353">
        <f t="shared" ca="1" si="4"/>
        <v>67.607142857142861</v>
      </c>
      <c r="BC13" s="353">
        <f t="shared" ca="1" si="4"/>
        <v>7.6071428571428568</v>
      </c>
      <c r="BD13" s="353">
        <f t="shared" ca="1" si="4"/>
        <v>0</v>
      </c>
      <c r="BE13" s="353">
        <f t="shared" ca="1" si="4"/>
        <v>0</v>
      </c>
      <c r="BF13" s="353">
        <f t="shared" ca="1" si="4"/>
        <v>0</v>
      </c>
      <c r="BG13" s="353">
        <f t="shared" ca="1" si="4"/>
        <v>0</v>
      </c>
      <c r="BH13" s="353">
        <f t="shared" ca="1" si="4"/>
        <v>0</v>
      </c>
      <c r="BI13" s="354">
        <f t="shared" ca="1" si="4"/>
        <v>0</v>
      </c>
      <c r="BL13" s="438"/>
      <c r="BM13" s="485">
        <v>93.160714285714292</v>
      </c>
      <c r="BN13" s="486">
        <v>143.49392496804401</v>
      </c>
      <c r="BO13" s="487">
        <v>79.095588373543208</v>
      </c>
      <c r="BP13" s="487">
        <v>107.81916991628458</v>
      </c>
      <c r="BQ13" s="488">
        <v>85.305292374467285</v>
      </c>
      <c r="BR13" s="489">
        <v>105.09744569071083</v>
      </c>
      <c r="BS13" s="486">
        <v>158.34128312342131</v>
      </c>
      <c r="BT13" s="487">
        <v>90.289236061479585</v>
      </c>
      <c r="BU13" s="487">
        <v>105.81468183844783</v>
      </c>
      <c r="BV13" s="487">
        <v>88.391238048128599</v>
      </c>
      <c r="BW13" s="490">
        <v>113.67103678725938</v>
      </c>
      <c r="BX13" s="486">
        <v>161.91667309630341</v>
      </c>
      <c r="BY13" s="487">
        <v>98.704980768044351</v>
      </c>
      <c r="BZ13" s="487">
        <v>95.414522693518464</v>
      </c>
      <c r="CA13" s="487">
        <v>87.221402071845631</v>
      </c>
      <c r="CB13" s="490">
        <v>120.78039228666061</v>
      </c>
      <c r="CC13" s="487">
        <v>130.88257960385877</v>
      </c>
      <c r="CD13" s="487">
        <v>96.819229425920625</v>
      </c>
      <c r="CE13" s="487">
        <v>34.68883799465226</v>
      </c>
      <c r="CF13" s="487">
        <v>71.622227887505488</v>
      </c>
      <c r="CG13" s="490">
        <v>114.76222018468711</v>
      </c>
    </row>
    <row r="14" spans="2:87" ht="15" customHeight="1" x14ac:dyDescent="0.25">
      <c r="B14" s="348" t="s">
        <v>116</v>
      </c>
      <c r="C14" s="352">
        <f t="shared" ca="1" si="2"/>
        <v>3.8249999999999953</v>
      </c>
      <c r="D14" s="354">
        <f t="shared" ref="D14:AI14" ca="1" si="5">OFFSET(D34,$B$31,0)</f>
        <v>5.4857526881719902</v>
      </c>
      <c r="E14" s="353">
        <f t="shared" ca="1" si="5"/>
        <v>146.20556355985991</v>
      </c>
      <c r="F14" s="353">
        <f t="shared" ca="1" si="5"/>
        <v>121.74748855815628</v>
      </c>
      <c r="G14" s="353">
        <f t="shared" ca="1" si="5"/>
        <v>84.754447311336023</v>
      </c>
      <c r="H14" s="353">
        <f t="shared" ca="1" si="5"/>
        <v>51.784132192308135</v>
      </c>
      <c r="I14" s="353">
        <f t="shared" ca="1" si="5"/>
        <v>42.823672382911298</v>
      </c>
      <c r="J14" s="353">
        <f t="shared" ca="1" si="5"/>
        <v>58.995242034107548</v>
      </c>
      <c r="K14" s="353">
        <f t="shared" ca="1" si="5"/>
        <v>99.955796287557817</v>
      </c>
      <c r="L14" s="353">
        <f t="shared" ca="1" si="5"/>
        <v>135.91064177515455</v>
      </c>
      <c r="M14" s="354">
        <f t="shared" ca="1" si="5"/>
        <v>143.34005376344086</v>
      </c>
      <c r="N14" s="352">
        <f t="shared" ca="1" si="5"/>
        <v>2.0225806451612902</v>
      </c>
      <c r="O14" s="353">
        <f t="shared" ca="1" si="5"/>
        <v>1.8161290322580645</v>
      </c>
      <c r="P14" s="353">
        <f t="shared" ca="1" si="5"/>
        <v>1.767741935483871</v>
      </c>
      <c r="Q14" s="353">
        <f t="shared" ca="1" si="5"/>
        <v>1.2483870967741937</v>
      </c>
      <c r="R14" s="353">
        <f t="shared" ca="1" si="5"/>
        <v>1.1322580645161291</v>
      </c>
      <c r="S14" s="353">
        <f t="shared" ca="1" si="5"/>
        <v>0.91935483870967749</v>
      </c>
      <c r="T14" s="353">
        <f t="shared" ca="1" si="5"/>
        <v>1.4225806451612903</v>
      </c>
      <c r="U14" s="353">
        <f t="shared" ca="1" si="5"/>
        <v>2.7548387096774198</v>
      </c>
      <c r="V14" s="353">
        <f t="shared" ca="1" si="5"/>
        <v>3.9677419354838714</v>
      </c>
      <c r="W14" s="353">
        <f t="shared" ca="1" si="5"/>
        <v>5.0548387096774192</v>
      </c>
      <c r="X14" s="353">
        <f t="shared" ca="1" si="5"/>
        <v>5.9387096774193537</v>
      </c>
      <c r="Y14" s="353">
        <f t="shared" ca="1" si="5"/>
        <v>6.8193548387096774</v>
      </c>
      <c r="Z14" s="353">
        <f t="shared" ca="1" si="5"/>
        <v>7.187096774193547</v>
      </c>
      <c r="AA14" s="353">
        <f t="shared" ca="1" si="5"/>
        <v>7.3258064516129036</v>
      </c>
      <c r="AB14" s="353">
        <f t="shared" ca="1" si="5"/>
        <v>7.1935483870967731</v>
      </c>
      <c r="AC14" s="353">
        <f t="shared" ca="1" si="5"/>
        <v>6.7677419354838708</v>
      </c>
      <c r="AD14" s="353">
        <f t="shared" ca="1" si="5"/>
        <v>6.1354838709677404</v>
      </c>
      <c r="AE14" s="353">
        <f t="shared" ca="1" si="5"/>
        <v>5.0387096774193543</v>
      </c>
      <c r="AF14" s="353">
        <f t="shared" ca="1" si="5"/>
        <v>3.9419354838709673</v>
      </c>
      <c r="AG14" s="353">
        <f t="shared" ca="1" si="5"/>
        <v>3.3000000000000003</v>
      </c>
      <c r="AH14" s="353">
        <f t="shared" ca="1" si="5"/>
        <v>2.9419354838709681</v>
      </c>
      <c r="AI14" s="353">
        <f t="shared" ca="1" si="5"/>
        <v>2.6096774193548393</v>
      </c>
      <c r="AJ14" s="353">
        <f t="shared" ref="AJ14:BI14" ca="1" si="6">OFFSET(AJ34,$B$31,0)</f>
        <v>2.3741935483870966</v>
      </c>
      <c r="AK14" s="354">
        <f t="shared" ca="1" si="6"/>
        <v>2.1193548387096777</v>
      </c>
      <c r="AL14" s="352">
        <f t="shared" ca="1" si="6"/>
        <v>0</v>
      </c>
      <c r="AM14" s="353">
        <f t="shared" ca="1" si="6"/>
        <v>0</v>
      </c>
      <c r="AN14" s="353">
        <f t="shared" ca="1" si="6"/>
        <v>0</v>
      </c>
      <c r="AO14" s="353">
        <f t="shared" ca="1" si="6"/>
        <v>0</v>
      </c>
      <c r="AP14" s="353">
        <f t="shared" ca="1" si="6"/>
        <v>0</v>
      </c>
      <c r="AQ14" s="353">
        <f t="shared" ca="1" si="6"/>
        <v>0.58064516129032262</v>
      </c>
      <c r="AR14" s="353">
        <f t="shared" ca="1" si="6"/>
        <v>31.774193548387096</v>
      </c>
      <c r="AS14" s="353">
        <f t="shared" ca="1" si="6"/>
        <v>132</v>
      </c>
      <c r="AT14" s="353">
        <f t="shared" ca="1" si="6"/>
        <v>241.41935483870967</v>
      </c>
      <c r="AU14" s="353">
        <f t="shared" ca="1" si="6"/>
        <v>368.48387096774195</v>
      </c>
      <c r="AV14" s="353">
        <f t="shared" ca="1" si="6"/>
        <v>455.51612903225805</v>
      </c>
      <c r="AW14" s="353">
        <f t="shared" ca="1" si="6"/>
        <v>479.70967741935482</v>
      </c>
      <c r="AX14" s="353">
        <f t="shared" ca="1" si="6"/>
        <v>503.90322580645159</v>
      </c>
      <c r="AY14" s="353">
        <f t="shared" ca="1" si="6"/>
        <v>451.09677419354841</v>
      </c>
      <c r="AZ14" s="353">
        <f t="shared" ca="1" si="6"/>
        <v>361.03225806451616</v>
      </c>
      <c r="BA14" s="353">
        <f t="shared" ca="1" si="6"/>
        <v>252.90322580645162</v>
      </c>
      <c r="BB14" s="353">
        <f t="shared" ca="1" si="6"/>
        <v>128.06451612903226</v>
      </c>
      <c r="BC14" s="353">
        <f t="shared" ca="1" si="6"/>
        <v>33.12903225806452</v>
      </c>
      <c r="BD14" s="353">
        <f t="shared" ca="1" si="6"/>
        <v>0.54838709677419351</v>
      </c>
      <c r="BE14" s="353">
        <f t="shared" ca="1" si="6"/>
        <v>0</v>
      </c>
      <c r="BF14" s="353">
        <f t="shared" ca="1" si="6"/>
        <v>0</v>
      </c>
      <c r="BG14" s="353">
        <f t="shared" ca="1" si="6"/>
        <v>0</v>
      </c>
      <c r="BH14" s="353">
        <f t="shared" ca="1" si="6"/>
        <v>0</v>
      </c>
      <c r="BI14" s="354">
        <f t="shared" ca="1" si="6"/>
        <v>0</v>
      </c>
      <c r="BL14" s="438"/>
      <c r="BM14" s="485">
        <v>125.11155913978494</v>
      </c>
      <c r="BN14" s="486">
        <v>176.05940090462522</v>
      </c>
      <c r="BO14" s="487">
        <v>97.173243607972665</v>
      </c>
      <c r="BP14" s="487">
        <v>135.32240951873254</v>
      </c>
      <c r="BQ14" s="488">
        <v>106.65736886601407</v>
      </c>
      <c r="BR14" s="489">
        <v>126.57987842274045</v>
      </c>
      <c r="BS14" s="486">
        <v>186.524960534927</v>
      </c>
      <c r="BT14" s="487">
        <v>105.02766133687987</v>
      </c>
      <c r="BU14" s="487">
        <v>135.26259862324378</v>
      </c>
      <c r="BV14" s="487">
        <v>109.61394544899051</v>
      </c>
      <c r="BW14" s="490">
        <v>133.19821558948789</v>
      </c>
      <c r="BX14" s="486">
        <v>182.52332364307563</v>
      </c>
      <c r="BY14" s="487">
        <v>113.69921263552628</v>
      </c>
      <c r="BZ14" s="487">
        <v>124.71667885778682</v>
      </c>
      <c r="CA14" s="487">
        <v>106.98952299091378</v>
      </c>
      <c r="CB14" s="490">
        <v>134.8065128017642</v>
      </c>
      <c r="CC14" s="487">
        <v>130.6444401084502</v>
      </c>
      <c r="CD14" s="487">
        <v>111.5446343921783</v>
      </c>
      <c r="CE14" s="487">
        <v>51.389989304473758</v>
      </c>
      <c r="CF14" s="487">
        <v>85.927379200388145</v>
      </c>
      <c r="CG14" s="490">
        <v>117.95321472658328</v>
      </c>
    </row>
    <row r="15" spans="2:87" ht="15" customHeight="1" x14ac:dyDescent="0.25">
      <c r="B15" s="348" t="s">
        <v>117</v>
      </c>
      <c r="C15" s="352">
        <f t="shared" ca="1" si="2"/>
        <v>9.9386111111111219</v>
      </c>
      <c r="D15" s="354">
        <f t="shared" ref="D15:AI15" ca="1" si="7">OFFSET(D35,$B$31,0)</f>
        <v>4.8402777777777537</v>
      </c>
      <c r="E15" s="353">
        <f t="shared" ca="1" si="7"/>
        <v>129.54571922468008</v>
      </c>
      <c r="F15" s="353">
        <f t="shared" ca="1" si="7"/>
        <v>123.91942686761442</v>
      </c>
      <c r="G15" s="353">
        <f t="shared" ca="1" si="7"/>
        <v>104.91217158295014</v>
      </c>
      <c r="H15" s="353">
        <f t="shared" ca="1" si="7"/>
        <v>71.359002342574854</v>
      </c>
      <c r="I15" s="353">
        <f t="shared" ca="1" si="7"/>
        <v>54.123489094092776</v>
      </c>
      <c r="J15" s="353">
        <f t="shared" ca="1" si="7"/>
        <v>84.55601237335236</v>
      </c>
      <c r="K15" s="353">
        <f t="shared" ca="1" si="7"/>
        <v>124.64504199091182</v>
      </c>
      <c r="L15" s="353">
        <f t="shared" ca="1" si="7"/>
        <v>138.29984982056544</v>
      </c>
      <c r="M15" s="354">
        <f t="shared" ca="1" si="7"/>
        <v>183.0888888888889</v>
      </c>
      <c r="N15" s="352">
        <f t="shared" ca="1" si="7"/>
        <v>7.7933333333333339</v>
      </c>
      <c r="O15" s="353">
        <f t="shared" ca="1" si="7"/>
        <v>7.6133333333333342</v>
      </c>
      <c r="P15" s="353">
        <f t="shared" ca="1" si="7"/>
        <v>7.5633333333333344</v>
      </c>
      <c r="Q15" s="353">
        <f t="shared" ca="1" si="7"/>
        <v>7.1933333333333342</v>
      </c>
      <c r="R15" s="353">
        <f t="shared" ca="1" si="7"/>
        <v>6.9566666666666652</v>
      </c>
      <c r="S15" s="353">
        <f t="shared" ca="1" si="7"/>
        <v>7.0366666666666662</v>
      </c>
      <c r="T15" s="353">
        <f t="shared" ca="1" si="7"/>
        <v>8.0933333333333319</v>
      </c>
      <c r="U15" s="353">
        <f t="shared" ca="1" si="7"/>
        <v>9.2566666666666642</v>
      </c>
      <c r="V15" s="353">
        <f t="shared" ca="1" si="7"/>
        <v>10.186666666666669</v>
      </c>
      <c r="W15" s="353">
        <f t="shared" ca="1" si="7"/>
        <v>10.946666666666662</v>
      </c>
      <c r="X15" s="353">
        <f t="shared" ca="1" si="7"/>
        <v>11.793333333333333</v>
      </c>
      <c r="Y15" s="353">
        <f t="shared" ca="1" si="7"/>
        <v>12.276666666666671</v>
      </c>
      <c r="Z15" s="353">
        <f t="shared" ca="1" si="7"/>
        <v>12.763333333333337</v>
      </c>
      <c r="AA15" s="353">
        <f t="shared" ca="1" si="7"/>
        <v>13.120000000000001</v>
      </c>
      <c r="AB15" s="353">
        <f t="shared" ca="1" si="7"/>
        <v>13.01333333333333</v>
      </c>
      <c r="AC15" s="353">
        <f t="shared" ca="1" si="7"/>
        <v>12.840000000000002</v>
      </c>
      <c r="AD15" s="353">
        <f t="shared" ca="1" si="7"/>
        <v>12.409999999999998</v>
      </c>
      <c r="AE15" s="353">
        <f t="shared" ca="1" si="7"/>
        <v>11.503333333333336</v>
      </c>
      <c r="AF15" s="353">
        <f t="shared" ca="1" si="7"/>
        <v>10.576666666666666</v>
      </c>
      <c r="AG15" s="353">
        <f t="shared" ca="1" si="7"/>
        <v>9.8800000000000026</v>
      </c>
      <c r="AH15" s="353">
        <f t="shared" ca="1" si="7"/>
        <v>9.4866666666666699</v>
      </c>
      <c r="AI15" s="353">
        <f t="shared" ca="1" si="7"/>
        <v>9.1800000000000015</v>
      </c>
      <c r="AJ15" s="353">
        <f t="shared" ref="AJ15:BI15" ca="1" si="8">OFFSET(AJ35,$B$31,0)</f>
        <v>8.9166666666666643</v>
      </c>
      <c r="AK15" s="354">
        <f t="shared" ca="1" si="8"/>
        <v>8.1266666666666669</v>
      </c>
      <c r="AL15" s="352">
        <f t="shared" ca="1" si="8"/>
        <v>0</v>
      </c>
      <c r="AM15" s="353">
        <f t="shared" ca="1" si="8"/>
        <v>0</v>
      </c>
      <c r="AN15" s="353">
        <f t="shared" ca="1" si="8"/>
        <v>0</v>
      </c>
      <c r="AO15" s="353">
        <f t="shared" ca="1" si="8"/>
        <v>0</v>
      </c>
      <c r="AP15" s="353">
        <f t="shared" ca="1" si="8"/>
        <v>0</v>
      </c>
      <c r="AQ15" s="353">
        <f t="shared" ca="1" si="8"/>
        <v>7.1333333333333337</v>
      </c>
      <c r="AR15" s="353">
        <f t="shared" ca="1" si="8"/>
        <v>148.4</v>
      </c>
      <c r="AS15" s="353">
        <f t="shared" ca="1" si="8"/>
        <v>241.53333333333333</v>
      </c>
      <c r="AT15" s="353">
        <f t="shared" ca="1" si="8"/>
        <v>371.53333333333336</v>
      </c>
      <c r="AU15" s="353">
        <f t="shared" ca="1" si="8"/>
        <v>463.8</v>
      </c>
      <c r="AV15" s="353">
        <f t="shared" ca="1" si="8"/>
        <v>516.1</v>
      </c>
      <c r="AW15" s="353">
        <f t="shared" ca="1" si="8"/>
        <v>548.5333333333333</v>
      </c>
      <c r="AX15" s="353">
        <f t="shared" ca="1" si="8"/>
        <v>519.5</v>
      </c>
      <c r="AY15" s="353">
        <f t="shared" ca="1" si="8"/>
        <v>528.93333333333328</v>
      </c>
      <c r="AZ15" s="353">
        <f t="shared" ca="1" si="8"/>
        <v>438.93333333333334</v>
      </c>
      <c r="BA15" s="353">
        <f t="shared" ca="1" si="8"/>
        <v>327.93333333333334</v>
      </c>
      <c r="BB15" s="353">
        <f t="shared" ca="1" si="8"/>
        <v>193.56666666666666</v>
      </c>
      <c r="BC15" s="353">
        <f t="shared" ca="1" si="8"/>
        <v>85.533333333333331</v>
      </c>
      <c r="BD15" s="353">
        <f t="shared" ca="1" si="8"/>
        <v>2.7</v>
      </c>
      <c r="BE15" s="353">
        <f t="shared" ca="1" si="8"/>
        <v>0</v>
      </c>
      <c r="BF15" s="353">
        <f t="shared" ca="1" si="8"/>
        <v>0</v>
      </c>
      <c r="BG15" s="353">
        <f t="shared" ca="1" si="8"/>
        <v>0</v>
      </c>
      <c r="BH15" s="353">
        <f t="shared" ca="1" si="8"/>
        <v>0</v>
      </c>
      <c r="BI15" s="354">
        <f t="shared" ca="1" si="8"/>
        <v>0</v>
      </c>
      <c r="BL15" s="438"/>
      <c r="BM15" s="485">
        <v>169.39583333333334</v>
      </c>
      <c r="BN15" s="486">
        <v>211.66491390184129</v>
      </c>
      <c r="BO15" s="487">
        <v>108.46460442622637</v>
      </c>
      <c r="BP15" s="487">
        <v>150.07080115637166</v>
      </c>
      <c r="BQ15" s="488">
        <v>131.00786847789985</v>
      </c>
      <c r="BR15" s="489">
        <v>147.25073491093306</v>
      </c>
      <c r="BS15" s="486">
        <v>213.03506995860639</v>
      </c>
      <c r="BT15" s="487">
        <v>109.57145778809128</v>
      </c>
      <c r="BU15" s="487">
        <v>153.98809987488738</v>
      </c>
      <c r="BV15" s="487">
        <v>136.123394857405</v>
      </c>
      <c r="BW15" s="490">
        <v>151.49736222845232</v>
      </c>
      <c r="BX15" s="486">
        <v>196.91931839209272</v>
      </c>
      <c r="BY15" s="487">
        <v>116.41012725226884</v>
      </c>
      <c r="BZ15" s="487">
        <v>146.59542831549768</v>
      </c>
      <c r="CA15" s="487">
        <v>136.01580250295308</v>
      </c>
      <c r="CB15" s="490">
        <v>148.91208984404059</v>
      </c>
      <c r="CC15" s="487">
        <v>118.91004799126802</v>
      </c>
      <c r="CD15" s="487">
        <v>118.28329324207076</v>
      </c>
      <c r="CE15" s="487">
        <v>80.682471533645966</v>
      </c>
      <c r="CF15" s="487">
        <v>116.14680031468548</v>
      </c>
      <c r="CG15" s="490">
        <v>126.81782648279285</v>
      </c>
    </row>
    <row r="16" spans="2:87" ht="15" customHeight="1" x14ac:dyDescent="0.25">
      <c r="B16" s="348" t="s">
        <v>118</v>
      </c>
      <c r="C16" s="352">
        <f t="shared" ca="1" si="2"/>
        <v>15.297177419354838</v>
      </c>
      <c r="D16" s="354">
        <f t="shared" ref="D16:AI16" ca="1" si="9">OFFSET(D36,$B$31,0)</f>
        <v>3.7435483870967348</v>
      </c>
      <c r="E16" s="353">
        <f t="shared" ca="1" si="9"/>
        <v>132.18556810128172</v>
      </c>
      <c r="F16" s="353">
        <f t="shared" ca="1" si="9"/>
        <v>143.75963701775225</v>
      </c>
      <c r="G16" s="353">
        <f t="shared" ca="1" si="9"/>
        <v>137.9481545932889</v>
      </c>
      <c r="H16" s="353">
        <f t="shared" ca="1" si="9"/>
        <v>102.3897939888049</v>
      </c>
      <c r="I16" s="353">
        <f t="shared" ca="1" si="9"/>
        <v>76.560517361493908</v>
      </c>
      <c r="J16" s="353">
        <f t="shared" ca="1" si="9"/>
        <v>119.71976383406567</v>
      </c>
      <c r="K16" s="353">
        <f t="shared" ca="1" si="9"/>
        <v>158.84422167970163</v>
      </c>
      <c r="L16" s="353">
        <f t="shared" ca="1" si="9"/>
        <v>155.60022630245336</v>
      </c>
      <c r="M16" s="354">
        <f t="shared" ca="1" si="9"/>
        <v>248.99462365591398</v>
      </c>
      <c r="N16" s="352">
        <f t="shared" ca="1" si="9"/>
        <v>10.70967741935484</v>
      </c>
      <c r="O16" s="353">
        <f t="shared" ca="1" si="9"/>
        <v>10.316129032258063</v>
      </c>
      <c r="P16" s="353">
        <f t="shared" ca="1" si="9"/>
        <v>10.167741935483871</v>
      </c>
      <c r="Q16" s="353">
        <f t="shared" ca="1" si="9"/>
        <v>10.051612903225806</v>
      </c>
      <c r="R16" s="353">
        <f t="shared" ca="1" si="9"/>
        <v>9.8935483870967733</v>
      </c>
      <c r="S16" s="353">
        <f t="shared" ca="1" si="9"/>
        <v>11.225806451612904</v>
      </c>
      <c r="T16" s="353">
        <f t="shared" ca="1" si="9"/>
        <v>13.56774193548387</v>
      </c>
      <c r="U16" s="353">
        <f t="shared" ca="1" si="9"/>
        <v>15.474193548387097</v>
      </c>
      <c r="V16" s="353">
        <f t="shared" ca="1" si="9"/>
        <v>17.293548387096774</v>
      </c>
      <c r="W16" s="353">
        <f t="shared" ca="1" si="9"/>
        <v>18.696774193548386</v>
      </c>
      <c r="X16" s="353">
        <f t="shared" ca="1" si="9"/>
        <v>19.819354838709682</v>
      </c>
      <c r="Y16" s="353">
        <f t="shared" ca="1" si="9"/>
        <v>20.580645161290324</v>
      </c>
      <c r="Z16" s="353">
        <f t="shared" ca="1" si="9"/>
        <v>21.054838709677416</v>
      </c>
      <c r="AA16" s="353">
        <f t="shared" ca="1" si="9"/>
        <v>20.945161290322581</v>
      </c>
      <c r="AB16" s="353">
        <f t="shared" ca="1" si="9"/>
        <v>20.574193548387097</v>
      </c>
      <c r="AC16" s="353">
        <f t="shared" ca="1" si="9"/>
        <v>19.987096774193549</v>
      </c>
      <c r="AD16" s="353">
        <f t="shared" ca="1" si="9"/>
        <v>19.532258064516128</v>
      </c>
      <c r="AE16" s="353">
        <f t="shared" ca="1" si="9"/>
        <v>18.096774193548384</v>
      </c>
      <c r="AF16" s="353">
        <f t="shared" ca="1" si="9"/>
        <v>16.0741935483871</v>
      </c>
      <c r="AG16" s="353">
        <f t="shared" ca="1" si="9"/>
        <v>14.487096774193549</v>
      </c>
      <c r="AH16" s="353">
        <f t="shared" ca="1" si="9"/>
        <v>13.332258064516125</v>
      </c>
      <c r="AI16" s="353">
        <f t="shared" ca="1" si="9"/>
        <v>12.454838709677418</v>
      </c>
      <c r="AJ16" s="353">
        <f t="shared" ref="AJ16:BI16" ca="1" si="10">OFFSET(AJ36,$B$31,0)</f>
        <v>11.761290322580646</v>
      </c>
      <c r="AK16" s="354">
        <f t="shared" ca="1" si="10"/>
        <v>11.035483870967742</v>
      </c>
      <c r="AL16" s="352">
        <f t="shared" ca="1" si="10"/>
        <v>0</v>
      </c>
      <c r="AM16" s="353">
        <f t="shared" ca="1" si="10"/>
        <v>0</v>
      </c>
      <c r="AN16" s="353">
        <f t="shared" ca="1" si="10"/>
        <v>0</v>
      </c>
      <c r="AO16" s="353">
        <f t="shared" ca="1" si="10"/>
        <v>0</v>
      </c>
      <c r="AP16" s="353">
        <f t="shared" ca="1" si="10"/>
        <v>8.741935483870968</v>
      </c>
      <c r="AQ16" s="353">
        <f t="shared" ca="1" si="10"/>
        <v>68.548387096774192</v>
      </c>
      <c r="AR16" s="353">
        <f t="shared" ca="1" si="10"/>
        <v>202.2258064516129</v>
      </c>
      <c r="AS16" s="353">
        <f t="shared" ca="1" si="10"/>
        <v>355.32258064516128</v>
      </c>
      <c r="AT16" s="353">
        <f t="shared" ca="1" si="10"/>
        <v>507.25806451612902</v>
      </c>
      <c r="AU16" s="353">
        <f t="shared" ca="1" si="10"/>
        <v>631.90322580645159</v>
      </c>
      <c r="AV16" s="353">
        <f t="shared" ca="1" si="10"/>
        <v>680.74193548387098</v>
      </c>
      <c r="AW16" s="353">
        <f t="shared" ca="1" si="10"/>
        <v>710.58064516129036</v>
      </c>
      <c r="AX16" s="353">
        <f t="shared" ca="1" si="10"/>
        <v>723.90322580645159</v>
      </c>
      <c r="AY16" s="353">
        <f t="shared" ca="1" si="10"/>
        <v>670.80645161290317</v>
      </c>
      <c r="AZ16" s="353">
        <f t="shared" ca="1" si="10"/>
        <v>538.29032258064512</v>
      </c>
      <c r="BA16" s="353">
        <f t="shared" ca="1" si="10"/>
        <v>418.12903225806451</v>
      </c>
      <c r="BB16" s="353">
        <f t="shared" ca="1" si="10"/>
        <v>287.64516129032256</v>
      </c>
      <c r="BC16" s="353">
        <f t="shared" ca="1" si="10"/>
        <v>135.7741935483871</v>
      </c>
      <c r="BD16" s="353">
        <f t="shared" ca="1" si="10"/>
        <v>35.41935483870968</v>
      </c>
      <c r="BE16" s="353">
        <f t="shared" ca="1" si="10"/>
        <v>0.58064516129032262</v>
      </c>
      <c r="BF16" s="353">
        <f t="shared" ca="1" si="10"/>
        <v>0</v>
      </c>
      <c r="BG16" s="353">
        <f t="shared" ca="1" si="10"/>
        <v>0</v>
      </c>
      <c r="BH16" s="353">
        <f t="shared" ca="1" si="10"/>
        <v>0</v>
      </c>
      <c r="BI16" s="354">
        <f t="shared" ca="1" si="10"/>
        <v>0</v>
      </c>
      <c r="BL16" s="438"/>
      <c r="BM16" s="485">
        <v>225.5228494623656</v>
      </c>
      <c r="BN16" s="486">
        <v>256.08636845959916</v>
      </c>
      <c r="BO16" s="487">
        <v>138.51351371084516</v>
      </c>
      <c r="BP16" s="487">
        <v>166.94424122016949</v>
      </c>
      <c r="BQ16" s="488">
        <v>194.16005267315077</v>
      </c>
      <c r="BR16" s="489">
        <v>191.66652184208451</v>
      </c>
      <c r="BS16" s="486">
        <v>250.29740055006528</v>
      </c>
      <c r="BT16" s="487">
        <v>134.98611177254671</v>
      </c>
      <c r="BU16" s="487">
        <v>171.79990355875637</v>
      </c>
      <c r="BV16" s="487">
        <v>199.2652059656962</v>
      </c>
      <c r="BW16" s="490">
        <v>194.33413353239092</v>
      </c>
      <c r="BX16" s="486">
        <v>223.30091227650829</v>
      </c>
      <c r="BY16" s="487">
        <v>131.21218053546698</v>
      </c>
      <c r="BZ16" s="487">
        <v>164.64458368310022</v>
      </c>
      <c r="CA16" s="487">
        <v>195.6136135014886</v>
      </c>
      <c r="CB16" s="490">
        <v>186.68300830332362</v>
      </c>
      <c r="CC16" s="487">
        <v>119.61094892165545</v>
      </c>
      <c r="CD16" s="487">
        <v>122.69351103630419</v>
      </c>
      <c r="CE16" s="487">
        <v>119.33059410492633</v>
      </c>
      <c r="CF16" s="487">
        <v>157.21347727779357</v>
      </c>
      <c r="CG16" s="490">
        <v>150.45436226836668</v>
      </c>
    </row>
    <row r="17" spans="1:85" ht="15" customHeight="1" x14ac:dyDescent="0.25">
      <c r="B17" s="348" t="s">
        <v>119</v>
      </c>
      <c r="C17" s="352">
        <f t="shared" ca="1" si="2"/>
        <v>21.110000000000003</v>
      </c>
      <c r="D17" s="354">
        <f t="shared" ref="D17:AI17" ca="1" si="11">OFFSET(D37,$B$31,0)</f>
        <v>4.8865277777777356</v>
      </c>
      <c r="E17" s="353">
        <f t="shared" ca="1" si="11"/>
        <v>121.07962946299989</v>
      </c>
      <c r="F17" s="353">
        <f t="shared" ca="1" si="11"/>
        <v>143.09683694169615</v>
      </c>
      <c r="G17" s="353">
        <f t="shared" ca="1" si="11"/>
        <v>148.08418384265974</v>
      </c>
      <c r="H17" s="353">
        <f t="shared" ca="1" si="11"/>
        <v>116.20305894743132</v>
      </c>
      <c r="I17" s="353">
        <f t="shared" ca="1" si="11"/>
        <v>87.968371824456128</v>
      </c>
      <c r="J17" s="353">
        <f t="shared" ca="1" si="11"/>
        <v>132.16138480608603</v>
      </c>
      <c r="K17" s="353">
        <f t="shared" ca="1" si="11"/>
        <v>164.7565994827126</v>
      </c>
      <c r="L17" s="353">
        <f t="shared" ca="1" si="11"/>
        <v>150.47548693101834</v>
      </c>
      <c r="M17" s="354">
        <f t="shared" ca="1" si="11"/>
        <v>262.22916666666669</v>
      </c>
      <c r="N17" s="352">
        <f t="shared" ca="1" si="11"/>
        <v>17.596666666666668</v>
      </c>
      <c r="O17" s="353">
        <f t="shared" ca="1" si="11"/>
        <v>17.25333333333333</v>
      </c>
      <c r="P17" s="353">
        <f t="shared" ca="1" si="11"/>
        <v>17.206666666666667</v>
      </c>
      <c r="Q17" s="353">
        <f t="shared" ca="1" si="11"/>
        <v>16.863333333333333</v>
      </c>
      <c r="R17" s="353">
        <f t="shared" ca="1" si="11"/>
        <v>16.72</v>
      </c>
      <c r="S17" s="353">
        <f t="shared" ca="1" si="11"/>
        <v>17.593333333333327</v>
      </c>
      <c r="T17" s="353">
        <f t="shared" ca="1" si="11"/>
        <v>19.573333333333327</v>
      </c>
      <c r="U17" s="353">
        <f t="shared" ca="1" si="11"/>
        <v>21.283333333333339</v>
      </c>
      <c r="V17" s="353">
        <f t="shared" ca="1" si="11"/>
        <v>22.50333333333333</v>
      </c>
      <c r="W17" s="353">
        <f t="shared" ca="1" si="11"/>
        <v>23.589999999999993</v>
      </c>
      <c r="X17" s="353">
        <f t="shared" ca="1" si="11"/>
        <v>24.383333333333333</v>
      </c>
      <c r="Y17" s="353">
        <f t="shared" ca="1" si="11"/>
        <v>24.829999999999995</v>
      </c>
      <c r="Z17" s="353">
        <f t="shared" ca="1" si="11"/>
        <v>25.22666666666667</v>
      </c>
      <c r="AA17" s="353">
        <f t="shared" ca="1" si="11"/>
        <v>25.466666666666672</v>
      </c>
      <c r="AB17" s="353">
        <f t="shared" ca="1" si="11"/>
        <v>25.39</v>
      </c>
      <c r="AC17" s="353">
        <f t="shared" ca="1" si="11"/>
        <v>25.133333333333333</v>
      </c>
      <c r="AD17" s="353">
        <f t="shared" ca="1" si="11"/>
        <v>24.756666666666668</v>
      </c>
      <c r="AE17" s="353">
        <f t="shared" ca="1" si="11"/>
        <v>23.95666666666666</v>
      </c>
      <c r="AF17" s="353">
        <f t="shared" ca="1" si="11"/>
        <v>22.333333333333329</v>
      </c>
      <c r="AG17" s="353">
        <f t="shared" ca="1" si="11"/>
        <v>20.68</v>
      </c>
      <c r="AH17" s="353">
        <f t="shared" ca="1" si="11"/>
        <v>19.41</v>
      </c>
      <c r="AI17" s="353">
        <f t="shared" ca="1" si="11"/>
        <v>18.790000000000003</v>
      </c>
      <c r="AJ17" s="353">
        <f t="shared" ref="AJ17:BI17" ca="1" si="12">OFFSET(AJ37,$B$31,0)</f>
        <v>18.133333333333336</v>
      </c>
      <c r="AK17" s="354">
        <f t="shared" ca="1" si="12"/>
        <v>17.966666666666661</v>
      </c>
      <c r="AL17" s="352">
        <f t="shared" ca="1" si="12"/>
        <v>0</v>
      </c>
      <c r="AM17" s="353">
        <f t="shared" ca="1" si="12"/>
        <v>0</v>
      </c>
      <c r="AN17" s="353">
        <f t="shared" ca="1" si="12"/>
        <v>0</v>
      </c>
      <c r="AO17" s="353">
        <f t="shared" ca="1" si="12"/>
        <v>0</v>
      </c>
      <c r="AP17" s="353">
        <f t="shared" ca="1" si="12"/>
        <v>16.266666666666666</v>
      </c>
      <c r="AQ17" s="353">
        <f t="shared" ca="1" si="12"/>
        <v>95.1</v>
      </c>
      <c r="AR17" s="353">
        <f t="shared" ca="1" si="12"/>
        <v>232.83333333333334</v>
      </c>
      <c r="AS17" s="353">
        <f t="shared" ca="1" si="12"/>
        <v>384.46666666666664</v>
      </c>
      <c r="AT17" s="353">
        <f t="shared" ca="1" si="12"/>
        <v>533.20000000000005</v>
      </c>
      <c r="AU17" s="353">
        <f t="shared" ca="1" si="12"/>
        <v>625.5</v>
      </c>
      <c r="AV17" s="353">
        <f t="shared" ca="1" si="12"/>
        <v>709.1</v>
      </c>
      <c r="AW17" s="353">
        <f t="shared" ca="1" si="12"/>
        <v>702.63333333333333</v>
      </c>
      <c r="AX17" s="353">
        <f t="shared" ca="1" si="12"/>
        <v>698.33333333333337</v>
      </c>
      <c r="AY17" s="353">
        <f t="shared" ca="1" si="12"/>
        <v>660.9</v>
      </c>
      <c r="AZ17" s="353">
        <f t="shared" ca="1" si="12"/>
        <v>586.86666666666667</v>
      </c>
      <c r="BA17" s="353">
        <f t="shared" ca="1" si="12"/>
        <v>475.2</v>
      </c>
      <c r="BB17" s="353">
        <f t="shared" ca="1" si="12"/>
        <v>319.89999999999998</v>
      </c>
      <c r="BC17" s="353">
        <f t="shared" ca="1" si="12"/>
        <v>185.6</v>
      </c>
      <c r="BD17" s="353">
        <f t="shared" ca="1" si="12"/>
        <v>61.733333333333334</v>
      </c>
      <c r="BE17" s="353">
        <f t="shared" ca="1" si="12"/>
        <v>5.8666666666666663</v>
      </c>
      <c r="BF17" s="353">
        <f t="shared" ca="1" si="12"/>
        <v>0</v>
      </c>
      <c r="BG17" s="353">
        <f t="shared" ca="1" si="12"/>
        <v>0</v>
      </c>
      <c r="BH17" s="353">
        <f t="shared" ca="1" si="12"/>
        <v>0</v>
      </c>
      <c r="BI17" s="354">
        <f t="shared" ca="1" si="12"/>
        <v>0</v>
      </c>
      <c r="BL17" s="438"/>
      <c r="BM17" s="485">
        <v>249.375</v>
      </c>
      <c r="BN17" s="486">
        <v>266.91168386863336</v>
      </c>
      <c r="BO17" s="487">
        <v>148.23852572829114</v>
      </c>
      <c r="BP17" s="487">
        <v>180.04050121608347</v>
      </c>
      <c r="BQ17" s="488">
        <v>183.43784892999355</v>
      </c>
      <c r="BR17" s="489">
        <v>161.63290693851101</v>
      </c>
      <c r="BS17" s="486">
        <v>257.87684921008236</v>
      </c>
      <c r="BT17" s="487">
        <v>143.06523148595619</v>
      </c>
      <c r="BU17" s="487">
        <v>187.12817759618699</v>
      </c>
      <c r="BV17" s="487">
        <v>189.58055815784763</v>
      </c>
      <c r="BW17" s="490">
        <v>165.76670756485402</v>
      </c>
      <c r="BX17" s="486">
        <v>226.74444500637566</v>
      </c>
      <c r="BY17" s="487">
        <v>134.17644987947696</v>
      </c>
      <c r="BZ17" s="487">
        <v>181.4356828398374</v>
      </c>
      <c r="CA17" s="487">
        <v>188.9822310993101</v>
      </c>
      <c r="CB17" s="490">
        <v>165.49484272886116</v>
      </c>
      <c r="CC17" s="487">
        <v>115.29607756808328</v>
      </c>
      <c r="CD17" s="487">
        <v>130.49364720946301</v>
      </c>
      <c r="CE17" s="487">
        <v>132.6922866629339</v>
      </c>
      <c r="CF17" s="487">
        <v>165.1744782606593</v>
      </c>
      <c r="CG17" s="490">
        <v>148.50501047195056</v>
      </c>
    </row>
    <row r="18" spans="1:85" ht="15" customHeight="1" x14ac:dyDescent="0.25">
      <c r="B18" s="348" t="s">
        <v>120</v>
      </c>
      <c r="C18" s="352">
        <f t="shared" ca="1" si="2"/>
        <v>24.129569892473107</v>
      </c>
      <c r="D18" s="354">
        <f t="shared" ref="D18:AI18" ca="1" si="13">OFFSET(D38,$B$31,0)</f>
        <v>4.238575268817157</v>
      </c>
      <c r="E18" s="353">
        <f t="shared" ca="1" si="13"/>
        <v>130.12933499076038</v>
      </c>
      <c r="F18" s="353">
        <f t="shared" ca="1" si="13"/>
        <v>142.68021376203919</v>
      </c>
      <c r="G18" s="353">
        <f t="shared" ca="1" si="13"/>
        <v>140.71941217247101</v>
      </c>
      <c r="H18" s="353">
        <f t="shared" ca="1" si="13"/>
        <v>109.49477577884802</v>
      </c>
      <c r="I18" s="353">
        <f t="shared" ca="1" si="13"/>
        <v>85.059574537871271</v>
      </c>
      <c r="J18" s="353">
        <f t="shared" ca="1" si="13"/>
        <v>129.52518517439455</v>
      </c>
      <c r="K18" s="353">
        <f t="shared" ca="1" si="13"/>
        <v>166.14744325927683</v>
      </c>
      <c r="L18" s="353">
        <f t="shared" ca="1" si="13"/>
        <v>158.39565621217523</v>
      </c>
      <c r="M18" s="354">
        <f t="shared" ca="1" si="13"/>
        <v>257.36559139784947</v>
      </c>
      <c r="N18" s="352">
        <f t="shared" ca="1" si="13"/>
        <v>20.71290322580645</v>
      </c>
      <c r="O18" s="353">
        <f t="shared" ca="1" si="13"/>
        <v>20.341935483870962</v>
      </c>
      <c r="P18" s="353">
        <f t="shared" ca="1" si="13"/>
        <v>19.87096774193548</v>
      </c>
      <c r="Q18" s="353">
        <f t="shared" ca="1" si="13"/>
        <v>19.732258064516127</v>
      </c>
      <c r="R18" s="353">
        <f t="shared" ca="1" si="13"/>
        <v>19.532258064516128</v>
      </c>
      <c r="S18" s="353">
        <f t="shared" ca="1" si="13"/>
        <v>20.706451612903233</v>
      </c>
      <c r="T18" s="353">
        <f t="shared" ca="1" si="13"/>
        <v>22.400000000000002</v>
      </c>
      <c r="U18" s="353">
        <f t="shared" ca="1" si="13"/>
        <v>23.732258064516124</v>
      </c>
      <c r="V18" s="353">
        <f t="shared" ca="1" si="13"/>
        <v>24.961290322580648</v>
      </c>
      <c r="W18" s="353">
        <f t="shared" ca="1" si="13"/>
        <v>26.077419354838707</v>
      </c>
      <c r="X18" s="353">
        <f t="shared" ca="1" si="13"/>
        <v>27.038709677419345</v>
      </c>
      <c r="Y18" s="353">
        <f t="shared" ca="1" si="13"/>
        <v>27.832258064516129</v>
      </c>
      <c r="Z18" s="353">
        <f t="shared" ca="1" si="13"/>
        <v>28.441935483870967</v>
      </c>
      <c r="AA18" s="353">
        <f t="shared" ca="1" si="13"/>
        <v>28.577419354838703</v>
      </c>
      <c r="AB18" s="353">
        <f t="shared" ca="1" si="13"/>
        <v>28.496774193548383</v>
      </c>
      <c r="AC18" s="353">
        <f t="shared" ca="1" si="13"/>
        <v>27.98064516129033</v>
      </c>
      <c r="AD18" s="353">
        <f t="shared" ca="1" si="13"/>
        <v>27.319354838709689</v>
      </c>
      <c r="AE18" s="353">
        <f t="shared" ca="1" si="13"/>
        <v>26.516129032258068</v>
      </c>
      <c r="AF18" s="353">
        <f t="shared" ca="1" si="13"/>
        <v>25.400000000000002</v>
      </c>
      <c r="AG18" s="353">
        <f t="shared" ca="1" si="13"/>
        <v>24.048387096774189</v>
      </c>
      <c r="AH18" s="353">
        <f t="shared" ca="1" si="13"/>
        <v>23.245161290322581</v>
      </c>
      <c r="AI18" s="353">
        <f t="shared" ca="1" si="13"/>
        <v>22.648387096774197</v>
      </c>
      <c r="AJ18" s="353">
        <f t="shared" ref="AJ18:BI18" ca="1" si="14">OFFSET(AJ38,$B$31,0)</f>
        <v>22.041935483870969</v>
      </c>
      <c r="AK18" s="354">
        <f t="shared" ca="1" si="14"/>
        <v>21.454838709677425</v>
      </c>
      <c r="AL18" s="352">
        <f t="shared" ca="1" si="14"/>
        <v>0</v>
      </c>
      <c r="AM18" s="353">
        <f t="shared" ca="1" si="14"/>
        <v>0</v>
      </c>
      <c r="AN18" s="353">
        <f t="shared" ca="1" si="14"/>
        <v>0</v>
      </c>
      <c r="AO18" s="353">
        <f t="shared" ca="1" si="14"/>
        <v>0</v>
      </c>
      <c r="AP18" s="353">
        <f t="shared" ca="1" si="14"/>
        <v>8.387096774193548</v>
      </c>
      <c r="AQ18" s="353">
        <f t="shared" ca="1" si="14"/>
        <v>67.548387096774192</v>
      </c>
      <c r="AR18" s="353">
        <f t="shared" ca="1" si="14"/>
        <v>194.32258064516128</v>
      </c>
      <c r="AS18" s="353">
        <f t="shared" ca="1" si="14"/>
        <v>338</v>
      </c>
      <c r="AT18" s="353">
        <f t="shared" ca="1" si="14"/>
        <v>477.09677419354841</v>
      </c>
      <c r="AU18" s="353">
        <f t="shared" ca="1" si="14"/>
        <v>600.61290322580646</v>
      </c>
      <c r="AV18" s="353">
        <f t="shared" ca="1" si="14"/>
        <v>664.35483870967744</v>
      </c>
      <c r="AW18" s="353">
        <f t="shared" ca="1" si="14"/>
        <v>732.29032258064512</v>
      </c>
      <c r="AX18" s="353">
        <f t="shared" ca="1" si="14"/>
        <v>761.32258064516134</v>
      </c>
      <c r="AY18" s="353">
        <f t="shared" ca="1" si="14"/>
        <v>681.70967741935488</v>
      </c>
      <c r="AZ18" s="353">
        <f t="shared" ca="1" si="14"/>
        <v>611.19354838709683</v>
      </c>
      <c r="BA18" s="353">
        <f t="shared" ca="1" si="14"/>
        <v>464.16129032258067</v>
      </c>
      <c r="BB18" s="353">
        <f t="shared" ca="1" si="14"/>
        <v>333.03225806451616</v>
      </c>
      <c r="BC18" s="353">
        <f t="shared" ca="1" si="14"/>
        <v>181.12903225806451</v>
      </c>
      <c r="BD18" s="353">
        <f t="shared" ca="1" si="14"/>
        <v>56.806451612903224</v>
      </c>
      <c r="BE18" s="353">
        <f t="shared" ca="1" si="14"/>
        <v>4.806451612903226</v>
      </c>
      <c r="BF18" s="353">
        <f t="shared" ca="1" si="14"/>
        <v>0</v>
      </c>
      <c r="BG18" s="353">
        <f t="shared" ca="1" si="14"/>
        <v>0</v>
      </c>
      <c r="BH18" s="353">
        <f t="shared" ca="1" si="14"/>
        <v>0</v>
      </c>
      <c r="BI18" s="354">
        <f t="shared" ca="1" si="14"/>
        <v>0</v>
      </c>
      <c r="BL18" s="438"/>
      <c r="BM18" s="485">
        <v>258.17473118279571</v>
      </c>
      <c r="BN18" s="486">
        <v>289.4057243916094</v>
      </c>
      <c r="BO18" s="487">
        <v>148.21511553083019</v>
      </c>
      <c r="BP18" s="487">
        <v>189.79215140388308</v>
      </c>
      <c r="BQ18" s="488">
        <v>200.3488228818731</v>
      </c>
      <c r="BR18" s="489">
        <v>187.65497349496817</v>
      </c>
      <c r="BS18" s="486">
        <v>279.90327563037926</v>
      </c>
      <c r="BT18" s="487">
        <v>144.38415215667595</v>
      </c>
      <c r="BU18" s="487">
        <v>197.69118607159817</v>
      </c>
      <c r="BV18" s="487">
        <v>205.26510003685129</v>
      </c>
      <c r="BW18" s="490">
        <v>189.89304751669636</v>
      </c>
      <c r="BX18" s="486">
        <v>246.80245522925031</v>
      </c>
      <c r="BY18" s="487">
        <v>140.08191716374139</v>
      </c>
      <c r="BZ18" s="487">
        <v>192.00891793381126</v>
      </c>
      <c r="CA18" s="487">
        <v>201.71961868924464</v>
      </c>
      <c r="CB18" s="490">
        <v>182.85242922633617</v>
      </c>
      <c r="CC18" s="487">
        <v>126.82827980181432</v>
      </c>
      <c r="CD18" s="487">
        <v>143.14719537315793</v>
      </c>
      <c r="CE18" s="487">
        <v>127.1689656406928</v>
      </c>
      <c r="CF18" s="487">
        <v>162.45083694996208</v>
      </c>
      <c r="CG18" s="490">
        <v>153.65711723501209</v>
      </c>
    </row>
    <row r="19" spans="1:85" ht="15" customHeight="1" x14ac:dyDescent="0.25">
      <c r="B19" s="348" t="s">
        <v>121</v>
      </c>
      <c r="C19" s="352">
        <f t="shared" ca="1" si="2"/>
        <v>21.780376344086033</v>
      </c>
      <c r="D19" s="354">
        <f t="shared" ref="D19:AI19" ca="1" si="15">OFFSET(D39,$B$31,0)</f>
        <v>3.8431451612902845</v>
      </c>
      <c r="E19" s="353">
        <f t="shared" ca="1" si="15"/>
        <v>136.09474845523096</v>
      </c>
      <c r="F19" s="353">
        <f t="shared" ca="1" si="15"/>
        <v>138.71027275667734</v>
      </c>
      <c r="G19" s="353">
        <f t="shared" ca="1" si="15"/>
        <v>123.74407941468324</v>
      </c>
      <c r="H19" s="353">
        <f t="shared" ca="1" si="15"/>
        <v>88.177499147622058</v>
      </c>
      <c r="I19" s="353">
        <f t="shared" ca="1" si="15"/>
        <v>66.25632961731128</v>
      </c>
      <c r="J19" s="353">
        <f t="shared" ca="1" si="15"/>
        <v>103.44337485131064</v>
      </c>
      <c r="K19" s="353">
        <f t="shared" ca="1" si="15"/>
        <v>143.36424809870618</v>
      </c>
      <c r="L19" s="353">
        <f t="shared" ca="1" si="15"/>
        <v>150.83226753036124</v>
      </c>
      <c r="M19" s="354">
        <f t="shared" ca="1" si="15"/>
        <v>215.05913978494624</v>
      </c>
      <c r="N19" s="352">
        <f t="shared" ca="1" si="15"/>
        <v>18.593548387096778</v>
      </c>
      <c r="O19" s="353">
        <f t="shared" ca="1" si="15"/>
        <v>18.319354838709678</v>
      </c>
      <c r="P19" s="353">
        <f t="shared" ca="1" si="15"/>
        <v>18.161290322580644</v>
      </c>
      <c r="Q19" s="353">
        <f t="shared" ca="1" si="15"/>
        <v>17.670967741935481</v>
      </c>
      <c r="R19" s="353">
        <f t="shared" ca="1" si="15"/>
        <v>17.664516129032254</v>
      </c>
      <c r="S19" s="353">
        <f t="shared" ca="1" si="15"/>
        <v>18.029032258064511</v>
      </c>
      <c r="T19" s="353">
        <f t="shared" ca="1" si="15"/>
        <v>20.087096774193547</v>
      </c>
      <c r="U19" s="353">
        <f t="shared" ca="1" si="15"/>
        <v>21.70967741935484</v>
      </c>
      <c r="V19" s="353">
        <f t="shared" ca="1" si="15"/>
        <v>23.258064516129036</v>
      </c>
      <c r="W19" s="353">
        <f t="shared" ca="1" si="15"/>
        <v>24.603225806451611</v>
      </c>
      <c r="X19" s="353">
        <f t="shared" ca="1" si="15"/>
        <v>25.203225806451609</v>
      </c>
      <c r="Y19" s="353">
        <f t="shared" ca="1" si="15"/>
        <v>25.432258064516127</v>
      </c>
      <c r="Z19" s="353">
        <f t="shared" ca="1" si="15"/>
        <v>25.900000000000002</v>
      </c>
      <c r="AA19" s="353">
        <f t="shared" ca="1" si="15"/>
        <v>25.71935483870968</v>
      </c>
      <c r="AB19" s="353">
        <f t="shared" ca="1" si="15"/>
        <v>25.429032258064517</v>
      </c>
      <c r="AC19" s="353">
        <f t="shared" ca="1" si="15"/>
        <v>25.174193548387091</v>
      </c>
      <c r="AD19" s="353">
        <f t="shared" ca="1" si="15"/>
        <v>24.538709677419355</v>
      </c>
      <c r="AE19" s="353">
        <f t="shared" ca="1" si="15"/>
        <v>23.77096774193549</v>
      </c>
      <c r="AF19" s="353">
        <f t="shared" ca="1" si="15"/>
        <v>22.364516129032257</v>
      </c>
      <c r="AG19" s="353">
        <f t="shared" ca="1" si="15"/>
        <v>21.464516129032258</v>
      </c>
      <c r="AH19" s="353">
        <f t="shared" ca="1" si="15"/>
        <v>20.6</v>
      </c>
      <c r="AI19" s="353">
        <f t="shared" ca="1" si="15"/>
        <v>20.2741935483871</v>
      </c>
      <c r="AJ19" s="353">
        <f t="shared" ref="AJ19:BI19" ca="1" si="16">OFFSET(AJ39,$B$31,0)</f>
        <v>19.580645161290327</v>
      </c>
      <c r="AK19" s="354">
        <f t="shared" ca="1" si="16"/>
        <v>19.180645161290322</v>
      </c>
      <c r="AL19" s="352">
        <f t="shared" ca="1" si="16"/>
        <v>0</v>
      </c>
      <c r="AM19" s="353">
        <f t="shared" ca="1" si="16"/>
        <v>0</v>
      </c>
      <c r="AN19" s="353">
        <f t="shared" ca="1" si="16"/>
        <v>0</v>
      </c>
      <c r="AO19" s="353">
        <f t="shared" ca="1" si="16"/>
        <v>0</v>
      </c>
      <c r="AP19" s="353">
        <f t="shared" ca="1" si="16"/>
        <v>0.32258064516129031</v>
      </c>
      <c r="AQ19" s="353">
        <f t="shared" ca="1" si="16"/>
        <v>31.93548387096774</v>
      </c>
      <c r="AR19" s="353">
        <f t="shared" ca="1" si="16"/>
        <v>138.45161290322579</v>
      </c>
      <c r="AS19" s="353">
        <f t="shared" ca="1" si="16"/>
        <v>277.80645161290323</v>
      </c>
      <c r="AT19" s="353">
        <f t="shared" ca="1" si="16"/>
        <v>413.32258064516128</v>
      </c>
      <c r="AU19" s="353">
        <f t="shared" ca="1" si="16"/>
        <v>548.9677419354839</v>
      </c>
      <c r="AV19" s="353">
        <f t="shared" ca="1" si="16"/>
        <v>611.09677419354841</v>
      </c>
      <c r="AW19" s="353">
        <f t="shared" ca="1" si="16"/>
        <v>647.61290322580646</v>
      </c>
      <c r="AX19" s="353">
        <f t="shared" ca="1" si="16"/>
        <v>624.25806451612902</v>
      </c>
      <c r="AY19" s="353">
        <f t="shared" ca="1" si="16"/>
        <v>575.90322580645159</v>
      </c>
      <c r="AZ19" s="353">
        <f t="shared" ca="1" si="16"/>
        <v>489.19354838709677</v>
      </c>
      <c r="BA19" s="353">
        <f t="shared" ca="1" si="16"/>
        <v>407.70967741935482</v>
      </c>
      <c r="BB19" s="353">
        <f t="shared" ca="1" si="16"/>
        <v>253.09677419354838</v>
      </c>
      <c r="BC19" s="353">
        <f t="shared" ca="1" si="16"/>
        <v>116.80645161290323</v>
      </c>
      <c r="BD19" s="353">
        <f t="shared" ca="1" si="16"/>
        <v>24.774193548387096</v>
      </c>
      <c r="BE19" s="353">
        <f t="shared" ca="1" si="16"/>
        <v>0.16129032258064516</v>
      </c>
      <c r="BF19" s="353">
        <f t="shared" ca="1" si="16"/>
        <v>0</v>
      </c>
      <c r="BG19" s="353">
        <f t="shared" ca="1" si="16"/>
        <v>0</v>
      </c>
      <c r="BH19" s="353">
        <f t="shared" ca="1" si="16"/>
        <v>0</v>
      </c>
      <c r="BI19" s="354">
        <f t="shared" ca="1" si="16"/>
        <v>0</v>
      </c>
      <c r="BL19" s="438"/>
      <c r="BM19" s="485">
        <v>223.88978494623655</v>
      </c>
      <c r="BN19" s="486">
        <v>266.54286510041942</v>
      </c>
      <c r="BO19" s="487">
        <v>128.65592786678181</v>
      </c>
      <c r="BP19" s="487">
        <v>174.84628795991503</v>
      </c>
      <c r="BQ19" s="488">
        <v>178.24268452989409</v>
      </c>
      <c r="BR19" s="489">
        <v>179.55966245804032</v>
      </c>
      <c r="BS19" s="486">
        <v>264.34153297146059</v>
      </c>
      <c r="BT19" s="487">
        <v>128.28863129015744</v>
      </c>
      <c r="BU19" s="487">
        <v>179.65824894939175</v>
      </c>
      <c r="BV19" s="487">
        <v>183.80156229208569</v>
      </c>
      <c r="BW19" s="490">
        <v>185.52732546042401</v>
      </c>
      <c r="BX19" s="486">
        <v>240.58061103912158</v>
      </c>
      <c r="BY19" s="487">
        <v>134.38029625189748</v>
      </c>
      <c r="BZ19" s="487">
        <v>171.66439809559364</v>
      </c>
      <c r="CA19" s="487">
        <v>181.12718498962951</v>
      </c>
      <c r="CB19" s="490">
        <v>183.62554481027558</v>
      </c>
      <c r="CC19" s="487">
        <v>139.09697337401883</v>
      </c>
      <c r="CD19" s="487">
        <v>138.14498075430782</v>
      </c>
      <c r="CE19" s="487">
        <v>105.02625557171511</v>
      </c>
      <c r="CF19" s="487">
        <v>149.84211738056624</v>
      </c>
      <c r="CG19" s="490">
        <v>157.44858116873959</v>
      </c>
    </row>
    <row r="20" spans="1:85" ht="15" customHeight="1" x14ac:dyDescent="0.25">
      <c r="B20" s="348" t="s">
        <v>122</v>
      </c>
      <c r="C20" s="352">
        <f t="shared" ca="1" si="2"/>
        <v>18.14208333333336</v>
      </c>
      <c r="D20" s="354">
        <f t="shared" ref="D20:AI20" ca="1" si="17">OFFSET(D40,$B$31,0)</f>
        <v>3.4177777777777463</v>
      </c>
      <c r="E20" s="353">
        <f t="shared" ca="1" si="17"/>
        <v>153.30539731892682</v>
      </c>
      <c r="F20" s="353">
        <f t="shared" ca="1" si="17"/>
        <v>136.16849701886665</v>
      </c>
      <c r="G20" s="353">
        <f t="shared" ca="1" si="17"/>
        <v>103.00970782008858</v>
      </c>
      <c r="H20" s="353">
        <f t="shared" ca="1" si="17"/>
        <v>62.643964768690068</v>
      </c>
      <c r="I20" s="353">
        <f t="shared" ca="1" si="17"/>
        <v>47.834484667415282</v>
      </c>
      <c r="J20" s="353">
        <f t="shared" ca="1" si="17"/>
        <v>72.489352121266677</v>
      </c>
      <c r="K20" s="353">
        <f t="shared" ca="1" si="17"/>
        <v>118.89717128960882</v>
      </c>
      <c r="L20" s="353">
        <f t="shared" ca="1" si="17"/>
        <v>148.49658404134996</v>
      </c>
      <c r="M20" s="354">
        <f t="shared" ca="1" si="17"/>
        <v>174.69305555555556</v>
      </c>
      <c r="N20" s="352">
        <f t="shared" ca="1" si="17"/>
        <v>14.909999999999997</v>
      </c>
      <c r="O20" s="353">
        <f t="shared" ca="1" si="17"/>
        <v>14.486666666666666</v>
      </c>
      <c r="P20" s="353">
        <f t="shared" ca="1" si="17"/>
        <v>14.140000000000002</v>
      </c>
      <c r="Q20" s="353">
        <f t="shared" ca="1" si="17"/>
        <v>13.880000000000003</v>
      </c>
      <c r="R20" s="353">
        <f t="shared" ca="1" si="17"/>
        <v>13.71666666666667</v>
      </c>
      <c r="S20" s="353">
        <f t="shared" ca="1" si="17"/>
        <v>13.606666666666671</v>
      </c>
      <c r="T20" s="353">
        <f t="shared" ca="1" si="17"/>
        <v>15.53666666666666</v>
      </c>
      <c r="U20" s="353">
        <f t="shared" ca="1" si="17"/>
        <v>17.649999999999999</v>
      </c>
      <c r="V20" s="353">
        <f t="shared" ca="1" si="17"/>
        <v>19.393333333333334</v>
      </c>
      <c r="W20" s="353">
        <f t="shared" ca="1" si="17"/>
        <v>20.459999999999997</v>
      </c>
      <c r="X20" s="353">
        <f t="shared" ca="1" si="17"/>
        <v>21.403333333333332</v>
      </c>
      <c r="Y20" s="353">
        <f t="shared" ca="1" si="17"/>
        <v>22.243333333333336</v>
      </c>
      <c r="Z20" s="353">
        <f t="shared" ca="1" si="17"/>
        <v>22.83666666666667</v>
      </c>
      <c r="AA20" s="353">
        <f t="shared" ca="1" si="17"/>
        <v>23.149999999999995</v>
      </c>
      <c r="AB20" s="353">
        <f t="shared" ca="1" si="17"/>
        <v>22.886666666666667</v>
      </c>
      <c r="AC20" s="353">
        <f t="shared" ca="1" si="17"/>
        <v>22.486666666666668</v>
      </c>
      <c r="AD20" s="353">
        <f t="shared" ca="1" si="17"/>
        <v>21.556666666666665</v>
      </c>
      <c r="AE20" s="353">
        <f t="shared" ca="1" si="17"/>
        <v>19.959999999999997</v>
      </c>
      <c r="AF20" s="353">
        <f t="shared" ca="1" si="17"/>
        <v>18.600000000000001</v>
      </c>
      <c r="AG20" s="353">
        <f t="shared" ca="1" si="17"/>
        <v>17.799999999999997</v>
      </c>
      <c r="AH20" s="353">
        <f t="shared" ca="1" si="17"/>
        <v>16.866666666666678</v>
      </c>
      <c r="AI20" s="353">
        <f t="shared" ca="1" si="17"/>
        <v>16.496666666666666</v>
      </c>
      <c r="AJ20" s="353">
        <f t="shared" ref="AJ20:BI20" ca="1" si="18">OFFSET(AJ40,$B$31,0)</f>
        <v>15.876666666666667</v>
      </c>
      <c r="AK20" s="354">
        <f t="shared" ca="1" si="18"/>
        <v>15.466666666666665</v>
      </c>
      <c r="AL20" s="352">
        <f t="shared" ca="1" si="18"/>
        <v>0</v>
      </c>
      <c r="AM20" s="353">
        <f t="shared" ca="1" si="18"/>
        <v>0</v>
      </c>
      <c r="AN20" s="353">
        <f t="shared" ca="1" si="18"/>
        <v>0</v>
      </c>
      <c r="AO20" s="353">
        <f t="shared" ca="1" si="18"/>
        <v>0</v>
      </c>
      <c r="AP20" s="353">
        <f t="shared" ca="1" si="18"/>
        <v>0</v>
      </c>
      <c r="AQ20" s="353">
        <f t="shared" ca="1" si="18"/>
        <v>10.933333333333334</v>
      </c>
      <c r="AR20" s="353">
        <f t="shared" ca="1" si="18"/>
        <v>86.63333333333334</v>
      </c>
      <c r="AS20" s="353">
        <f t="shared" ca="1" si="18"/>
        <v>219.06666666666666</v>
      </c>
      <c r="AT20" s="353">
        <f t="shared" ca="1" si="18"/>
        <v>367.36666666666667</v>
      </c>
      <c r="AU20" s="353">
        <f t="shared" ca="1" si="18"/>
        <v>479.53333333333336</v>
      </c>
      <c r="AV20" s="353">
        <f t="shared" ca="1" si="18"/>
        <v>533.83333333333337</v>
      </c>
      <c r="AW20" s="353">
        <f t="shared" ca="1" si="18"/>
        <v>555.5333333333333</v>
      </c>
      <c r="AX20" s="353">
        <f t="shared" ca="1" si="18"/>
        <v>558.0333333333333</v>
      </c>
      <c r="AY20" s="353">
        <f t="shared" ca="1" si="18"/>
        <v>500.5</v>
      </c>
      <c r="AZ20" s="353">
        <f t="shared" ca="1" si="18"/>
        <v>398.06666666666666</v>
      </c>
      <c r="BA20" s="353">
        <f t="shared" ca="1" si="18"/>
        <v>289.89999999999998</v>
      </c>
      <c r="BB20" s="353">
        <f t="shared" ca="1" si="18"/>
        <v>150.1</v>
      </c>
      <c r="BC20" s="353">
        <f t="shared" ca="1" si="18"/>
        <v>40.966666666666669</v>
      </c>
      <c r="BD20" s="353">
        <f t="shared" ca="1" si="18"/>
        <v>2.1666666666666665</v>
      </c>
      <c r="BE20" s="353">
        <f t="shared" ca="1" si="18"/>
        <v>0</v>
      </c>
      <c r="BF20" s="353">
        <f t="shared" ca="1" si="18"/>
        <v>0</v>
      </c>
      <c r="BG20" s="353">
        <f t="shared" ca="1" si="18"/>
        <v>0</v>
      </c>
      <c r="BH20" s="353">
        <f t="shared" ca="1" si="18"/>
        <v>0</v>
      </c>
      <c r="BI20" s="354">
        <f t="shared" ca="1" si="18"/>
        <v>0</v>
      </c>
      <c r="BL20" s="438"/>
      <c r="BM20" s="485">
        <v>185.4375</v>
      </c>
      <c r="BN20" s="486">
        <v>241.87788479575914</v>
      </c>
      <c r="BO20" s="487">
        <v>110.62991679887124</v>
      </c>
      <c r="BP20" s="487">
        <v>156.41020253205258</v>
      </c>
      <c r="BQ20" s="488">
        <v>145.05909700861883</v>
      </c>
      <c r="BR20" s="489">
        <v>158.12285196248288</v>
      </c>
      <c r="BS20" s="486">
        <v>249.36722484476098</v>
      </c>
      <c r="BT20" s="487">
        <v>117.78392095753688</v>
      </c>
      <c r="BU20" s="487">
        <v>158.7987162470084</v>
      </c>
      <c r="BV20" s="487">
        <v>151.91144218669655</v>
      </c>
      <c r="BW20" s="490">
        <v>167.02135873062116</v>
      </c>
      <c r="BX20" s="486">
        <v>237.75815851304725</v>
      </c>
      <c r="BY20" s="487">
        <v>130.61215940580536</v>
      </c>
      <c r="BZ20" s="487">
        <v>149.38127101878618</v>
      </c>
      <c r="CA20" s="487">
        <v>153.15453740409328</v>
      </c>
      <c r="CB20" s="490">
        <v>172.2363086366239</v>
      </c>
      <c r="CC20" s="487">
        <v>160.22497809156903</v>
      </c>
      <c r="CD20" s="487">
        <v>135.54263692343881</v>
      </c>
      <c r="CE20" s="487">
        <v>77.70354310487977</v>
      </c>
      <c r="CF20" s="487">
        <v>132.1622538736051</v>
      </c>
      <c r="CG20" s="490">
        <v>163.42703491822223</v>
      </c>
    </row>
    <row r="21" spans="1:85" ht="15" customHeight="1" x14ac:dyDescent="0.25">
      <c r="B21" s="348" t="s">
        <v>123</v>
      </c>
      <c r="C21" s="352">
        <f t="shared" ca="1" si="2"/>
        <v>10.98319892473118</v>
      </c>
      <c r="D21" s="354">
        <f t="shared" ref="D21:AI21" ca="1" si="19">OFFSET(D41,$B$31,0)</f>
        <v>4.7861559139784413</v>
      </c>
      <c r="E21" s="353">
        <f t="shared" ca="1" si="19"/>
        <v>153.06952836819906</v>
      </c>
      <c r="F21" s="353">
        <f t="shared" ca="1" si="19"/>
        <v>119.84511095413583</v>
      </c>
      <c r="G21" s="353">
        <f t="shared" ca="1" si="19"/>
        <v>74.173488038331399</v>
      </c>
      <c r="H21" s="353">
        <f t="shared" ca="1" si="19"/>
        <v>39.636588120697965</v>
      </c>
      <c r="I21" s="353">
        <f t="shared" ca="1" si="19"/>
        <v>34.551897273205881</v>
      </c>
      <c r="J21" s="353">
        <f t="shared" ca="1" si="19"/>
        <v>45.291201195377468</v>
      </c>
      <c r="K21" s="353">
        <f t="shared" ca="1" si="19"/>
        <v>87.780854325024478</v>
      </c>
      <c r="L21" s="353">
        <f t="shared" ca="1" si="19"/>
        <v>133.40378837763754</v>
      </c>
      <c r="M21" s="354">
        <f t="shared" ca="1" si="19"/>
        <v>122.5497311827957</v>
      </c>
      <c r="N21" s="352">
        <f t="shared" ca="1" si="19"/>
        <v>8.4967741935483883</v>
      </c>
      <c r="O21" s="353">
        <f t="shared" ca="1" si="19"/>
        <v>8.2290322580645157</v>
      </c>
      <c r="P21" s="353">
        <f t="shared" ca="1" si="19"/>
        <v>8.0000000000000018</v>
      </c>
      <c r="Q21" s="353">
        <f t="shared" ca="1" si="19"/>
        <v>7.8129032258064495</v>
      </c>
      <c r="R21" s="353">
        <f t="shared" ca="1" si="19"/>
        <v>7.7967741935483845</v>
      </c>
      <c r="S21" s="353">
        <f t="shared" ca="1" si="19"/>
        <v>7.5451612903225787</v>
      </c>
      <c r="T21" s="353">
        <f t="shared" ca="1" si="19"/>
        <v>8.0612903225806445</v>
      </c>
      <c r="U21" s="353">
        <f t="shared" ca="1" si="19"/>
        <v>9.8774193548387093</v>
      </c>
      <c r="V21" s="353">
        <f t="shared" ca="1" si="19"/>
        <v>11.754838709677417</v>
      </c>
      <c r="W21" s="353">
        <f t="shared" ca="1" si="19"/>
        <v>13.17741935483871</v>
      </c>
      <c r="X21" s="353">
        <f t="shared" ca="1" si="19"/>
        <v>14.325806451612904</v>
      </c>
      <c r="Y21" s="353">
        <f t="shared" ca="1" si="19"/>
        <v>14.945161290322581</v>
      </c>
      <c r="Z21" s="353">
        <f t="shared" ca="1" si="19"/>
        <v>15.248387096774191</v>
      </c>
      <c r="AA21" s="353">
        <f t="shared" ca="1" si="19"/>
        <v>15.429032258064515</v>
      </c>
      <c r="AB21" s="353">
        <f t="shared" ca="1" si="19"/>
        <v>15.345161290322583</v>
      </c>
      <c r="AC21" s="353">
        <f t="shared" ca="1" si="19"/>
        <v>14.638709677419357</v>
      </c>
      <c r="AD21" s="353">
        <f t="shared" ca="1" si="19"/>
        <v>13.261290322580646</v>
      </c>
      <c r="AE21" s="353">
        <f t="shared" ca="1" si="19"/>
        <v>11.764516129032254</v>
      </c>
      <c r="AF21" s="353">
        <f t="shared" ca="1" si="19"/>
        <v>11.019354838709678</v>
      </c>
      <c r="AG21" s="353">
        <f t="shared" ca="1" si="19"/>
        <v>10.429032258064517</v>
      </c>
      <c r="AH21" s="353">
        <f t="shared" ca="1" si="19"/>
        <v>9.8419354838709712</v>
      </c>
      <c r="AI21" s="353">
        <f t="shared" ca="1" si="19"/>
        <v>9.3387096774193541</v>
      </c>
      <c r="AJ21" s="353">
        <f t="shared" ref="AJ21:BI21" ca="1" si="20">OFFSET(AJ41,$B$31,0)</f>
        <v>8.741935483870968</v>
      </c>
      <c r="AK21" s="354">
        <f t="shared" ca="1" si="20"/>
        <v>8.5161290322580641</v>
      </c>
      <c r="AL21" s="352">
        <f t="shared" ca="1" si="20"/>
        <v>0</v>
      </c>
      <c r="AM21" s="353">
        <f t="shared" ca="1" si="20"/>
        <v>0</v>
      </c>
      <c r="AN21" s="353">
        <f t="shared" ca="1" si="20"/>
        <v>0</v>
      </c>
      <c r="AO21" s="353">
        <f t="shared" ca="1" si="20"/>
        <v>0</v>
      </c>
      <c r="AP21" s="353">
        <f t="shared" ca="1" si="20"/>
        <v>0</v>
      </c>
      <c r="AQ21" s="353">
        <f t="shared" ca="1" si="20"/>
        <v>0.32258064516129031</v>
      </c>
      <c r="AR21" s="353">
        <f t="shared" ca="1" si="20"/>
        <v>33.387096774193552</v>
      </c>
      <c r="AS21" s="353">
        <f t="shared" ca="1" si="20"/>
        <v>136.06451612903226</v>
      </c>
      <c r="AT21" s="353">
        <f t="shared" ca="1" si="20"/>
        <v>265.03225806451616</v>
      </c>
      <c r="AU21" s="353">
        <f t="shared" ca="1" si="20"/>
        <v>374.87096774193549</v>
      </c>
      <c r="AV21" s="353">
        <f t="shared" ca="1" si="20"/>
        <v>424.35483870967744</v>
      </c>
      <c r="AW21" s="353">
        <f t="shared" ca="1" si="20"/>
        <v>427.90322580645159</v>
      </c>
      <c r="AX21" s="353">
        <f t="shared" ca="1" si="20"/>
        <v>425.51612903225805</v>
      </c>
      <c r="AY21" s="353">
        <f t="shared" ca="1" si="20"/>
        <v>378.19354838709677</v>
      </c>
      <c r="AZ21" s="353">
        <f t="shared" ca="1" si="20"/>
        <v>265.87096774193549</v>
      </c>
      <c r="BA21" s="353">
        <f t="shared" ca="1" si="20"/>
        <v>156.96774193548387</v>
      </c>
      <c r="BB21" s="353">
        <f t="shared" ca="1" si="20"/>
        <v>48.967741935483872</v>
      </c>
      <c r="BC21" s="353">
        <f t="shared" ca="1" si="20"/>
        <v>3.7419354838709675</v>
      </c>
      <c r="BD21" s="353">
        <f t="shared" ca="1" si="20"/>
        <v>0</v>
      </c>
      <c r="BE21" s="353">
        <f t="shared" ca="1" si="20"/>
        <v>0</v>
      </c>
      <c r="BF21" s="353">
        <f t="shared" ca="1" si="20"/>
        <v>0</v>
      </c>
      <c r="BG21" s="353">
        <f t="shared" ca="1" si="20"/>
        <v>0</v>
      </c>
      <c r="BH21" s="353">
        <f t="shared" ca="1" si="20"/>
        <v>0</v>
      </c>
      <c r="BI21" s="354">
        <f t="shared" ca="1" si="20"/>
        <v>0</v>
      </c>
      <c r="BL21" s="438"/>
      <c r="BM21" s="485">
        <v>117.99193548387096</v>
      </c>
      <c r="BN21" s="486">
        <v>171.50234138031144</v>
      </c>
      <c r="BO21" s="487">
        <v>94.034469780314197</v>
      </c>
      <c r="BP21" s="487">
        <v>123.61674235154615</v>
      </c>
      <c r="BQ21" s="488">
        <v>108.45865596701255</v>
      </c>
      <c r="BR21" s="489">
        <v>142.5193026062868</v>
      </c>
      <c r="BS21" s="486">
        <v>185.55681200952915</v>
      </c>
      <c r="BT21" s="487">
        <v>104.91002146394037</v>
      </c>
      <c r="BU21" s="487">
        <v>123.26978391953672</v>
      </c>
      <c r="BV21" s="487">
        <v>110.83459022856036</v>
      </c>
      <c r="BW21" s="490">
        <v>150.80799820210149</v>
      </c>
      <c r="BX21" s="486">
        <v>186.09419010139533</v>
      </c>
      <c r="BY21" s="487">
        <v>114.22707254224717</v>
      </c>
      <c r="BZ21" s="487">
        <v>113.27781197232373</v>
      </c>
      <c r="CA21" s="487">
        <v>108.53556681063735</v>
      </c>
      <c r="CB21" s="490">
        <v>153.43002016400536</v>
      </c>
      <c r="CC21" s="487">
        <v>143.17558253104241</v>
      </c>
      <c r="CD21" s="487">
        <v>112.06583779801076</v>
      </c>
      <c r="CE21" s="487">
        <v>46.465139893324469</v>
      </c>
      <c r="CF21" s="487">
        <v>87.176013802493685</v>
      </c>
      <c r="CG21" s="490">
        <v>128.14882225128184</v>
      </c>
    </row>
    <row r="22" spans="1:85" ht="15" customHeight="1" x14ac:dyDescent="0.25">
      <c r="B22" s="348" t="s">
        <v>124</v>
      </c>
      <c r="C22" s="352">
        <f t="shared" ca="1" si="2"/>
        <v>4.7393055555555428</v>
      </c>
      <c r="D22" s="354">
        <f t="shared" ref="D22:AI22" ca="1" si="21">OFFSET(D42,$B$31,0)</f>
        <v>5.2951388888888431</v>
      </c>
      <c r="E22" s="353">
        <f t="shared" ca="1" si="21"/>
        <v>114.90262931883751</v>
      </c>
      <c r="F22" s="353">
        <f t="shared" ca="1" si="21"/>
        <v>84.535549685261216</v>
      </c>
      <c r="G22" s="353">
        <f t="shared" ca="1" si="21"/>
        <v>45.251565363389325</v>
      </c>
      <c r="H22" s="353">
        <f t="shared" ca="1" si="21"/>
        <v>26.570052097907158</v>
      </c>
      <c r="I22" s="353">
        <f t="shared" ca="1" si="21"/>
        <v>25.621213982505459</v>
      </c>
      <c r="J22" s="353">
        <f t="shared" ca="1" si="21"/>
        <v>28.737510250308233</v>
      </c>
      <c r="K22" s="353">
        <f t="shared" ca="1" si="21"/>
        <v>55.737306857908301</v>
      </c>
      <c r="L22" s="353">
        <f t="shared" ca="1" si="21"/>
        <v>97.379959883471344</v>
      </c>
      <c r="M22" s="354">
        <f t="shared" ca="1" si="21"/>
        <v>75.776388888888889</v>
      </c>
      <c r="N22" s="352">
        <f t="shared" ca="1" si="21"/>
        <v>3.713333333333332</v>
      </c>
      <c r="O22" s="353">
        <f t="shared" ca="1" si="21"/>
        <v>3.4533333333333345</v>
      </c>
      <c r="P22" s="353">
        <f t="shared" ca="1" si="21"/>
        <v>3.3566666666666669</v>
      </c>
      <c r="Q22" s="353">
        <f t="shared" ca="1" si="21"/>
        <v>3.3566666666666669</v>
      </c>
      <c r="R22" s="353">
        <f t="shared" ca="1" si="21"/>
        <v>3.0599999999999983</v>
      </c>
      <c r="S22" s="353">
        <f t="shared" ca="1" si="21"/>
        <v>2.8499999999999996</v>
      </c>
      <c r="T22" s="353">
        <f t="shared" ca="1" si="21"/>
        <v>2.7533333333333325</v>
      </c>
      <c r="U22" s="353">
        <f t="shared" ca="1" si="21"/>
        <v>3.476666666666667</v>
      </c>
      <c r="V22" s="353">
        <f t="shared" ca="1" si="21"/>
        <v>4.3433333333333319</v>
      </c>
      <c r="W22" s="353">
        <f t="shared" ca="1" si="21"/>
        <v>5.4866666666666655</v>
      </c>
      <c r="X22" s="353">
        <f t="shared" ca="1" si="21"/>
        <v>6.3133333333333308</v>
      </c>
      <c r="Y22" s="353">
        <f t="shared" ca="1" si="21"/>
        <v>6.9866666666666655</v>
      </c>
      <c r="Z22" s="353">
        <f t="shared" ca="1" si="21"/>
        <v>7.2433333333333341</v>
      </c>
      <c r="AA22" s="353">
        <f t="shared" ca="1" si="21"/>
        <v>7.3933333333333335</v>
      </c>
      <c r="AB22" s="353">
        <f t="shared" ca="1" si="21"/>
        <v>7.2733333333333317</v>
      </c>
      <c r="AC22" s="353">
        <f t="shared" ca="1" si="21"/>
        <v>6.6866666666666665</v>
      </c>
      <c r="AD22" s="353">
        <f t="shared" ca="1" si="21"/>
        <v>5.9233333333333329</v>
      </c>
      <c r="AE22" s="353">
        <f t="shared" ca="1" si="21"/>
        <v>5.2766666666666655</v>
      </c>
      <c r="AF22" s="353">
        <f t="shared" ca="1" si="21"/>
        <v>4.633333333333332</v>
      </c>
      <c r="AG22" s="353">
        <f t="shared" ca="1" si="21"/>
        <v>4.2266666666666648</v>
      </c>
      <c r="AH22" s="353">
        <f t="shared" ca="1" si="21"/>
        <v>4.1533333333333324</v>
      </c>
      <c r="AI22" s="353">
        <f t="shared" ca="1" si="21"/>
        <v>4.080000000000001</v>
      </c>
      <c r="AJ22" s="353">
        <f t="shared" ref="AJ22:BI22" ca="1" si="22">OFFSET(AJ42,$B$31,0)</f>
        <v>3.8033333333333323</v>
      </c>
      <c r="AK22" s="354">
        <f t="shared" ca="1" si="22"/>
        <v>3.8999999999999968</v>
      </c>
      <c r="AL22" s="352">
        <f t="shared" ca="1" si="22"/>
        <v>0</v>
      </c>
      <c r="AM22" s="353">
        <f t="shared" ca="1" si="22"/>
        <v>0</v>
      </c>
      <c r="AN22" s="353">
        <f t="shared" ca="1" si="22"/>
        <v>0</v>
      </c>
      <c r="AO22" s="353">
        <f t="shared" ca="1" si="22"/>
        <v>0</v>
      </c>
      <c r="AP22" s="353">
        <f t="shared" ca="1" si="22"/>
        <v>0</v>
      </c>
      <c r="AQ22" s="353">
        <f t="shared" ca="1" si="22"/>
        <v>0</v>
      </c>
      <c r="AR22" s="353">
        <f t="shared" ca="1" si="22"/>
        <v>4.7333333333333334</v>
      </c>
      <c r="AS22" s="353">
        <f t="shared" ca="1" si="22"/>
        <v>50.866666666666667</v>
      </c>
      <c r="AT22" s="353">
        <f t="shared" ca="1" si="22"/>
        <v>146.33333333333334</v>
      </c>
      <c r="AU22" s="353">
        <f t="shared" ca="1" si="22"/>
        <v>217.26666666666668</v>
      </c>
      <c r="AV22" s="353">
        <f t="shared" ca="1" si="22"/>
        <v>286.43333333333334</v>
      </c>
      <c r="AW22" s="353">
        <f t="shared" ca="1" si="22"/>
        <v>319</v>
      </c>
      <c r="AX22" s="353">
        <f t="shared" ca="1" si="22"/>
        <v>301.60000000000002</v>
      </c>
      <c r="AY22" s="353">
        <f t="shared" ca="1" si="22"/>
        <v>249.03333333333333</v>
      </c>
      <c r="AZ22" s="353">
        <f t="shared" ca="1" si="22"/>
        <v>160.80000000000001</v>
      </c>
      <c r="BA22" s="353">
        <f t="shared" ca="1" si="22"/>
        <v>70.099999999999994</v>
      </c>
      <c r="BB22" s="353">
        <f t="shared" ca="1" si="22"/>
        <v>12.466666666666667</v>
      </c>
      <c r="BC22" s="353">
        <f t="shared" ca="1" si="22"/>
        <v>0</v>
      </c>
      <c r="BD22" s="353">
        <f t="shared" ca="1" si="22"/>
        <v>0</v>
      </c>
      <c r="BE22" s="353">
        <f t="shared" ca="1" si="22"/>
        <v>0</v>
      </c>
      <c r="BF22" s="353">
        <f t="shared" ca="1" si="22"/>
        <v>0</v>
      </c>
      <c r="BG22" s="353">
        <f t="shared" ca="1" si="22"/>
        <v>0</v>
      </c>
      <c r="BH22" s="353">
        <f t="shared" ca="1" si="22"/>
        <v>0</v>
      </c>
      <c r="BI22" s="354">
        <f t="shared" ca="1" si="22"/>
        <v>0</v>
      </c>
      <c r="BL22" s="438"/>
      <c r="BM22" s="485">
        <v>97.536111111111111</v>
      </c>
      <c r="BN22" s="486">
        <v>159.9842041175057</v>
      </c>
      <c r="BO22" s="487">
        <v>86.266195384924373</v>
      </c>
      <c r="BP22" s="487">
        <v>108.2742102936446</v>
      </c>
      <c r="BQ22" s="488">
        <v>77.687566208403268</v>
      </c>
      <c r="BR22" s="489">
        <v>114.32401085569252</v>
      </c>
      <c r="BS22" s="486">
        <v>180.27085344378571</v>
      </c>
      <c r="BT22" s="487">
        <v>102.1455868851893</v>
      </c>
      <c r="BU22" s="487">
        <v>106.1092587161594</v>
      </c>
      <c r="BV22" s="487">
        <v>79.531074053394946</v>
      </c>
      <c r="BW22" s="490">
        <v>124.31452121223522</v>
      </c>
      <c r="BX22" s="486">
        <v>188.31989251298708</v>
      </c>
      <c r="BY22" s="487">
        <v>113.67615074963192</v>
      </c>
      <c r="BZ22" s="487">
        <v>95.579708338138516</v>
      </c>
      <c r="CA22" s="487">
        <v>79.100583157406959</v>
      </c>
      <c r="CB22" s="490">
        <v>135.23378443406733</v>
      </c>
      <c r="CC22" s="487">
        <v>161.57875087208137</v>
      </c>
      <c r="CD22" s="487">
        <v>114.51560948859549</v>
      </c>
      <c r="CE22" s="487">
        <v>30.502275440359725</v>
      </c>
      <c r="CF22" s="487">
        <v>72.95499974324072</v>
      </c>
      <c r="CG22" s="490">
        <v>135.63044097775418</v>
      </c>
    </row>
    <row r="23" spans="1:85" ht="15" customHeight="1" x14ac:dyDescent="0.25">
      <c r="B23" s="374" t="s">
        <v>125</v>
      </c>
      <c r="C23" s="355">
        <f t="shared" ca="1" si="2"/>
        <v>-3.6770469798657768</v>
      </c>
      <c r="D23" s="357">
        <f t="shared" ref="D23:AI23" ca="1" si="23">OFFSET(D43,$B$31,0)</f>
        <v>4.2944966442952515</v>
      </c>
      <c r="E23" s="356">
        <f t="shared" ca="1" si="23"/>
        <v>115.85625330629384</v>
      </c>
      <c r="F23" s="356">
        <f t="shared" ca="1" si="23"/>
        <v>82.539742772212463</v>
      </c>
      <c r="G23" s="356">
        <f t="shared" ca="1" si="23"/>
        <v>39.070714281201255</v>
      </c>
      <c r="H23" s="356">
        <f t="shared" ca="1" si="23"/>
        <v>19.778642936083639</v>
      </c>
      <c r="I23" s="356">
        <f t="shared" ca="1" si="23"/>
        <v>19.269732787756375</v>
      </c>
      <c r="J23" s="356">
        <f t="shared" ca="1" si="23"/>
        <v>21.362861340039277</v>
      </c>
      <c r="K23" s="356">
        <f t="shared" ca="1" si="23"/>
        <v>49.096338170543348</v>
      </c>
      <c r="L23" s="356">
        <f t="shared" ca="1" si="23"/>
        <v>95.277254644480081</v>
      </c>
      <c r="M23" s="357">
        <f t="shared" ca="1" si="23"/>
        <v>62.582550335570467</v>
      </c>
      <c r="N23" s="355">
        <f t="shared" ca="1" si="23"/>
        <v>-4.8935483870967751</v>
      </c>
      <c r="O23" s="356">
        <f t="shared" ca="1" si="23"/>
        <v>-4.7838709677419358</v>
      </c>
      <c r="P23" s="356">
        <f t="shared" ca="1" si="23"/>
        <v>-4.9387096774193546</v>
      </c>
      <c r="Q23" s="356">
        <f t="shared" ca="1" si="23"/>
        <v>-5.2387096774193553</v>
      </c>
      <c r="R23" s="356">
        <f t="shared" ca="1" si="23"/>
        <v>-5.2967741935483863</v>
      </c>
      <c r="S23" s="356">
        <f t="shared" ca="1" si="23"/>
        <v>-5.6451612903225818</v>
      </c>
      <c r="T23" s="356">
        <f t="shared" ca="1" si="23"/>
        <v>-5.693548387096774</v>
      </c>
      <c r="U23" s="356">
        <f t="shared" ca="1" si="23"/>
        <v>-5.3516129032258064</v>
      </c>
      <c r="V23" s="356">
        <f t="shared" ca="1" si="23"/>
        <v>-4.4806451612903224</v>
      </c>
      <c r="W23" s="356">
        <f t="shared" ca="1" si="23"/>
        <v>-3.2129032258064516</v>
      </c>
      <c r="X23" s="356">
        <f t="shared" ca="1" si="23"/>
        <v>-2.0999999999999996</v>
      </c>
      <c r="Y23" s="356">
        <f t="shared" ca="1" si="23"/>
        <v>-1.4935483870967741</v>
      </c>
      <c r="Z23" s="356">
        <f t="shared" ca="1" si="23"/>
        <v>-0.91935483870967749</v>
      </c>
      <c r="AA23" s="356">
        <f t="shared" ca="1" si="23"/>
        <v>-0.70322580645161259</v>
      </c>
      <c r="AB23" s="356">
        <f t="shared" ca="1" si="23"/>
        <v>-0.68387096774193534</v>
      </c>
      <c r="AC23" s="356">
        <f t="shared" ca="1" si="23"/>
        <v>-1.4709677419354836</v>
      </c>
      <c r="AD23" s="356">
        <f t="shared" ca="1" si="23"/>
        <v>-2.4741935483870963</v>
      </c>
      <c r="AE23" s="356">
        <f t="shared" ca="1" si="23"/>
        <v>-3.3129032258064512</v>
      </c>
      <c r="AF23" s="356">
        <f t="shared" ca="1" si="23"/>
        <v>-3.67741935483871</v>
      </c>
      <c r="AG23" s="356">
        <f t="shared" ca="1" si="23"/>
        <v>-4.0225806451612902</v>
      </c>
      <c r="AH23" s="356">
        <f t="shared" ca="1" si="23"/>
        <v>-4.1548387096774198</v>
      </c>
      <c r="AI23" s="356">
        <f t="shared" ca="1" si="23"/>
        <v>-4.3677419354838714</v>
      </c>
      <c r="AJ23" s="356">
        <f t="shared" ref="AJ23:BI23" ca="1" si="24">OFFSET(AJ43,$B$31,0)</f>
        <v>-4.5483870967741939</v>
      </c>
      <c r="AK23" s="357">
        <f t="shared" ca="1" si="24"/>
        <v>-4.75</v>
      </c>
      <c r="AL23" s="355">
        <f t="shared" ca="1" si="24"/>
        <v>0</v>
      </c>
      <c r="AM23" s="356">
        <f t="shared" ca="1" si="24"/>
        <v>0</v>
      </c>
      <c r="AN23" s="356">
        <f t="shared" ca="1" si="24"/>
        <v>0</v>
      </c>
      <c r="AO23" s="356">
        <f t="shared" ca="1" si="24"/>
        <v>0</v>
      </c>
      <c r="AP23" s="356">
        <f t="shared" ca="1" si="24"/>
        <v>0</v>
      </c>
      <c r="AQ23" s="356">
        <f t="shared" ca="1" si="24"/>
        <v>0</v>
      </c>
      <c r="AR23" s="356">
        <f t="shared" ca="1" si="24"/>
        <v>0</v>
      </c>
      <c r="AS23" s="356">
        <f t="shared" ca="1" si="24"/>
        <v>22.225806451612904</v>
      </c>
      <c r="AT23" s="356">
        <f t="shared" ca="1" si="24"/>
        <v>98.709677419354833</v>
      </c>
      <c r="AU23" s="356">
        <f t="shared" ca="1" si="24"/>
        <v>182.58064516129033</v>
      </c>
      <c r="AV23" s="356">
        <f t="shared" ca="1" si="24"/>
        <v>252.12903225806451</v>
      </c>
      <c r="AW23" s="356">
        <f t="shared" ca="1" si="24"/>
        <v>262</v>
      </c>
      <c r="AX23" s="356">
        <f t="shared" ca="1" si="24"/>
        <v>262.48387096774195</v>
      </c>
      <c r="AY23" s="356">
        <f t="shared" ca="1" si="24"/>
        <v>213.29032258064515</v>
      </c>
      <c r="AZ23" s="356">
        <f t="shared" ca="1" si="24"/>
        <v>143.87096774193549</v>
      </c>
      <c r="BA23" s="356">
        <f t="shared" ca="1" si="24"/>
        <v>59.741935483870968</v>
      </c>
      <c r="BB23" s="356">
        <f t="shared" ca="1" si="24"/>
        <v>6.967741935483871</v>
      </c>
      <c r="BC23" s="356">
        <f t="shared" ca="1" si="24"/>
        <v>0</v>
      </c>
      <c r="BD23" s="356">
        <f t="shared" ca="1" si="24"/>
        <v>0</v>
      </c>
      <c r="BE23" s="356">
        <f t="shared" ca="1" si="24"/>
        <v>0</v>
      </c>
      <c r="BF23" s="356">
        <f t="shared" ca="1" si="24"/>
        <v>0</v>
      </c>
      <c r="BG23" s="356">
        <f t="shared" ca="1" si="24"/>
        <v>0</v>
      </c>
      <c r="BH23" s="356">
        <f t="shared" ca="1" si="24"/>
        <v>0</v>
      </c>
      <c r="BI23" s="357">
        <f t="shared" ca="1" si="24"/>
        <v>0</v>
      </c>
      <c r="BL23" s="82"/>
      <c r="BM23" s="491">
        <v>68.398657718120802</v>
      </c>
      <c r="BN23" s="492">
        <v>120.36163599180078</v>
      </c>
      <c r="BO23" s="493">
        <v>71.569499447836307</v>
      </c>
      <c r="BP23" s="493">
        <v>80.01167348519094</v>
      </c>
      <c r="BQ23" s="494">
        <v>63.922613236939114</v>
      </c>
      <c r="BR23" s="495">
        <v>103.65580594510162</v>
      </c>
      <c r="BS23" s="492">
        <v>138.17492830519535</v>
      </c>
      <c r="BT23" s="493">
        <v>84.115346490898716</v>
      </c>
      <c r="BU23" s="493">
        <v>78.040796022962638</v>
      </c>
      <c r="BV23" s="493">
        <v>64.815572802500753</v>
      </c>
      <c r="BW23" s="496">
        <v>113.96886939540678</v>
      </c>
      <c r="BX23" s="492">
        <v>146.83485921828358</v>
      </c>
      <c r="BY23" s="493">
        <v>92.164561866037545</v>
      </c>
      <c r="BZ23" s="493">
        <v>69.772779759348822</v>
      </c>
      <c r="CA23" s="493">
        <v>63.625085684104668</v>
      </c>
      <c r="CB23" s="496">
        <v>119.58302103445075</v>
      </c>
      <c r="CC23" s="493">
        <v>130.8111564820648</v>
      </c>
      <c r="CD23" s="493">
        <v>89.862383680841035</v>
      </c>
      <c r="CE23" s="493">
        <v>21.577059346786562</v>
      </c>
      <c r="CF23" s="493">
        <v>54.778565693797333</v>
      </c>
      <c r="CG23" s="496">
        <v>109.25639664508645</v>
      </c>
    </row>
    <row r="26" spans="1:85" ht="15" customHeight="1" x14ac:dyDescent="0.25">
      <c r="B26" s="251" t="s">
        <v>575</v>
      </c>
      <c r="D26" s="252" t="s">
        <v>851</v>
      </c>
    </row>
    <row r="27" spans="1:85" ht="15" customHeight="1" x14ac:dyDescent="0.25">
      <c r="B27" s="251" t="s">
        <v>576</v>
      </c>
      <c r="D27" s="252">
        <v>41.78</v>
      </c>
    </row>
    <row r="28" spans="1:85" ht="15" customHeight="1" x14ac:dyDescent="0.25">
      <c r="B28" s="251" t="s">
        <v>577</v>
      </c>
      <c r="D28" s="252">
        <v>-87.75</v>
      </c>
    </row>
    <row r="29" spans="1:85" ht="15" customHeight="1" x14ac:dyDescent="0.25">
      <c r="B29" s="251" t="s">
        <v>578</v>
      </c>
      <c r="D29" s="250">
        <v>-6</v>
      </c>
    </row>
    <row r="30" spans="1:85" ht="18" customHeight="1" x14ac:dyDescent="0.25">
      <c r="A30" s="249" t="s">
        <v>855</v>
      </c>
      <c r="G30" s="251" t="s">
        <v>856</v>
      </c>
    </row>
    <row r="31" spans="1:85" ht="15" customHeight="1" x14ac:dyDescent="0.25">
      <c r="A31" s="250" t="s">
        <v>857</v>
      </c>
      <c r="B31" s="250">
        <f>MATCH(F6,A33:A164,0)</f>
        <v>1</v>
      </c>
    </row>
    <row r="32" spans="1:85" ht="15" customHeight="1" x14ac:dyDescent="0.25">
      <c r="A32" s="346" t="s">
        <v>833</v>
      </c>
      <c r="B32" s="429" t="s">
        <v>373</v>
      </c>
      <c r="C32" s="346" t="s">
        <v>774</v>
      </c>
      <c r="D32" s="346" t="s">
        <v>775</v>
      </c>
      <c r="E32" s="346" t="s">
        <v>776</v>
      </c>
      <c r="F32" s="346" t="s">
        <v>777</v>
      </c>
      <c r="G32" s="346" t="s">
        <v>778</v>
      </c>
      <c r="H32" s="346" t="s">
        <v>779</v>
      </c>
      <c r="I32" s="346" t="s">
        <v>780</v>
      </c>
      <c r="J32" s="346" t="s">
        <v>781</v>
      </c>
      <c r="K32" s="346" t="s">
        <v>782</v>
      </c>
      <c r="L32" s="346" t="s">
        <v>783</v>
      </c>
      <c r="M32" s="346" t="s">
        <v>784</v>
      </c>
      <c r="N32" s="346" t="s">
        <v>785</v>
      </c>
      <c r="O32" s="346" t="s">
        <v>786</v>
      </c>
      <c r="P32" s="346" t="s">
        <v>787</v>
      </c>
      <c r="Q32" s="346" t="s">
        <v>788</v>
      </c>
      <c r="R32" s="346" t="s">
        <v>789</v>
      </c>
      <c r="S32" s="346" t="s">
        <v>790</v>
      </c>
      <c r="T32" s="346" t="s">
        <v>791</v>
      </c>
      <c r="U32" s="346" t="s">
        <v>792</v>
      </c>
      <c r="V32" s="346" t="s">
        <v>793</v>
      </c>
      <c r="W32" s="346" t="s">
        <v>794</v>
      </c>
      <c r="X32" s="346" t="s">
        <v>795</v>
      </c>
      <c r="Y32" s="346" t="s">
        <v>796</v>
      </c>
      <c r="Z32" s="346" t="s">
        <v>797</v>
      </c>
      <c r="AA32" s="346" t="s">
        <v>798</v>
      </c>
      <c r="AB32" s="346" t="s">
        <v>799</v>
      </c>
      <c r="AC32" s="346" t="s">
        <v>800</v>
      </c>
      <c r="AD32" s="346" t="s">
        <v>801</v>
      </c>
      <c r="AE32" s="346" t="s">
        <v>802</v>
      </c>
      <c r="AF32" s="346" t="s">
        <v>803</v>
      </c>
      <c r="AG32" s="346" t="s">
        <v>804</v>
      </c>
      <c r="AH32" s="346" t="s">
        <v>805</v>
      </c>
      <c r="AI32" s="346" t="s">
        <v>806</v>
      </c>
      <c r="AJ32" s="346" t="s">
        <v>807</v>
      </c>
      <c r="AK32" s="346" t="s">
        <v>808</v>
      </c>
      <c r="AL32" s="346" t="s">
        <v>809</v>
      </c>
      <c r="AM32" s="346" t="s">
        <v>810</v>
      </c>
      <c r="AN32" s="346" t="s">
        <v>811</v>
      </c>
      <c r="AO32" s="346" t="s">
        <v>812</v>
      </c>
      <c r="AP32" s="346" t="s">
        <v>813</v>
      </c>
      <c r="AQ32" s="346" t="s">
        <v>814</v>
      </c>
      <c r="AR32" s="346" t="s">
        <v>815</v>
      </c>
      <c r="AS32" s="346" t="s">
        <v>816</v>
      </c>
      <c r="AT32" s="346" t="s">
        <v>817</v>
      </c>
      <c r="AU32" s="346" t="s">
        <v>818</v>
      </c>
      <c r="AV32" s="346" t="s">
        <v>819</v>
      </c>
      <c r="AW32" s="346" t="s">
        <v>820</v>
      </c>
      <c r="AX32" s="346" t="s">
        <v>821</v>
      </c>
      <c r="AY32" s="346" t="s">
        <v>822</v>
      </c>
      <c r="AZ32" s="346" t="s">
        <v>823</v>
      </c>
      <c r="BA32" s="346" t="s">
        <v>824</v>
      </c>
      <c r="BB32" s="346" t="s">
        <v>825</v>
      </c>
      <c r="BC32" s="346" t="s">
        <v>826</v>
      </c>
      <c r="BD32" s="346" t="s">
        <v>827</v>
      </c>
      <c r="BE32" s="346" t="s">
        <v>828</v>
      </c>
      <c r="BF32" s="346" t="s">
        <v>829</v>
      </c>
      <c r="BG32" s="346" t="s">
        <v>830</v>
      </c>
      <c r="BH32" s="346" t="s">
        <v>831</v>
      </c>
      <c r="BI32" s="346" t="s">
        <v>832</v>
      </c>
      <c r="BJ32" s="429"/>
    </row>
    <row r="33" spans="1:62" ht="15" customHeight="1" x14ac:dyDescent="0.25">
      <c r="A33" s="448" t="s">
        <v>854</v>
      </c>
      <c r="B33" s="376">
        <v>1</v>
      </c>
      <c r="C33" s="349">
        <v>-4.6449528936742839</v>
      </c>
      <c r="D33" s="351">
        <v>4.8803499327052062</v>
      </c>
      <c r="E33" s="350">
        <v>125.29874723787528</v>
      </c>
      <c r="F33" s="350">
        <v>87.47012497021079</v>
      </c>
      <c r="G33" s="350">
        <v>43.025255393380995</v>
      </c>
      <c r="H33" s="350">
        <v>23.676016893917467</v>
      </c>
      <c r="I33" s="350">
        <v>23.012963114183467</v>
      </c>
      <c r="J33" s="350">
        <v>26.291711032177453</v>
      </c>
      <c r="K33" s="350">
        <v>58.818099030452551</v>
      </c>
      <c r="L33" s="350">
        <v>107.34785920366583</v>
      </c>
      <c r="M33" s="351">
        <v>73.597577388963657</v>
      </c>
      <c r="N33" s="349">
        <v>-6.283870967741934</v>
      </c>
      <c r="O33" s="350">
        <v>-6.1806451612903217</v>
      </c>
      <c r="P33" s="350">
        <v>-6.0870967741935464</v>
      </c>
      <c r="Q33" s="350">
        <v>-6.2741935483870952</v>
      </c>
      <c r="R33" s="350">
        <v>-6.5225806451612884</v>
      </c>
      <c r="S33" s="350">
        <v>-6.8064516129032233</v>
      </c>
      <c r="T33" s="350">
        <v>-6.7806451612903214</v>
      </c>
      <c r="U33" s="350">
        <v>-6.5580645161290327</v>
      </c>
      <c r="V33" s="350">
        <v>-5.5516129032258075</v>
      </c>
      <c r="W33" s="350">
        <v>-4.3612903225806479</v>
      </c>
      <c r="X33" s="350">
        <v>-3.5451612903225809</v>
      </c>
      <c r="Y33" s="350">
        <v>-2.7903225806451619</v>
      </c>
      <c r="Z33" s="350">
        <v>-2.0290322580645159</v>
      </c>
      <c r="AA33" s="350">
        <v>-1.6838709677419355</v>
      </c>
      <c r="AB33" s="350">
        <v>-1.596774193548387</v>
      </c>
      <c r="AC33" s="350">
        <v>-1.8612903225806452</v>
      </c>
      <c r="AD33" s="350">
        <v>-2.9129032258064509</v>
      </c>
      <c r="AE33" s="350">
        <v>-3.8258064516129031</v>
      </c>
      <c r="AF33" s="350">
        <v>-4.5451612903225795</v>
      </c>
      <c r="AG33" s="350">
        <v>-4.5096774193548379</v>
      </c>
      <c r="AH33" s="350">
        <v>-4.7096774193548381</v>
      </c>
      <c r="AI33" s="350">
        <v>-4.9774193548387098</v>
      </c>
      <c r="AJ33" s="350">
        <v>-5.2387096774193544</v>
      </c>
      <c r="AK33" s="351">
        <v>-5.8866666666666667</v>
      </c>
      <c r="AL33" s="349">
        <v>0</v>
      </c>
      <c r="AM33" s="350">
        <v>0</v>
      </c>
      <c r="AN33" s="350">
        <v>0</v>
      </c>
      <c r="AO33" s="350">
        <v>0</v>
      </c>
      <c r="AP33" s="350">
        <v>0</v>
      </c>
      <c r="AQ33" s="350">
        <v>0</v>
      </c>
      <c r="AR33" s="350">
        <v>0</v>
      </c>
      <c r="AS33" s="350">
        <v>20.322580645161292</v>
      </c>
      <c r="AT33" s="350">
        <v>92.870967741935488</v>
      </c>
      <c r="AU33" s="350">
        <v>191.2258064516129</v>
      </c>
      <c r="AV33" s="350">
        <v>260.12903225806451</v>
      </c>
      <c r="AW33" s="350">
        <v>302.74193548387098</v>
      </c>
      <c r="AX33" s="350">
        <v>305.90322580645159</v>
      </c>
      <c r="AY33" s="350">
        <v>276.77419354838707</v>
      </c>
      <c r="AZ33" s="350">
        <v>192.51612903225808</v>
      </c>
      <c r="BA33" s="350">
        <v>98.806451612903231</v>
      </c>
      <c r="BB33" s="350">
        <v>22.677419354838708</v>
      </c>
      <c r="BC33" s="350">
        <v>0</v>
      </c>
      <c r="BD33" s="350">
        <v>0</v>
      </c>
      <c r="BE33" s="350">
        <v>0</v>
      </c>
      <c r="BF33" s="350">
        <v>0</v>
      </c>
      <c r="BG33" s="350">
        <v>0</v>
      </c>
      <c r="BH33" s="350">
        <v>0</v>
      </c>
      <c r="BI33" s="351">
        <v>0</v>
      </c>
      <c r="BJ33" s="429"/>
    </row>
    <row r="34" spans="1:62" ht="15" customHeight="1" x14ac:dyDescent="0.25">
      <c r="A34" s="449" t="s">
        <v>854</v>
      </c>
      <c r="B34" s="348">
        <v>2</v>
      </c>
      <c r="C34" s="352">
        <v>-2.5291666666666686</v>
      </c>
      <c r="D34" s="354">
        <v>5.0703869047618753</v>
      </c>
      <c r="E34" s="353">
        <v>143.27943725883407</v>
      </c>
      <c r="F34" s="353">
        <v>105.53195061557504</v>
      </c>
      <c r="G34" s="353">
        <v>60.44094852673404</v>
      </c>
      <c r="H34" s="353">
        <v>34.671139634170245</v>
      </c>
      <c r="I34" s="353">
        <v>32.098611138550666</v>
      </c>
      <c r="J34" s="353">
        <v>40.146531337066307</v>
      </c>
      <c r="K34" s="353">
        <v>79.499319569158715</v>
      </c>
      <c r="L34" s="353">
        <v>127.1272531646656</v>
      </c>
      <c r="M34" s="354">
        <v>103.88988095238095</v>
      </c>
      <c r="N34" s="352">
        <v>-3.6571428571428575</v>
      </c>
      <c r="O34" s="353">
        <v>-3.9285714285714297</v>
      </c>
      <c r="P34" s="353">
        <v>-4.1464285714285714</v>
      </c>
      <c r="Q34" s="353">
        <v>-4.4642857142857153</v>
      </c>
      <c r="R34" s="353">
        <v>-4.9071428571428566</v>
      </c>
      <c r="S34" s="353">
        <v>-5.1214285714285728</v>
      </c>
      <c r="T34" s="353">
        <v>-5.2642857142857151</v>
      </c>
      <c r="U34" s="353">
        <v>-4.625</v>
      </c>
      <c r="V34" s="353">
        <v>-3.2928571428571418</v>
      </c>
      <c r="W34" s="353">
        <v>-2.0964285714285711</v>
      </c>
      <c r="X34" s="353">
        <v>-1.0214285714285718</v>
      </c>
      <c r="Y34" s="353">
        <v>-0.24285714285714294</v>
      </c>
      <c r="Z34" s="353">
        <v>0.25714285714285684</v>
      </c>
      <c r="AA34" s="353">
        <v>0.39642857142857163</v>
      </c>
      <c r="AB34" s="353">
        <v>0.49642857142857127</v>
      </c>
      <c r="AC34" s="353">
        <v>0.26071428571428618</v>
      </c>
      <c r="AD34" s="353">
        <v>-0.46428571428571414</v>
      </c>
      <c r="AE34" s="353">
        <v>-1.4249999999999996</v>
      </c>
      <c r="AF34" s="353">
        <v>-2.346428571428572</v>
      </c>
      <c r="AG34" s="353">
        <v>-2.5821428571428577</v>
      </c>
      <c r="AH34" s="353">
        <v>-2.850000000000001</v>
      </c>
      <c r="AI34" s="353">
        <v>-2.9250000000000007</v>
      </c>
      <c r="AJ34" s="353">
        <v>-3.1500000000000008</v>
      </c>
      <c r="AK34" s="354">
        <v>-3.5999999999999992</v>
      </c>
      <c r="AL34" s="352">
        <v>0</v>
      </c>
      <c r="AM34" s="353">
        <v>0</v>
      </c>
      <c r="AN34" s="353">
        <v>0</v>
      </c>
      <c r="AO34" s="353">
        <v>0</v>
      </c>
      <c r="AP34" s="353">
        <v>0</v>
      </c>
      <c r="AQ34" s="353">
        <v>0</v>
      </c>
      <c r="AR34" s="353">
        <v>3.0714285714285716</v>
      </c>
      <c r="AS34" s="353">
        <v>48.25</v>
      </c>
      <c r="AT34" s="353">
        <v>149.5</v>
      </c>
      <c r="AU34" s="353">
        <v>271.39285714285717</v>
      </c>
      <c r="AV34" s="353">
        <v>364.5</v>
      </c>
      <c r="AW34" s="353">
        <v>390.39285714285717</v>
      </c>
      <c r="AX34" s="353">
        <v>395.17857142857144</v>
      </c>
      <c r="AY34" s="353">
        <v>342.28571428571428</v>
      </c>
      <c r="AZ34" s="353">
        <v>273.92857142857144</v>
      </c>
      <c r="BA34" s="353">
        <v>179.64285714285714</v>
      </c>
      <c r="BB34" s="353">
        <v>67.607142857142861</v>
      </c>
      <c r="BC34" s="353">
        <v>7.6071428571428568</v>
      </c>
      <c r="BD34" s="353">
        <v>0</v>
      </c>
      <c r="BE34" s="353">
        <v>0</v>
      </c>
      <c r="BF34" s="353">
        <v>0</v>
      </c>
      <c r="BG34" s="353">
        <v>0</v>
      </c>
      <c r="BH34" s="353">
        <v>0</v>
      </c>
      <c r="BI34" s="354">
        <v>0</v>
      </c>
      <c r="BJ34" s="429"/>
    </row>
    <row r="35" spans="1:62" ht="15" customHeight="1" x14ac:dyDescent="0.25">
      <c r="A35" s="449" t="s">
        <v>854</v>
      </c>
      <c r="B35" s="348">
        <v>3</v>
      </c>
      <c r="C35" s="352">
        <v>3.8249999999999953</v>
      </c>
      <c r="D35" s="354">
        <v>5.4857526881719902</v>
      </c>
      <c r="E35" s="353">
        <v>146.20556355985991</v>
      </c>
      <c r="F35" s="353">
        <v>121.74748855815628</v>
      </c>
      <c r="G35" s="353">
        <v>84.754447311336023</v>
      </c>
      <c r="H35" s="353">
        <v>51.784132192308135</v>
      </c>
      <c r="I35" s="353">
        <v>42.823672382911298</v>
      </c>
      <c r="J35" s="353">
        <v>58.995242034107548</v>
      </c>
      <c r="K35" s="353">
        <v>99.955796287557817</v>
      </c>
      <c r="L35" s="353">
        <v>135.91064177515455</v>
      </c>
      <c r="M35" s="354">
        <v>143.34005376344086</v>
      </c>
      <c r="N35" s="352">
        <v>2.0225806451612902</v>
      </c>
      <c r="O35" s="353">
        <v>1.8161290322580645</v>
      </c>
      <c r="P35" s="353">
        <v>1.767741935483871</v>
      </c>
      <c r="Q35" s="353">
        <v>1.2483870967741937</v>
      </c>
      <c r="R35" s="353">
        <v>1.1322580645161291</v>
      </c>
      <c r="S35" s="353">
        <v>0.91935483870967749</v>
      </c>
      <c r="T35" s="353">
        <v>1.4225806451612903</v>
      </c>
      <c r="U35" s="353">
        <v>2.7548387096774198</v>
      </c>
      <c r="V35" s="353">
        <v>3.9677419354838714</v>
      </c>
      <c r="W35" s="353">
        <v>5.0548387096774192</v>
      </c>
      <c r="X35" s="353">
        <v>5.9387096774193537</v>
      </c>
      <c r="Y35" s="353">
        <v>6.8193548387096774</v>
      </c>
      <c r="Z35" s="353">
        <v>7.187096774193547</v>
      </c>
      <c r="AA35" s="353">
        <v>7.3258064516129036</v>
      </c>
      <c r="AB35" s="353">
        <v>7.1935483870967731</v>
      </c>
      <c r="AC35" s="353">
        <v>6.7677419354838708</v>
      </c>
      <c r="AD35" s="353">
        <v>6.1354838709677404</v>
      </c>
      <c r="AE35" s="353">
        <v>5.0387096774193543</v>
      </c>
      <c r="AF35" s="353">
        <v>3.9419354838709673</v>
      </c>
      <c r="AG35" s="353">
        <v>3.3000000000000003</v>
      </c>
      <c r="AH35" s="353">
        <v>2.9419354838709681</v>
      </c>
      <c r="AI35" s="353">
        <v>2.6096774193548393</v>
      </c>
      <c r="AJ35" s="353">
        <v>2.3741935483870966</v>
      </c>
      <c r="AK35" s="354">
        <v>2.1193548387096777</v>
      </c>
      <c r="AL35" s="352">
        <v>0</v>
      </c>
      <c r="AM35" s="353">
        <v>0</v>
      </c>
      <c r="AN35" s="353">
        <v>0</v>
      </c>
      <c r="AO35" s="353">
        <v>0</v>
      </c>
      <c r="AP35" s="353">
        <v>0</v>
      </c>
      <c r="AQ35" s="353">
        <v>0.58064516129032262</v>
      </c>
      <c r="AR35" s="353">
        <v>31.774193548387096</v>
      </c>
      <c r="AS35" s="353">
        <v>132</v>
      </c>
      <c r="AT35" s="353">
        <v>241.41935483870967</v>
      </c>
      <c r="AU35" s="353">
        <v>368.48387096774195</v>
      </c>
      <c r="AV35" s="353">
        <v>455.51612903225805</v>
      </c>
      <c r="AW35" s="353">
        <v>479.70967741935482</v>
      </c>
      <c r="AX35" s="353">
        <v>503.90322580645159</v>
      </c>
      <c r="AY35" s="353">
        <v>451.09677419354841</v>
      </c>
      <c r="AZ35" s="353">
        <v>361.03225806451616</v>
      </c>
      <c r="BA35" s="353">
        <v>252.90322580645162</v>
      </c>
      <c r="BB35" s="353">
        <v>128.06451612903226</v>
      </c>
      <c r="BC35" s="353">
        <v>33.12903225806452</v>
      </c>
      <c r="BD35" s="353">
        <v>0.54838709677419351</v>
      </c>
      <c r="BE35" s="353">
        <v>0</v>
      </c>
      <c r="BF35" s="353">
        <v>0</v>
      </c>
      <c r="BG35" s="353">
        <v>0</v>
      </c>
      <c r="BH35" s="353">
        <v>0</v>
      </c>
      <c r="BI35" s="354">
        <v>0</v>
      </c>
      <c r="BJ35" s="429"/>
    </row>
    <row r="36" spans="1:62" ht="15" customHeight="1" x14ac:dyDescent="0.25">
      <c r="A36" s="449" t="s">
        <v>854</v>
      </c>
      <c r="B36" s="348">
        <v>4</v>
      </c>
      <c r="C36" s="352">
        <v>9.9386111111111219</v>
      </c>
      <c r="D36" s="354">
        <v>4.8402777777777537</v>
      </c>
      <c r="E36" s="353">
        <v>129.54571922468008</v>
      </c>
      <c r="F36" s="353">
        <v>123.91942686761442</v>
      </c>
      <c r="G36" s="353">
        <v>104.91217158295014</v>
      </c>
      <c r="H36" s="353">
        <v>71.359002342574854</v>
      </c>
      <c r="I36" s="353">
        <v>54.123489094092776</v>
      </c>
      <c r="J36" s="353">
        <v>84.55601237335236</v>
      </c>
      <c r="K36" s="353">
        <v>124.64504199091182</v>
      </c>
      <c r="L36" s="353">
        <v>138.29984982056544</v>
      </c>
      <c r="M36" s="354">
        <v>183.0888888888889</v>
      </c>
      <c r="N36" s="352">
        <v>7.7933333333333339</v>
      </c>
      <c r="O36" s="353">
        <v>7.6133333333333342</v>
      </c>
      <c r="P36" s="353">
        <v>7.5633333333333344</v>
      </c>
      <c r="Q36" s="353">
        <v>7.1933333333333342</v>
      </c>
      <c r="R36" s="353">
        <v>6.9566666666666652</v>
      </c>
      <c r="S36" s="353">
        <v>7.0366666666666662</v>
      </c>
      <c r="T36" s="353">
        <v>8.0933333333333319</v>
      </c>
      <c r="U36" s="353">
        <v>9.2566666666666642</v>
      </c>
      <c r="V36" s="353">
        <v>10.186666666666669</v>
      </c>
      <c r="W36" s="353">
        <v>10.946666666666662</v>
      </c>
      <c r="X36" s="353">
        <v>11.793333333333333</v>
      </c>
      <c r="Y36" s="353">
        <v>12.276666666666671</v>
      </c>
      <c r="Z36" s="353">
        <v>12.763333333333337</v>
      </c>
      <c r="AA36" s="353">
        <v>13.120000000000001</v>
      </c>
      <c r="AB36" s="353">
        <v>13.01333333333333</v>
      </c>
      <c r="AC36" s="353">
        <v>12.840000000000002</v>
      </c>
      <c r="AD36" s="353">
        <v>12.409999999999998</v>
      </c>
      <c r="AE36" s="353">
        <v>11.503333333333336</v>
      </c>
      <c r="AF36" s="353">
        <v>10.576666666666666</v>
      </c>
      <c r="AG36" s="353">
        <v>9.8800000000000026</v>
      </c>
      <c r="AH36" s="353">
        <v>9.4866666666666699</v>
      </c>
      <c r="AI36" s="353">
        <v>9.1800000000000015</v>
      </c>
      <c r="AJ36" s="353">
        <v>8.9166666666666643</v>
      </c>
      <c r="AK36" s="354">
        <v>8.1266666666666669</v>
      </c>
      <c r="AL36" s="352">
        <v>0</v>
      </c>
      <c r="AM36" s="353">
        <v>0</v>
      </c>
      <c r="AN36" s="353">
        <v>0</v>
      </c>
      <c r="AO36" s="353">
        <v>0</v>
      </c>
      <c r="AP36" s="353">
        <v>0</v>
      </c>
      <c r="AQ36" s="353">
        <v>7.1333333333333337</v>
      </c>
      <c r="AR36" s="353">
        <v>148.4</v>
      </c>
      <c r="AS36" s="353">
        <v>241.53333333333333</v>
      </c>
      <c r="AT36" s="353">
        <v>371.53333333333336</v>
      </c>
      <c r="AU36" s="353">
        <v>463.8</v>
      </c>
      <c r="AV36" s="353">
        <v>516.1</v>
      </c>
      <c r="AW36" s="353">
        <v>548.5333333333333</v>
      </c>
      <c r="AX36" s="353">
        <v>519.5</v>
      </c>
      <c r="AY36" s="353">
        <v>528.93333333333328</v>
      </c>
      <c r="AZ36" s="353">
        <v>438.93333333333334</v>
      </c>
      <c r="BA36" s="353">
        <v>327.93333333333334</v>
      </c>
      <c r="BB36" s="353">
        <v>193.56666666666666</v>
      </c>
      <c r="BC36" s="353">
        <v>85.533333333333331</v>
      </c>
      <c r="BD36" s="353">
        <v>2.7</v>
      </c>
      <c r="BE36" s="353">
        <v>0</v>
      </c>
      <c r="BF36" s="353">
        <v>0</v>
      </c>
      <c r="BG36" s="353">
        <v>0</v>
      </c>
      <c r="BH36" s="353">
        <v>0</v>
      </c>
      <c r="BI36" s="354">
        <v>0</v>
      </c>
      <c r="BJ36" s="429"/>
    </row>
    <row r="37" spans="1:62" ht="15" customHeight="1" x14ac:dyDescent="0.25">
      <c r="A37" s="449" t="s">
        <v>854</v>
      </c>
      <c r="B37" s="348">
        <v>5</v>
      </c>
      <c r="C37" s="352">
        <v>15.297177419354838</v>
      </c>
      <c r="D37" s="354">
        <v>3.7435483870967348</v>
      </c>
      <c r="E37" s="353">
        <v>132.18556810128172</v>
      </c>
      <c r="F37" s="353">
        <v>143.75963701775225</v>
      </c>
      <c r="G37" s="353">
        <v>137.9481545932889</v>
      </c>
      <c r="H37" s="353">
        <v>102.3897939888049</v>
      </c>
      <c r="I37" s="353">
        <v>76.560517361493908</v>
      </c>
      <c r="J37" s="353">
        <v>119.71976383406567</v>
      </c>
      <c r="K37" s="353">
        <v>158.84422167970163</v>
      </c>
      <c r="L37" s="353">
        <v>155.60022630245336</v>
      </c>
      <c r="M37" s="354">
        <v>248.99462365591398</v>
      </c>
      <c r="N37" s="352">
        <v>10.70967741935484</v>
      </c>
      <c r="O37" s="353">
        <v>10.316129032258063</v>
      </c>
      <c r="P37" s="353">
        <v>10.167741935483871</v>
      </c>
      <c r="Q37" s="353">
        <v>10.051612903225806</v>
      </c>
      <c r="R37" s="353">
        <v>9.8935483870967733</v>
      </c>
      <c r="S37" s="353">
        <v>11.225806451612904</v>
      </c>
      <c r="T37" s="353">
        <v>13.56774193548387</v>
      </c>
      <c r="U37" s="353">
        <v>15.474193548387097</v>
      </c>
      <c r="V37" s="353">
        <v>17.293548387096774</v>
      </c>
      <c r="W37" s="353">
        <v>18.696774193548386</v>
      </c>
      <c r="X37" s="353">
        <v>19.819354838709682</v>
      </c>
      <c r="Y37" s="353">
        <v>20.580645161290324</v>
      </c>
      <c r="Z37" s="353">
        <v>21.054838709677416</v>
      </c>
      <c r="AA37" s="353">
        <v>20.945161290322581</v>
      </c>
      <c r="AB37" s="353">
        <v>20.574193548387097</v>
      </c>
      <c r="AC37" s="353">
        <v>19.987096774193549</v>
      </c>
      <c r="AD37" s="353">
        <v>19.532258064516128</v>
      </c>
      <c r="AE37" s="353">
        <v>18.096774193548384</v>
      </c>
      <c r="AF37" s="353">
        <v>16.0741935483871</v>
      </c>
      <c r="AG37" s="353">
        <v>14.487096774193549</v>
      </c>
      <c r="AH37" s="353">
        <v>13.332258064516125</v>
      </c>
      <c r="AI37" s="353">
        <v>12.454838709677418</v>
      </c>
      <c r="AJ37" s="353">
        <v>11.761290322580646</v>
      </c>
      <c r="AK37" s="354">
        <v>11.035483870967742</v>
      </c>
      <c r="AL37" s="352">
        <v>0</v>
      </c>
      <c r="AM37" s="353">
        <v>0</v>
      </c>
      <c r="AN37" s="353">
        <v>0</v>
      </c>
      <c r="AO37" s="353">
        <v>0</v>
      </c>
      <c r="AP37" s="353">
        <v>8.741935483870968</v>
      </c>
      <c r="AQ37" s="353">
        <v>68.548387096774192</v>
      </c>
      <c r="AR37" s="353">
        <v>202.2258064516129</v>
      </c>
      <c r="AS37" s="353">
        <v>355.32258064516128</v>
      </c>
      <c r="AT37" s="353">
        <v>507.25806451612902</v>
      </c>
      <c r="AU37" s="353">
        <v>631.90322580645159</v>
      </c>
      <c r="AV37" s="353">
        <v>680.74193548387098</v>
      </c>
      <c r="AW37" s="353">
        <v>710.58064516129036</v>
      </c>
      <c r="AX37" s="353">
        <v>723.90322580645159</v>
      </c>
      <c r="AY37" s="353">
        <v>670.80645161290317</v>
      </c>
      <c r="AZ37" s="353">
        <v>538.29032258064512</v>
      </c>
      <c r="BA37" s="353">
        <v>418.12903225806451</v>
      </c>
      <c r="BB37" s="353">
        <v>287.64516129032256</v>
      </c>
      <c r="BC37" s="353">
        <v>135.7741935483871</v>
      </c>
      <c r="BD37" s="353">
        <v>35.41935483870968</v>
      </c>
      <c r="BE37" s="353">
        <v>0.58064516129032262</v>
      </c>
      <c r="BF37" s="353">
        <v>0</v>
      </c>
      <c r="BG37" s="353">
        <v>0</v>
      </c>
      <c r="BH37" s="353">
        <v>0</v>
      </c>
      <c r="BI37" s="354">
        <v>0</v>
      </c>
      <c r="BJ37" s="429"/>
    </row>
    <row r="38" spans="1:62" ht="15" customHeight="1" x14ac:dyDescent="0.25">
      <c r="A38" s="449" t="s">
        <v>854</v>
      </c>
      <c r="B38" s="348">
        <v>6</v>
      </c>
      <c r="C38" s="352">
        <v>21.110000000000003</v>
      </c>
      <c r="D38" s="354">
        <v>4.8865277777777356</v>
      </c>
      <c r="E38" s="353">
        <v>121.07962946299989</v>
      </c>
      <c r="F38" s="353">
        <v>143.09683694169615</v>
      </c>
      <c r="G38" s="353">
        <v>148.08418384265974</v>
      </c>
      <c r="H38" s="353">
        <v>116.20305894743132</v>
      </c>
      <c r="I38" s="353">
        <v>87.968371824456128</v>
      </c>
      <c r="J38" s="353">
        <v>132.16138480608603</v>
      </c>
      <c r="K38" s="353">
        <v>164.7565994827126</v>
      </c>
      <c r="L38" s="353">
        <v>150.47548693101834</v>
      </c>
      <c r="M38" s="354">
        <v>262.22916666666669</v>
      </c>
      <c r="N38" s="352">
        <v>17.596666666666668</v>
      </c>
      <c r="O38" s="353">
        <v>17.25333333333333</v>
      </c>
      <c r="P38" s="353">
        <v>17.206666666666667</v>
      </c>
      <c r="Q38" s="353">
        <v>16.863333333333333</v>
      </c>
      <c r="R38" s="353">
        <v>16.72</v>
      </c>
      <c r="S38" s="353">
        <v>17.593333333333327</v>
      </c>
      <c r="T38" s="353">
        <v>19.573333333333327</v>
      </c>
      <c r="U38" s="353">
        <v>21.283333333333339</v>
      </c>
      <c r="V38" s="353">
        <v>22.50333333333333</v>
      </c>
      <c r="W38" s="353">
        <v>23.589999999999993</v>
      </c>
      <c r="X38" s="353">
        <v>24.383333333333333</v>
      </c>
      <c r="Y38" s="353">
        <v>24.829999999999995</v>
      </c>
      <c r="Z38" s="353">
        <v>25.22666666666667</v>
      </c>
      <c r="AA38" s="353">
        <v>25.466666666666672</v>
      </c>
      <c r="AB38" s="353">
        <v>25.39</v>
      </c>
      <c r="AC38" s="353">
        <v>25.133333333333333</v>
      </c>
      <c r="AD38" s="353">
        <v>24.756666666666668</v>
      </c>
      <c r="AE38" s="353">
        <v>23.95666666666666</v>
      </c>
      <c r="AF38" s="353">
        <v>22.333333333333329</v>
      </c>
      <c r="AG38" s="353">
        <v>20.68</v>
      </c>
      <c r="AH38" s="353">
        <v>19.41</v>
      </c>
      <c r="AI38" s="353">
        <v>18.790000000000003</v>
      </c>
      <c r="AJ38" s="353">
        <v>18.133333333333336</v>
      </c>
      <c r="AK38" s="354">
        <v>17.966666666666661</v>
      </c>
      <c r="AL38" s="352">
        <v>0</v>
      </c>
      <c r="AM38" s="353">
        <v>0</v>
      </c>
      <c r="AN38" s="353">
        <v>0</v>
      </c>
      <c r="AO38" s="353">
        <v>0</v>
      </c>
      <c r="AP38" s="353">
        <v>16.266666666666666</v>
      </c>
      <c r="AQ38" s="353">
        <v>95.1</v>
      </c>
      <c r="AR38" s="353">
        <v>232.83333333333334</v>
      </c>
      <c r="AS38" s="353">
        <v>384.46666666666664</v>
      </c>
      <c r="AT38" s="353">
        <v>533.20000000000005</v>
      </c>
      <c r="AU38" s="353">
        <v>625.5</v>
      </c>
      <c r="AV38" s="353">
        <v>709.1</v>
      </c>
      <c r="AW38" s="353">
        <v>702.63333333333333</v>
      </c>
      <c r="AX38" s="353">
        <v>698.33333333333337</v>
      </c>
      <c r="AY38" s="353">
        <v>660.9</v>
      </c>
      <c r="AZ38" s="353">
        <v>586.86666666666667</v>
      </c>
      <c r="BA38" s="353">
        <v>475.2</v>
      </c>
      <c r="BB38" s="353">
        <v>319.89999999999998</v>
      </c>
      <c r="BC38" s="353">
        <v>185.6</v>
      </c>
      <c r="BD38" s="353">
        <v>61.733333333333334</v>
      </c>
      <c r="BE38" s="353">
        <v>5.8666666666666663</v>
      </c>
      <c r="BF38" s="353">
        <v>0</v>
      </c>
      <c r="BG38" s="353">
        <v>0</v>
      </c>
      <c r="BH38" s="353">
        <v>0</v>
      </c>
      <c r="BI38" s="354">
        <v>0</v>
      </c>
      <c r="BJ38" s="429"/>
    </row>
    <row r="39" spans="1:62" ht="15" customHeight="1" x14ac:dyDescent="0.25">
      <c r="A39" s="449" t="s">
        <v>854</v>
      </c>
      <c r="B39" s="348">
        <v>7</v>
      </c>
      <c r="C39" s="352">
        <v>24.129569892473107</v>
      </c>
      <c r="D39" s="354">
        <v>4.238575268817157</v>
      </c>
      <c r="E39" s="353">
        <v>130.12933499076038</v>
      </c>
      <c r="F39" s="353">
        <v>142.68021376203919</v>
      </c>
      <c r="G39" s="353">
        <v>140.71941217247101</v>
      </c>
      <c r="H39" s="353">
        <v>109.49477577884802</v>
      </c>
      <c r="I39" s="353">
        <v>85.059574537871271</v>
      </c>
      <c r="J39" s="353">
        <v>129.52518517439455</v>
      </c>
      <c r="K39" s="353">
        <v>166.14744325927683</v>
      </c>
      <c r="L39" s="353">
        <v>158.39565621217523</v>
      </c>
      <c r="M39" s="354">
        <v>257.36559139784947</v>
      </c>
      <c r="N39" s="352">
        <v>20.71290322580645</v>
      </c>
      <c r="O39" s="353">
        <v>20.341935483870962</v>
      </c>
      <c r="P39" s="353">
        <v>19.87096774193548</v>
      </c>
      <c r="Q39" s="353">
        <v>19.732258064516127</v>
      </c>
      <c r="R39" s="353">
        <v>19.532258064516128</v>
      </c>
      <c r="S39" s="353">
        <v>20.706451612903233</v>
      </c>
      <c r="T39" s="353">
        <v>22.400000000000002</v>
      </c>
      <c r="U39" s="353">
        <v>23.732258064516124</v>
      </c>
      <c r="V39" s="353">
        <v>24.961290322580648</v>
      </c>
      <c r="W39" s="353">
        <v>26.077419354838707</v>
      </c>
      <c r="X39" s="353">
        <v>27.038709677419345</v>
      </c>
      <c r="Y39" s="353">
        <v>27.832258064516129</v>
      </c>
      <c r="Z39" s="353">
        <v>28.441935483870967</v>
      </c>
      <c r="AA39" s="353">
        <v>28.577419354838703</v>
      </c>
      <c r="AB39" s="353">
        <v>28.496774193548383</v>
      </c>
      <c r="AC39" s="353">
        <v>27.98064516129033</v>
      </c>
      <c r="AD39" s="353">
        <v>27.319354838709689</v>
      </c>
      <c r="AE39" s="353">
        <v>26.516129032258068</v>
      </c>
      <c r="AF39" s="353">
        <v>25.400000000000002</v>
      </c>
      <c r="AG39" s="353">
        <v>24.048387096774189</v>
      </c>
      <c r="AH39" s="353">
        <v>23.245161290322581</v>
      </c>
      <c r="AI39" s="353">
        <v>22.648387096774197</v>
      </c>
      <c r="AJ39" s="353">
        <v>22.041935483870969</v>
      </c>
      <c r="AK39" s="354">
        <v>21.454838709677425</v>
      </c>
      <c r="AL39" s="352">
        <v>0</v>
      </c>
      <c r="AM39" s="353">
        <v>0</v>
      </c>
      <c r="AN39" s="353">
        <v>0</v>
      </c>
      <c r="AO39" s="353">
        <v>0</v>
      </c>
      <c r="AP39" s="353">
        <v>8.387096774193548</v>
      </c>
      <c r="AQ39" s="353">
        <v>67.548387096774192</v>
      </c>
      <c r="AR39" s="353">
        <v>194.32258064516128</v>
      </c>
      <c r="AS39" s="353">
        <v>338</v>
      </c>
      <c r="AT39" s="353">
        <v>477.09677419354841</v>
      </c>
      <c r="AU39" s="353">
        <v>600.61290322580646</v>
      </c>
      <c r="AV39" s="353">
        <v>664.35483870967744</v>
      </c>
      <c r="AW39" s="353">
        <v>732.29032258064512</v>
      </c>
      <c r="AX39" s="353">
        <v>761.32258064516134</v>
      </c>
      <c r="AY39" s="353">
        <v>681.70967741935488</v>
      </c>
      <c r="AZ39" s="353">
        <v>611.19354838709683</v>
      </c>
      <c r="BA39" s="353">
        <v>464.16129032258067</v>
      </c>
      <c r="BB39" s="353">
        <v>333.03225806451616</v>
      </c>
      <c r="BC39" s="353">
        <v>181.12903225806451</v>
      </c>
      <c r="BD39" s="353">
        <v>56.806451612903224</v>
      </c>
      <c r="BE39" s="353">
        <v>4.806451612903226</v>
      </c>
      <c r="BF39" s="353">
        <v>0</v>
      </c>
      <c r="BG39" s="353">
        <v>0</v>
      </c>
      <c r="BH39" s="353">
        <v>0</v>
      </c>
      <c r="BI39" s="354">
        <v>0</v>
      </c>
      <c r="BJ39" s="429"/>
    </row>
    <row r="40" spans="1:62" ht="15" customHeight="1" x14ac:dyDescent="0.25">
      <c r="A40" s="449" t="s">
        <v>854</v>
      </c>
      <c r="B40" s="348">
        <v>8</v>
      </c>
      <c r="C40" s="352">
        <v>21.780376344086033</v>
      </c>
      <c r="D40" s="354">
        <v>3.8431451612902845</v>
      </c>
      <c r="E40" s="353">
        <v>136.09474845523096</v>
      </c>
      <c r="F40" s="353">
        <v>138.71027275667734</v>
      </c>
      <c r="G40" s="353">
        <v>123.74407941468324</v>
      </c>
      <c r="H40" s="353">
        <v>88.177499147622058</v>
      </c>
      <c r="I40" s="353">
        <v>66.25632961731128</v>
      </c>
      <c r="J40" s="353">
        <v>103.44337485131064</v>
      </c>
      <c r="K40" s="353">
        <v>143.36424809870618</v>
      </c>
      <c r="L40" s="353">
        <v>150.83226753036124</v>
      </c>
      <c r="M40" s="354">
        <v>215.05913978494624</v>
      </c>
      <c r="N40" s="352">
        <v>18.593548387096778</v>
      </c>
      <c r="O40" s="353">
        <v>18.319354838709678</v>
      </c>
      <c r="P40" s="353">
        <v>18.161290322580644</v>
      </c>
      <c r="Q40" s="353">
        <v>17.670967741935481</v>
      </c>
      <c r="R40" s="353">
        <v>17.664516129032254</v>
      </c>
      <c r="S40" s="353">
        <v>18.029032258064511</v>
      </c>
      <c r="T40" s="353">
        <v>20.087096774193547</v>
      </c>
      <c r="U40" s="353">
        <v>21.70967741935484</v>
      </c>
      <c r="V40" s="353">
        <v>23.258064516129036</v>
      </c>
      <c r="W40" s="353">
        <v>24.603225806451611</v>
      </c>
      <c r="X40" s="353">
        <v>25.203225806451609</v>
      </c>
      <c r="Y40" s="353">
        <v>25.432258064516127</v>
      </c>
      <c r="Z40" s="353">
        <v>25.900000000000002</v>
      </c>
      <c r="AA40" s="353">
        <v>25.71935483870968</v>
      </c>
      <c r="AB40" s="353">
        <v>25.429032258064517</v>
      </c>
      <c r="AC40" s="353">
        <v>25.174193548387091</v>
      </c>
      <c r="AD40" s="353">
        <v>24.538709677419355</v>
      </c>
      <c r="AE40" s="353">
        <v>23.77096774193549</v>
      </c>
      <c r="AF40" s="353">
        <v>22.364516129032257</v>
      </c>
      <c r="AG40" s="353">
        <v>21.464516129032258</v>
      </c>
      <c r="AH40" s="353">
        <v>20.6</v>
      </c>
      <c r="AI40" s="353">
        <v>20.2741935483871</v>
      </c>
      <c r="AJ40" s="353">
        <v>19.580645161290327</v>
      </c>
      <c r="AK40" s="354">
        <v>19.180645161290322</v>
      </c>
      <c r="AL40" s="352">
        <v>0</v>
      </c>
      <c r="AM40" s="353">
        <v>0</v>
      </c>
      <c r="AN40" s="353">
        <v>0</v>
      </c>
      <c r="AO40" s="353">
        <v>0</v>
      </c>
      <c r="AP40" s="353">
        <v>0.32258064516129031</v>
      </c>
      <c r="AQ40" s="353">
        <v>31.93548387096774</v>
      </c>
      <c r="AR40" s="353">
        <v>138.45161290322579</v>
      </c>
      <c r="AS40" s="353">
        <v>277.80645161290323</v>
      </c>
      <c r="AT40" s="353">
        <v>413.32258064516128</v>
      </c>
      <c r="AU40" s="353">
        <v>548.9677419354839</v>
      </c>
      <c r="AV40" s="353">
        <v>611.09677419354841</v>
      </c>
      <c r="AW40" s="353">
        <v>647.61290322580646</v>
      </c>
      <c r="AX40" s="353">
        <v>624.25806451612902</v>
      </c>
      <c r="AY40" s="353">
        <v>575.90322580645159</v>
      </c>
      <c r="AZ40" s="353">
        <v>489.19354838709677</v>
      </c>
      <c r="BA40" s="353">
        <v>407.70967741935482</v>
      </c>
      <c r="BB40" s="353">
        <v>253.09677419354838</v>
      </c>
      <c r="BC40" s="353">
        <v>116.80645161290323</v>
      </c>
      <c r="BD40" s="353">
        <v>24.774193548387096</v>
      </c>
      <c r="BE40" s="353">
        <v>0.16129032258064516</v>
      </c>
      <c r="BF40" s="353">
        <v>0</v>
      </c>
      <c r="BG40" s="353">
        <v>0</v>
      </c>
      <c r="BH40" s="353">
        <v>0</v>
      </c>
      <c r="BI40" s="354">
        <v>0</v>
      </c>
      <c r="BJ40" s="429"/>
    </row>
    <row r="41" spans="1:62" ht="15" customHeight="1" x14ac:dyDescent="0.25">
      <c r="A41" s="449" t="s">
        <v>854</v>
      </c>
      <c r="B41" s="348">
        <v>9</v>
      </c>
      <c r="C41" s="352">
        <v>18.14208333333336</v>
      </c>
      <c r="D41" s="354">
        <v>3.4177777777777463</v>
      </c>
      <c r="E41" s="353">
        <v>153.30539731892682</v>
      </c>
      <c r="F41" s="353">
        <v>136.16849701886665</v>
      </c>
      <c r="G41" s="353">
        <v>103.00970782008858</v>
      </c>
      <c r="H41" s="353">
        <v>62.643964768690068</v>
      </c>
      <c r="I41" s="353">
        <v>47.834484667415282</v>
      </c>
      <c r="J41" s="353">
        <v>72.489352121266677</v>
      </c>
      <c r="K41" s="353">
        <v>118.89717128960882</v>
      </c>
      <c r="L41" s="353">
        <v>148.49658404134996</v>
      </c>
      <c r="M41" s="354">
        <v>174.69305555555556</v>
      </c>
      <c r="N41" s="352">
        <v>14.909999999999997</v>
      </c>
      <c r="O41" s="353">
        <v>14.486666666666666</v>
      </c>
      <c r="P41" s="353">
        <v>14.140000000000002</v>
      </c>
      <c r="Q41" s="353">
        <v>13.880000000000003</v>
      </c>
      <c r="R41" s="353">
        <v>13.71666666666667</v>
      </c>
      <c r="S41" s="353">
        <v>13.606666666666671</v>
      </c>
      <c r="T41" s="353">
        <v>15.53666666666666</v>
      </c>
      <c r="U41" s="353">
        <v>17.649999999999999</v>
      </c>
      <c r="V41" s="353">
        <v>19.393333333333334</v>
      </c>
      <c r="W41" s="353">
        <v>20.459999999999997</v>
      </c>
      <c r="X41" s="353">
        <v>21.403333333333332</v>
      </c>
      <c r="Y41" s="353">
        <v>22.243333333333336</v>
      </c>
      <c r="Z41" s="353">
        <v>22.83666666666667</v>
      </c>
      <c r="AA41" s="353">
        <v>23.149999999999995</v>
      </c>
      <c r="AB41" s="353">
        <v>22.886666666666667</v>
      </c>
      <c r="AC41" s="353">
        <v>22.486666666666668</v>
      </c>
      <c r="AD41" s="353">
        <v>21.556666666666665</v>
      </c>
      <c r="AE41" s="353">
        <v>19.959999999999997</v>
      </c>
      <c r="AF41" s="353">
        <v>18.600000000000001</v>
      </c>
      <c r="AG41" s="353">
        <v>17.799999999999997</v>
      </c>
      <c r="AH41" s="353">
        <v>16.866666666666678</v>
      </c>
      <c r="AI41" s="353">
        <v>16.496666666666666</v>
      </c>
      <c r="AJ41" s="353">
        <v>15.876666666666667</v>
      </c>
      <c r="AK41" s="354">
        <v>15.466666666666665</v>
      </c>
      <c r="AL41" s="352">
        <v>0</v>
      </c>
      <c r="AM41" s="353">
        <v>0</v>
      </c>
      <c r="AN41" s="353">
        <v>0</v>
      </c>
      <c r="AO41" s="353">
        <v>0</v>
      </c>
      <c r="AP41" s="353">
        <v>0</v>
      </c>
      <c r="AQ41" s="353">
        <v>10.933333333333334</v>
      </c>
      <c r="AR41" s="353">
        <v>86.63333333333334</v>
      </c>
      <c r="AS41" s="353">
        <v>219.06666666666666</v>
      </c>
      <c r="AT41" s="353">
        <v>367.36666666666667</v>
      </c>
      <c r="AU41" s="353">
        <v>479.53333333333336</v>
      </c>
      <c r="AV41" s="353">
        <v>533.83333333333337</v>
      </c>
      <c r="AW41" s="353">
        <v>555.5333333333333</v>
      </c>
      <c r="AX41" s="353">
        <v>558.0333333333333</v>
      </c>
      <c r="AY41" s="353">
        <v>500.5</v>
      </c>
      <c r="AZ41" s="353">
        <v>398.06666666666666</v>
      </c>
      <c r="BA41" s="353">
        <v>289.89999999999998</v>
      </c>
      <c r="BB41" s="353">
        <v>150.1</v>
      </c>
      <c r="BC41" s="353">
        <v>40.966666666666669</v>
      </c>
      <c r="BD41" s="353">
        <v>2.1666666666666665</v>
      </c>
      <c r="BE41" s="353">
        <v>0</v>
      </c>
      <c r="BF41" s="353">
        <v>0</v>
      </c>
      <c r="BG41" s="353">
        <v>0</v>
      </c>
      <c r="BH41" s="353">
        <v>0</v>
      </c>
      <c r="BI41" s="354">
        <v>0</v>
      </c>
      <c r="BJ41" s="429"/>
    </row>
    <row r="42" spans="1:62" ht="15" customHeight="1" x14ac:dyDescent="0.25">
      <c r="A42" s="449" t="s">
        <v>854</v>
      </c>
      <c r="B42" s="348">
        <v>10</v>
      </c>
      <c r="C42" s="352">
        <v>10.98319892473118</v>
      </c>
      <c r="D42" s="354">
        <v>4.7861559139784413</v>
      </c>
      <c r="E42" s="353">
        <v>153.06952836819906</v>
      </c>
      <c r="F42" s="353">
        <v>119.84511095413583</v>
      </c>
      <c r="G42" s="353">
        <v>74.173488038331399</v>
      </c>
      <c r="H42" s="353">
        <v>39.636588120697965</v>
      </c>
      <c r="I42" s="353">
        <v>34.551897273205881</v>
      </c>
      <c r="J42" s="353">
        <v>45.291201195377468</v>
      </c>
      <c r="K42" s="353">
        <v>87.780854325024478</v>
      </c>
      <c r="L42" s="353">
        <v>133.40378837763754</v>
      </c>
      <c r="M42" s="354">
        <v>122.5497311827957</v>
      </c>
      <c r="N42" s="352">
        <v>8.4967741935483883</v>
      </c>
      <c r="O42" s="353">
        <v>8.2290322580645157</v>
      </c>
      <c r="P42" s="353">
        <v>8.0000000000000018</v>
      </c>
      <c r="Q42" s="353">
        <v>7.8129032258064495</v>
      </c>
      <c r="R42" s="353">
        <v>7.7967741935483845</v>
      </c>
      <c r="S42" s="353">
        <v>7.5451612903225787</v>
      </c>
      <c r="T42" s="353">
        <v>8.0612903225806445</v>
      </c>
      <c r="U42" s="353">
        <v>9.8774193548387093</v>
      </c>
      <c r="V42" s="353">
        <v>11.754838709677417</v>
      </c>
      <c r="W42" s="353">
        <v>13.17741935483871</v>
      </c>
      <c r="X42" s="353">
        <v>14.325806451612904</v>
      </c>
      <c r="Y42" s="353">
        <v>14.945161290322581</v>
      </c>
      <c r="Z42" s="353">
        <v>15.248387096774191</v>
      </c>
      <c r="AA42" s="353">
        <v>15.429032258064515</v>
      </c>
      <c r="AB42" s="353">
        <v>15.345161290322583</v>
      </c>
      <c r="AC42" s="353">
        <v>14.638709677419357</v>
      </c>
      <c r="AD42" s="353">
        <v>13.261290322580646</v>
      </c>
      <c r="AE42" s="353">
        <v>11.764516129032254</v>
      </c>
      <c r="AF42" s="353">
        <v>11.019354838709678</v>
      </c>
      <c r="AG42" s="353">
        <v>10.429032258064517</v>
      </c>
      <c r="AH42" s="353">
        <v>9.8419354838709712</v>
      </c>
      <c r="AI42" s="353">
        <v>9.3387096774193541</v>
      </c>
      <c r="AJ42" s="353">
        <v>8.741935483870968</v>
      </c>
      <c r="AK42" s="354">
        <v>8.5161290322580641</v>
      </c>
      <c r="AL42" s="352">
        <v>0</v>
      </c>
      <c r="AM42" s="353">
        <v>0</v>
      </c>
      <c r="AN42" s="353">
        <v>0</v>
      </c>
      <c r="AO42" s="353">
        <v>0</v>
      </c>
      <c r="AP42" s="353">
        <v>0</v>
      </c>
      <c r="AQ42" s="353">
        <v>0.32258064516129031</v>
      </c>
      <c r="AR42" s="353">
        <v>33.387096774193552</v>
      </c>
      <c r="AS42" s="353">
        <v>136.06451612903226</v>
      </c>
      <c r="AT42" s="353">
        <v>265.03225806451616</v>
      </c>
      <c r="AU42" s="353">
        <v>374.87096774193549</v>
      </c>
      <c r="AV42" s="353">
        <v>424.35483870967744</v>
      </c>
      <c r="AW42" s="353">
        <v>427.90322580645159</v>
      </c>
      <c r="AX42" s="353">
        <v>425.51612903225805</v>
      </c>
      <c r="AY42" s="353">
        <v>378.19354838709677</v>
      </c>
      <c r="AZ42" s="353">
        <v>265.87096774193549</v>
      </c>
      <c r="BA42" s="353">
        <v>156.96774193548387</v>
      </c>
      <c r="BB42" s="353">
        <v>48.967741935483872</v>
      </c>
      <c r="BC42" s="353">
        <v>3.7419354838709675</v>
      </c>
      <c r="BD42" s="353">
        <v>0</v>
      </c>
      <c r="BE42" s="353">
        <v>0</v>
      </c>
      <c r="BF42" s="353">
        <v>0</v>
      </c>
      <c r="BG42" s="353">
        <v>0</v>
      </c>
      <c r="BH42" s="353">
        <v>0</v>
      </c>
      <c r="BI42" s="354">
        <v>0</v>
      </c>
      <c r="BJ42" s="429"/>
    </row>
    <row r="43" spans="1:62" ht="15" customHeight="1" x14ac:dyDescent="0.25">
      <c r="A43" s="449" t="s">
        <v>854</v>
      </c>
      <c r="B43" s="348">
        <v>11</v>
      </c>
      <c r="C43" s="352">
        <v>4.7393055555555428</v>
      </c>
      <c r="D43" s="354">
        <v>5.2951388888888431</v>
      </c>
      <c r="E43" s="353">
        <v>114.90262931883751</v>
      </c>
      <c r="F43" s="353">
        <v>84.535549685261216</v>
      </c>
      <c r="G43" s="353">
        <v>45.251565363389325</v>
      </c>
      <c r="H43" s="353">
        <v>26.570052097907158</v>
      </c>
      <c r="I43" s="353">
        <v>25.621213982505459</v>
      </c>
      <c r="J43" s="353">
        <v>28.737510250308233</v>
      </c>
      <c r="K43" s="353">
        <v>55.737306857908301</v>
      </c>
      <c r="L43" s="353">
        <v>97.379959883471344</v>
      </c>
      <c r="M43" s="354">
        <v>75.776388888888889</v>
      </c>
      <c r="N43" s="352">
        <v>3.713333333333332</v>
      </c>
      <c r="O43" s="353">
        <v>3.4533333333333345</v>
      </c>
      <c r="P43" s="353">
        <v>3.3566666666666669</v>
      </c>
      <c r="Q43" s="353">
        <v>3.3566666666666669</v>
      </c>
      <c r="R43" s="353">
        <v>3.0599999999999983</v>
      </c>
      <c r="S43" s="353">
        <v>2.8499999999999996</v>
      </c>
      <c r="T43" s="353">
        <v>2.7533333333333325</v>
      </c>
      <c r="U43" s="353">
        <v>3.476666666666667</v>
      </c>
      <c r="V43" s="353">
        <v>4.3433333333333319</v>
      </c>
      <c r="W43" s="353">
        <v>5.4866666666666655</v>
      </c>
      <c r="X43" s="353">
        <v>6.3133333333333308</v>
      </c>
      <c r="Y43" s="353">
        <v>6.9866666666666655</v>
      </c>
      <c r="Z43" s="353">
        <v>7.2433333333333341</v>
      </c>
      <c r="AA43" s="353">
        <v>7.3933333333333335</v>
      </c>
      <c r="AB43" s="353">
        <v>7.2733333333333317</v>
      </c>
      <c r="AC43" s="353">
        <v>6.6866666666666665</v>
      </c>
      <c r="AD43" s="353">
        <v>5.9233333333333329</v>
      </c>
      <c r="AE43" s="353">
        <v>5.2766666666666655</v>
      </c>
      <c r="AF43" s="353">
        <v>4.633333333333332</v>
      </c>
      <c r="AG43" s="353">
        <v>4.2266666666666648</v>
      </c>
      <c r="AH43" s="353">
        <v>4.1533333333333324</v>
      </c>
      <c r="AI43" s="353">
        <v>4.080000000000001</v>
      </c>
      <c r="AJ43" s="353">
        <v>3.8033333333333323</v>
      </c>
      <c r="AK43" s="354">
        <v>3.8999999999999968</v>
      </c>
      <c r="AL43" s="352">
        <v>0</v>
      </c>
      <c r="AM43" s="353">
        <v>0</v>
      </c>
      <c r="AN43" s="353">
        <v>0</v>
      </c>
      <c r="AO43" s="353">
        <v>0</v>
      </c>
      <c r="AP43" s="353">
        <v>0</v>
      </c>
      <c r="AQ43" s="353">
        <v>0</v>
      </c>
      <c r="AR43" s="353">
        <v>4.7333333333333334</v>
      </c>
      <c r="AS43" s="353">
        <v>50.866666666666667</v>
      </c>
      <c r="AT43" s="353">
        <v>146.33333333333334</v>
      </c>
      <c r="AU43" s="353">
        <v>217.26666666666668</v>
      </c>
      <c r="AV43" s="353">
        <v>286.43333333333334</v>
      </c>
      <c r="AW43" s="353">
        <v>319</v>
      </c>
      <c r="AX43" s="353">
        <v>301.60000000000002</v>
      </c>
      <c r="AY43" s="353">
        <v>249.03333333333333</v>
      </c>
      <c r="AZ43" s="353">
        <v>160.80000000000001</v>
      </c>
      <c r="BA43" s="353">
        <v>70.099999999999994</v>
      </c>
      <c r="BB43" s="353">
        <v>12.466666666666667</v>
      </c>
      <c r="BC43" s="353">
        <v>0</v>
      </c>
      <c r="BD43" s="353">
        <v>0</v>
      </c>
      <c r="BE43" s="353">
        <v>0</v>
      </c>
      <c r="BF43" s="353">
        <v>0</v>
      </c>
      <c r="BG43" s="353">
        <v>0</v>
      </c>
      <c r="BH43" s="353">
        <v>0</v>
      </c>
      <c r="BI43" s="354">
        <v>0</v>
      </c>
      <c r="BJ43" s="429"/>
    </row>
    <row r="44" spans="1:62" ht="15" customHeight="1" x14ac:dyDescent="0.25">
      <c r="A44" s="449" t="s">
        <v>854</v>
      </c>
      <c r="B44" s="374">
        <v>12</v>
      </c>
      <c r="C44" s="355">
        <v>-3.6770469798657768</v>
      </c>
      <c r="D44" s="357">
        <v>4.2944966442952515</v>
      </c>
      <c r="E44" s="356">
        <v>115.85625330629384</v>
      </c>
      <c r="F44" s="356">
        <v>82.539742772212463</v>
      </c>
      <c r="G44" s="356">
        <v>39.070714281201255</v>
      </c>
      <c r="H44" s="356">
        <v>19.778642936083639</v>
      </c>
      <c r="I44" s="356">
        <v>19.269732787756375</v>
      </c>
      <c r="J44" s="356">
        <v>21.362861340039277</v>
      </c>
      <c r="K44" s="356">
        <v>49.096338170543348</v>
      </c>
      <c r="L44" s="356">
        <v>95.277254644480081</v>
      </c>
      <c r="M44" s="357">
        <v>62.582550335570467</v>
      </c>
      <c r="N44" s="355">
        <v>-4.8935483870967751</v>
      </c>
      <c r="O44" s="356">
        <v>-4.7838709677419358</v>
      </c>
      <c r="P44" s="356">
        <v>-4.9387096774193546</v>
      </c>
      <c r="Q44" s="356">
        <v>-5.2387096774193553</v>
      </c>
      <c r="R44" s="356">
        <v>-5.2967741935483863</v>
      </c>
      <c r="S44" s="356">
        <v>-5.6451612903225818</v>
      </c>
      <c r="T44" s="356">
        <v>-5.693548387096774</v>
      </c>
      <c r="U44" s="356">
        <v>-5.3516129032258064</v>
      </c>
      <c r="V44" s="356">
        <v>-4.4806451612903224</v>
      </c>
      <c r="W44" s="356">
        <v>-3.2129032258064516</v>
      </c>
      <c r="X44" s="356">
        <v>-2.0999999999999996</v>
      </c>
      <c r="Y44" s="356">
        <v>-1.4935483870967741</v>
      </c>
      <c r="Z44" s="356">
        <v>-0.91935483870967749</v>
      </c>
      <c r="AA44" s="356">
        <v>-0.70322580645161259</v>
      </c>
      <c r="AB44" s="356">
        <v>-0.68387096774193534</v>
      </c>
      <c r="AC44" s="356">
        <v>-1.4709677419354836</v>
      </c>
      <c r="AD44" s="356">
        <v>-2.4741935483870963</v>
      </c>
      <c r="AE44" s="356">
        <v>-3.3129032258064512</v>
      </c>
      <c r="AF44" s="356">
        <v>-3.67741935483871</v>
      </c>
      <c r="AG44" s="356">
        <v>-4.0225806451612902</v>
      </c>
      <c r="AH44" s="356">
        <v>-4.1548387096774198</v>
      </c>
      <c r="AI44" s="356">
        <v>-4.3677419354838714</v>
      </c>
      <c r="AJ44" s="356">
        <v>-4.5483870967741939</v>
      </c>
      <c r="AK44" s="357">
        <v>-4.75</v>
      </c>
      <c r="AL44" s="355">
        <v>0</v>
      </c>
      <c r="AM44" s="356">
        <v>0</v>
      </c>
      <c r="AN44" s="356">
        <v>0</v>
      </c>
      <c r="AO44" s="356">
        <v>0</v>
      </c>
      <c r="AP44" s="356">
        <v>0</v>
      </c>
      <c r="AQ44" s="356">
        <v>0</v>
      </c>
      <c r="AR44" s="356">
        <v>0</v>
      </c>
      <c r="AS44" s="356">
        <v>22.225806451612904</v>
      </c>
      <c r="AT44" s="356">
        <v>98.709677419354833</v>
      </c>
      <c r="AU44" s="356">
        <v>182.58064516129033</v>
      </c>
      <c r="AV44" s="356">
        <v>252.12903225806451</v>
      </c>
      <c r="AW44" s="356">
        <v>262</v>
      </c>
      <c r="AX44" s="356">
        <v>262.48387096774195</v>
      </c>
      <c r="AY44" s="356">
        <v>213.29032258064515</v>
      </c>
      <c r="AZ44" s="356">
        <v>143.87096774193549</v>
      </c>
      <c r="BA44" s="356">
        <v>59.741935483870968</v>
      </c>
      <c r="BB44" s="356">
        <v>6.967741935483871</v>
      </c>
      <c r="BC44" s="356">
        <v>0</v>
      </c>
      <c r="BD44" s="356">
        <v>0</v>
      </c>
      <c r="BE44" s="356">
        <v>0</v>
      </c>
      <c r="BF44" s="356">
        <v>0</v>
      </c>
      <c r="BG44" s="356">
        <v>0</v>
      </c>
      <c r="BH44" s="356">
        <v>0</v>
      </c>
      <c r="BI44" s="357">
        <v>0</v>
      </c>
      <c r="BJ44" s="429"/>
    </row>
    <row r="45" spans="1:62" ht="15" customHeight="1" x14ac:dyDescent="0.25">
      <c r="A45" s="358">
        <v>2001</v>
      </c>
      <c r="B45" s="359">
        <v>1</v>
      </c>
      <c r="C45" s="360">
        <v>-3.8040376850605782</v>
      </c>
      <c r="D45" s="362">
        <v>4.2040376850605146</v>
      </c>
      <c r="E45" s="361">
        <v>130.87775457487024</v>
      </c>
      <c r="F45" s="361">
        <v>89.521551262242014</v>
      </c>
      <c r="G45" s="361">
        <v>43.885380446878067</v>
      </c>
      <c r="H45" s="361">
        <v>21.82669626490167</v>
      </c>
      <c r="I45" s="361">
        <v>21.220740441872881</v>
      </c>
      <c r="J45" s="361">
        <v>25.474028495414093</v>
      </c>
      <c r="K45" s="361">
        <v>63.014761365260824</v>
      </c>
      <c r="L45" s="361">
        <v>113.08018336086916</v>
      </c>
      <c r="M45" s="362">
        <v>73.90982503364738</v>
      </c>
      <c r="N45" s="360">
        <v>-4.8967741935483886</v>
      </c>
      <c r="O45" s="361">
        <v>-4.7967741935483881</v>
      </c>
      <c r="P45" s="361">
        <v>-4.9806451612903224</v>
      </c>
      <c r="Q45" s="361">
        <v>-5.1774193548387109</v>
      </c>
      <c r="R45" s="361">
        <v>-5.387096774193548</v>
      </c>
      <c r="S45" s="361">
        <v>-5.3516129032258073</v>
      </c>
      <c r="T45" s="361">
        <v>-5.5258064516129055</v>
      </c>
      <c r="U45" s="361">
        <v>-5.2290322580645183</v>
      </c>
      <c r="V45" s="361">
        <v>-4.4967741935483883</v>
      </c>
      <c r="W45" s="361">
        <v>-3.4967741935483878</v>
      </c>
      <c r="X45" s="361">
        <v>-2.5258064516129028</v>
      </c>
      <c r="Y45" s="361">
        <v>-1.9741935483870967</v>
      </c>
      <c r="Z45" s="361">
        <v>-1.6419354838709674</v>
      </c>
      <c r="AA45" s="361">
        <v>-1.4999999999999998</v>
      </c>
      <c r="AB45" s="361">
        <v>-1.6548387096774191</v>
      </c>
      <c r="AC45" s="361">
        <v>-2.0064516129032253</v>
      </c>
      <c r="AD45" s="361">
        <v>-2.6999999999999997</v>
      </c>
      <c r="AE45" s="361">
        <v>-3.1645161290322585</v>
      </c>
      <c r="AF45" s="361">
        <v>-3.5580645161290323</v>
      </c>
      <c r="AG45" s="361">
        <v>-3.7903225806451615</v>
      </c>
      <c r="AH45" s="361">
        <v>-4.1677419354838712</v>
      </c>
      <c r="AI45" s="361">
        <v>-4.3483870967741947</v>
      </c>
      <c r="AJ45" s="361">
        <v>-4.4709677419354836</v>
      </c>
      <c r="AK45" s="362">
        <v>-4.4766666666666657</v>
      </c>
      <c r="AL45" s="360">
        <v>0</v>
      </c>
      <c r="AM45" s="361">
        <v>0</v>
      </c>
      <c r="AN45" s="361">
        <v>0</v>
      </c>
      <c r="AO45" s="361">
        <v>0</v>
      </c>
      <c r="AP45" s="361">
        <v>0</v>
      </c>
      <c r="AQ45" s="361">
        <v>0</v>
      </c>
      <c r="AR45" s="361">
        <v>0</v>
      </c>
      <c r="AS45" s="361">
        <v>3.193548387096774</v>
      </c>
      <c r="AT45" s="361">
        <v>122.80645161290323</v>
      </c>
      <c r="AU45" s="361">
        <v>189.16129032258064</v>
      </c>
      <c r="AV45" s="361">
        <v>250.67741935483872</v>
      </c>
      <c r="AW45" s="361">
        <v>298.32258064516128</v>
      </c>
      <c r="AX45" s="361">
        <v>289.32258064516128</v>
      </c>
      <c r="AY45" s="361">
        <v>262.25806451612902</v>
      </c>
      <c r="AZ45" s="361">
        <v>218.70967741935485</v>
      </c>
      <c r="BA45" s="361">
        <v>122.16129032258064</v>
      </c>
      <c r="BB45" s="361">
        <v>14.838709677419354</v>
      </c>
      <c r="BC45" s="361">
        <v>0</v>
      </c>
      <c r="BD45" s="361">
        <v>0</v>
      </c>
      <c r="BE45" s="361">
        <v>0</v>
      </c>
      <c r="BF45" s="361">
        <v>0</v>
      </c>
      <c r="BG45" s="361">
        <v>0</v>
      </c>
      <c r="BH45" s="361">
        <v>0</v>
      </c>
      <c r="BI45" s="362">
        <v>0</v>
      </c>
      <c r="BJ45" s="429"/>
    </row>
    <row r="46" spans="1:62" ht="15" customHeight="1" x14ac:dyDescent="0.25">
      <c r="A46" s="363">
        <v>2001</v>
      </c>
      <c r="B46" s="364">
        <v>2</v>
      </c>
      <c r="C46" s="365">
        <v>-2.9549107142857105</v>
      </c>
      <c r="D46" s="367">
        <v>4.6747023809523434</v>
      </c>
      <c r="E46" s="366">
        <v>148.47519976567483</v>
      </c>
      <c r="F46" s="366">
        <v>105.46273254782174</v>
      </c>
      <c r="G46" s="366">
        <v>59.601691421232438</v>
      </c>
      <c r="H46" s="366">
        <v>32.570856945625238</v>
      </c>
      <c r="I46" s="366">
        <v>29.112038542994647</v>
      </c>
      <c r="J46" s="366">
        <v>39.211828497086927</v>
      </c>
      <c r="K46" s="366">
        <v>85.611612077445258</v>
      </c>
      <c r="L46" s="366">
        <v>135.71088808325081</v>
      </c>
      <c r="M46" s="367">
        <v>108.30654761904762</v>
      </c>
      <c r="N46" s="365">
        <v>-3.4464285714285721</v>
      </c>
      <c r="O46" s="366">
        <v>-3.7857142857142856</v>
      </c>
      <c r="P46" s="366">
        <v>-4.0785714285714283</v>
      </c>
      <c r="Q46" s="366">
        <v>-4.1535714285714276</v>
      </c>
      <c r="R46" s="366">
        <v>-4.3892857142857142</v>
      </c>
      <c r="S46" s="366">
        <v>-4.4607142857142863</v>
      </c>
      <c r="T46" s="366">
        <v>-4.625</v>
      </c>
      <c r="U46" s="366">
        <v>-4.3285714285714283</v>
      </c>
      <c r="V46" s="366">
        <v>-3.871428571428571</v>
      </c>
      <c r="W46" s="366">
        <v>-3.1964285714285707</v>
      </c>
      <c r="X46" s="366">
        <v>-2.5392857142857137</v>
      </c>
      <c r="Y46" s="366">
        <v>-1.925</v>
      </c>
      <c r="Z46" s="366">
        <v>-1.5642857142857145</v>
      </c>
      <c r="AA46" s="366">
        <v>-1.0857142857142856</v>
      </c>
      <c r="AB46" s="366">
        <v>-1.1392857142857142</v>
      </c>
      <c r="AC46" s="366">
        <v>-1.3142857142857145</v>
      </c>
      <c r="AD46" s="366">
        <v>-1.7071428571428569</v>
      </c>
      <c r="AE46" s="366">
        <v>-2.1928571428571422</v>
      </c>
      <c r="AF46" s="366">
        <v>-2.4357142857142864</v>
      </c>
      <c r="AG46" s="366">
        <v>-2.6321428571428571</v>
      </c>
      <c r="AH46" s="366">
        <v>-2.7285714285714282</v>
      </c>
      <c r="AI46" s="366">
        <v>-2.9607142857142854</v>
      </c>
      <c r="AJ46" s="366">
        <v>-3.1428571428571423</v>
      </c>
      <c r="AK46" s="367">
        <v>-3.2142857142857144</v>
      </c>
      <c r="AL46" s="365">
        <v>0</v>
      </c>
      <c r="AM46" s="366">
        <v>0</v>
      </c>
      <c r="AN46" s="366">
        <v>0</v>
      </c>
      <c r="AO46" s="366">
        <v>0</v>
      </c>
      <c r="AP46" s="366">
        <v>0</v>
      </c>
      <c r="AQ46" s="366">
        <v>0</v>
      </c>
      <c r="AR46" s="366">
        <v>0</v>
      </c>
      <c r="AS46" s="366">
        <v>61.785714285714285</v>
      </c>
      <c r="AT46" s="366">
        <v>175.67857142857142</v>
      </c>
      <c r="AU46" s="366">
        <v>243.25</v>
      </c>
      <c r="AV46" s="366">
        <v>322.67857142857144</v>
      </c>
      <c r="AW46" s="366">
        <v>394.5</v>
      </c>
      <c r="AX46" s="366">
        <v>416.28571428571428</v>
      </c>
      <c r="AY46" s="366">
        <v>396</v>
      </c>
      <c r="AZ46" s="366">
        <v>301.28571428571428</v>
      </c>
      <c r="BA46" s="366">
        <v>202.25</v>
      </c>
      <c r="BB46" s="366">
        <v>84.964285714285708</v>
      </c>
      <c r="BC46" s="366">
        <v>0.6785714285714286</v>
      </c>
      <c r="BD46" s="366">
        <v>0</v>
      </c>
      <c r="BE46" s="366">
        <v>0</v>
      </c>
      <c r="BF46" s="366">
        <v>0</v>
      </c>
      <c r="BG46" s="366">
        <v>0</v>
      </c>
      <c r="BH46" s="366">
        <v>0</v>
      </c>
      <c r="BI46" s="367">
        <v>0</v>
      </c>
      <c r="BJ46" s="429"/>
    </row>
    <row r="47" spans="1:62" ht="15" customHeight="1" x14ac:dyDescent="0.25">
      <c r="A47" s="363">
        <v>2001</v>
      </c>
      <c r="B47" s="364">
        <v>3</v>
      </c>
      <c r="C47" s="365">
        <v>1.2545698924731183</v>
      </c>
      <c r="D47" s="367">
        <v>4.6525537634408147</v>
      </c>
      <c r="E47" s="366">
        <v>157.96854119844167</v>
      </c>
      <c r="F47" s="366">
        <v>132.72091286708888</v>
      </c>
      <c r="G47" s="366">
        <v>92.90376516844168</v>
      </c>
      <c r="H47" s="366">
        <v>54.142779114547558</v>
      </c>
      <c r="I47" s="366">
        <v>43.685636141969432</v>
      </c>
      <c r="J47" s="366">
        <v>65.390827216986892</v>
      </c>
      <c r="K47" s="366">
        <v>112.5219742769296</v>
      </c>
      <c r="L47" s="366">
        <v>149.07966346799165</v>
      </c>
      <c r="M47" s="367">
        <v>156.52553763440861</v>
      </c>
      <c r="N47" s="365">
        <v>-0.98387096774193539</v>
      </c>
      <c r="O47" s="366">
        <v>-1.2064516129032257</v>
      </c>
      <c r="P47" s="366">
        <v>-1.4870967741935484</v>
      </c>
      <c r="Q47" s="366">
        <v>-1.6612903225806448</v>
      </c>
      <c r="R47" s="366">
        <v>-1.9161290322580642</v>
      </c>
      <c r="S47" s="366">
        <v>-2.1354838709677422</v>
      </c>
      <c r="T47" s="366">
        <v>-1.5258064516129033</v>
      </c>
      <c r="U47" s="366">
        <v>-0.21612903225806432</v>
      </c>
      <c r="V47" s="366">
        <v>1.096774193548387</v>
      </c>
      <c r="W47" s="366">
        <v>2.1419354838709679</v>
      </c>
      <c r="X47" s="366">
        <v>3.1000000000000005</v>
      </c>
      <c r="Y47" s="366">
        <v>3.9064516129032252</v>
      </c>
      <c r="Z47" s="366">
        <v>4.4064516129032265</v>
      </c>
      <c r="AA47" s="366">
        <v>4.9161290322580635</v>
      </c>
      <c r="AB47" s="366">
        <v>5.0064516129032253</v>
      </c>
      <c r="AC47" s="366">
        <v>4.8516129032258073</v>
      </c>
      <c r="AD47" s="366">
        <v>4.1258064516129034</v>
      </c>
      <c r="AE47" s="366">
        <v>3.0999999999999992</v>
      </c>
      <c r="AF47" s="366">
        <v>2.2258064516129026</v>
      </c>
      <c r="AG47" s="366">
        <v>1.4290322580645161</v>
      </c>
      <c r="AH47" s="366">
        <v>0.99677419354838726</v>
      </c>
      <c r="AI47" s="366">
        <v>0.39354838709677414</v>
      </c>
      <c r="AJ47" s="366">
        <v>8.7096774193548318E-2</v>
      </c>
      <c r="AK47" s="367">
        <v>-0.5419354838709679</v>
      </c>
      <c r="AL47" s="365">
        <v>0</v>
      </c>
      <c r="AM47" s="366">
        <v>0</v>
      </c>
      <c r="AN47" s="366">
        <v>0</v>
      </c>
      <c r="AO47" s="366">
        <v>0</v>
      </c>
      <c r="AP47" s="366">
        <v>0</v>
      </c>
      <c r="AQ47" s="366">
        <v>0</v>
      </c>
      <c r="AR47" s="366">
        <v>27.29032258064516</v>
      </c>
      <c r="AS47" s="366">
        <v>188.48387096774192</v>
      </c>
      <c r="AT47" s="366">
        <v>292.93548387096774</v>
      </c>
      <c r="AU47" s="366">
        <v>416.29032258064518</v>
      </c>
      <c r="AV47" s="366">
        <v>501.41935483870969</v>
      </c>
      <c r="AW47" s="366">
        <v>507.61290322580646</v>
      </c>
      <c r="AX47" s="366">
        <v>490.25806451612902</v>
      </c>
      <c r="AY47" s="366">
        <v>463.93548387096774</v>
      </c>
      <c r="AZ47" s="366">
        <v>392.77419354838707</v>
      </c>
      <c r="BA47" s="366">
        <v>275.77419354838707</v>
      </c>
      <c r="BB47" s="366">
        <v>164.58064516129033</v>
      </c>
      <c r="BC47" s="366">
        <v>35.258064516129032</v>
      </c>
      <c r="BD47" s="366">
        <v>0</v>
      </c>
      <c r="BE47" s="366">
        <v>0</v>
      </c>
      <c r="BF47" s="366">
        <v>0</v>
      </c>
      <c r="BG47" s="366">
        <v>0</v>
      </c>
      <c r="BH47" s="366">
        <v>0</v>
      </c>
      <c r="BI47" s="367">
        <v>0</v>
      </c>
      <c r="BJ47" s="429"/>
    </row>
    <row r="48" spans="1:62" ht="15" customHeight="1" x14ac:dyDescent="0.25">
      <c r="A48" s="363">
        <v>2001</v>
      </c>
      <c r="B48" s="364">
        <v>4</v>
      </c>
      <c r="C48" s="365">
        <v>11.548055555555553</v>
      </c>
      <c r="D48" s="367">
        <v>5.0605555555555055</v>
      </c>
      <c r="E48" s="366">
        <v>149.66663507628644</v>
      </c>
      <c r="F48" s="366">
        <v>138.81026037275069</v>
      </c>
      <c r="G48" s="366">
        <v>115.13758580230075</v>
      </c>
      <c r="H48" s="366">
        <v>77.149041241693098</v>
      </c>
      <c r="I48" s="366">
        <v>58.783896580534787</v>
      </c>
      <c r="J48" s="366">
        <v>96.710503898399878</v>
      </c>
      <c r="K48" s="366">
        <v>146.50271315053229</v>
      </c>
      <c r="L48" s="366">
        <v>163.21400704866977</v>
      </c>
      <c r="M48" s="367">
        <v>215.1611111111111</v>
      </c>
      <c r="N48" s="365">
        <v>8.2466666666666661</v>
      </c>
      <c r="O48" s="366">
        <v>8.3833333333333329</v>
      </c>
      <c r="P48" s="366">
        <v>8.0566666666666666</v>
      </c>
      <c r="Q48" s="366">
        <v>7.7866666666666662</v>
      </c>
      <c r="R48" s="366">
        <v>7.6366666666666667</v>
      </c>
      <c r="S48" s="366">
        <v>8.17</v>
      </c>
      <c r="T48" s="366">
        <v>9.2199999999999989</v>
      </c>
      <c r="U48" s="366">
        <v>10.483333333333333</v>
      </c>
      <c r="V48" s="366">
        <v>11.643333333333334</v>
      </c>
      <c r="W48" s="366">
        <v>12.850000000000001</v>
      </c>
      <c r="X48" s="366">
        <v>13.816666666666666</v>
      </c>
      <c r="Y48" s="366">
        <v>14.810000000000002</v>
      </c>
      <c r="Z48" s="366">
        <v>15.610000000000001</v>
      </c>
      <c r="AA48" s="366">
        <v>16.026666666666667</v>
      </c>
      <c r="AB48" s="366">
        <v>16.166666666666668</v>
      </c>
      <c r="AC48" s="366">
        <v>15.83333333333333</v>
      </c>
      <c r="AD48" s="366">
        <v>15.113333333333333</v>
      </c>
      <c r="AE48" s="366">
        <v>13.91</v>
      </c>
      <c r="AF48" s="366">
        <v>12.483333333333333</v>
      </c>
      <c r="AG48" s="366">
        <v>11.460000000000003</v>
      </c>
      <c r="AH48" s="366">
        <v>10.766666666666667</v>
      </c>
      <c r="AI48" s="366">
        <v>10.146666666666668</v>
      </c>
      <c r="AJ48" s="366">
        <v>9.7566666666666677</v>
      </c>
      <c r="AK48" s="367">
        <v>8.7766666666666673</v>
      </c>
      <c r="AL48" s="365">
        <v>0</v>
      </c>
      <c r="AM48" s="366">
        <v>0</v>
      </c>
      <c r="AN48" s="366">
        <v>0</v>
      </c>
      <c r="AO48" s="366">
        <v>0</v>
      </c>
      <c r="AP48" s="366">
        <v>0</v>
      </c>
      <c r="AQ48" s="366">
        <v>9.9333333333333336</v>
      </c>
      <c r="AR48" s="366">
        <v>137.13333333333333</v>
      </c>
      <c r="AS48" s="366">
        <v>268.66666666666669</v>
      </c>
      <c r="AT48" s="366">
        <v>402.43333333333334</v>
      </c>
      <c r="AU48" s="366">
        <v>524.86666666666667</v>
      </c>
      <c r="AV48" s="366">
        <v>619.9</v>
      </c>
      <c r="AW48" s="366">
        <v>644.63333333333333</v>
      </c>
      <c r="AX48" s="366">
        <v>682.9</v>
      </c>
      <c r="AY48" s="366">
        <v>625.93333333333328</v>
      </c>
      <c r="AZ48" s="366">
        <v>520.29999999999995</v>
      </c>
      <c r="BA48" s="366">
        <v>382.13333333333333</v>
      </c>
      <c r="BB48" s="366">
        <v>241.8</v>
      </c>
      <c r="BC48" s="366">
        <v>100.03333333333333</v>
      </c>
      <c r="BD48" s="366">
        <v>3.2</v>
      </c>
      <c r="BE48" s="366">
        <v>0</v>
      </c>
      <c r="BF48" s="366">
        <v>0</v>
      </c>
      <c r="BG48" s="366">
        <v>0</v>
      </c>
      <c r="BH48" s="366">
        <v>0</v>
      </c>
      <c r="BI48" s="367">
        <v>0</v>
      </c>
      <c r="BJ48" s="429"/>
    </row>
    <row r="49" spans="1:62" ht="15" customHeight="1" x14ac:dyDescent="0.25">
      <c r="A49" s="363">
        <v>2001</v>
      </c>
      <c r="B49" s="364">
        <v>5</v>
      </c>
      <c r="C49" s="365">
        <v>15.939247311827955</v>
      </c>
      <c r="D49" s="367">
        <v>4.1325268817203868</v>
      </c>
      <c r="E49" s="366">
        <v>121.43384782358984</v>
      </c>
      <c r="F49" s="366">
        <v>132.35028499860675</v>
      </c>
      <c r="G49" s="366">
        <v>128.5001366804467</v>
      </c>
      <c r="H49" s="366">
        <v>98.770926110887544</v>
      </c>
      <c r="I49" s="366">
        <v>77.509745647180694</v>
      </c>
      <c r="J49" s="366">
        <v>115.98400059495205</v>
      </c>
      <c r="K49" s="366">
        <v>148.44228739101786</v>
      </c>
      <c r="L49" s="366">
        <v>143.03834613224893</v>
      </c>
      <c r="M49" s="367">
        <v>216.75806451612902</v>
      </c>
      <c r="N49" s="365">
        <v>13.245161290322581</v>
      </c>
      <c r="O49" s="366">
        <v>12.983870967741938</v>
      </c>
      <c r="P49" s="366">
        <v>12.764516129032257</v>
      </c>
      <c r="Q49" s="366">
        <v>12.483870967741934</v>
      </c>
      <c r="R49" s="366">
        <v>12.154838709677417</v>
      </c>
      <c r="S49" s="366">
        <v>13.203225806451606</v>
      </c>
      <c r="T49" s="366">
        <v>14.625806451612904</v>
      </c>
      <c r="U49" s="366">
        <v>16.161290322580644</v>
      </c>
      <c r="V49" s="366">
        <v>17.361290322580647</v>
      </c>
      <c r="W49" s="366">
        <v>18.116129032258065</v>
      </c>
      <c r="X49" s="366">
        <v>18.774193548387096</v>
      </c>
      <c r="Y49" s="366">
        <v>19.2258064516129</v>
      </c>
      <c r="Z49" s="366">
        <v>19.448387096774194</v>
      </c>
      <c r="AA49" s="366">
        <v>19.564516129032253</v>
      </c>
      <c r="AB49" s="366">
        <v>19.29032258064516</v>
      </c>
      <c r="AC49" s="366">
        <v>19.012903225806454</v>
      </c>
      <c r="AD49" s="366">
        <v>18.406451612903222</v>
      </c>
      <c r="AE49" s="366">
        <v>17.690322580645166</v>
      </c>
      <c r="AF49" s="366">
        <v>16.438709677419361</v>
      </c>
      <c r="AG49" s="366">
        <v>15.36451612903226</v>
      </c>
      <c r="AH49" s="366">
        <v>14.912903225806451</v>
      </c>
      <c r="AI49" s="366">
        <v>14.187096774193545</v>
      </c>
      <c r="AJ49" s="366">
        <v>13.596774193548383</v>
      </c>
      <c r="AK49" s="367">
        <v>13.529032258064511</v>
      </c>
      <c r="AL49" s="365">
        <v>0</v>
      </c>
      <c r="AM49" s="366">
        <v>0</v>
      </c>
      <c r="AN49" s="366">
        <v>0</v>
      </c>
      <c r="AO49" s="366">
        <v>0</v>
      </c>
      <c r="AP49" s="366">
        <v>0.70967741935483875</v>
      </c>
      <c r="AQ49" s="366">
        <v>87.064516129032256</v>
      </c>
      <c r="AR49" s="366">
        <v>200.09677419354838</v>
      </c>
      <c r="AS49" s="366">
        <v>333.41935483870969</v>
      </c>
      <c r="AT49" s="366">
        <v>443.25806451612902</v>
      </c>
      <c r="AU49" s="366">
        <v>554.29032258064512</v>
      </c>
      <c r="AV49" s="366">
        <v>563.61290322580646</v>
      </c>
      <c r="AW49" s="366">
        <v>588.22580645161293</v>
      </c>
      <c r="AX49" s="366">
        <v>569.9677419354839</v>
      </c>
      <c r="AY49" s="366">
        <v>537.41935483870964</v>
      </c>
      <c r="AZ49" s="366">
        <v>492.54838709677421</v>
      </c>
      <c r="BA49" s="366">
        <v>396.32258064516128</v>
      </c>
      <c r="BB49" s="366">
        <v>256.25806451612902</v>
      </c>
      <c r="BC49" s="366">
        <v>143.38709677419354</v>
      </c>
      <c r="BD49" s="366">
        <v>35.612903225806448</v>
      </c>
      <c r="BE49" s="366">
        <v>0</v>
      </c>
      <c r="BF49" s="366">
        <v>0</v>
      </c>
      <c r="BG49" s="366">
        <v>0</v>
      </c>
      <c r="BH49" s="366">
        <v>0</v>
      </c>
      <c r="BI49" s="367">
        <v>0</v>
      </c>
      <c r="BJ49" s="429"/>
    </row>
    <row r="50" spans="1:62" ht="15" customHeight="1" x14ac:dyDescent="0.25">
      <c r="A50" s="363">
        <v>2001</v>
      </c>
      <c r="B50" s="364">
        <v>6</v>
      </c>
      <c r="C50" s="365">
        <v>20.223611111111101</v>
      </c>
      <c r="D50" s="367">
        <v>3.3980555555555307</v>
      </c>
      <c r="E50" s="366">
        <v>114.58065290893688</v>
      </c>
      <c r="F50" s="366">
        <v>130.78646392878846</v>
      </c>
      <c r="G50" s="366">
        <v>135.02327501471896</v>
      </c>
      <c r="H50" s="366">
        <v>108.038633770998</v>
      </c>
      <c r="I50" s="366">
        <v>86.292558602927684</v>
      </c>
      <c r="J50" s="366">
        <v>133.49606914863563</v>
      </c>
      <c r="K50" s="366">
        <v>166.19109794370755</v>
      </c>
      <c r="L50" s="366">
        <v>149.2182069475603</v>
      </c>
      <c r="M50" s="367">
        <v>247.4638888888889</v>
      </c>
      <c r="N50" s="365">
        <v>16.783333333333328</v>
      </c>
      <c r="O50" s="366">
        <v>16.426666666666669</v>
      </c>
      <c r="P50" s="366">
        <v>16.04</v>
      </c>
      <c r="Q50" s="366">
        <v>15.456666666666669</v>
      </c>
      <c r="R50" s="366">
        <v>15.623333333333335</v>
      </c>
      <c r="S50" s="366">
        <v>17.113333333333333</v>
      </c>
      <c r="T50" s="366">
        <v>18.829999999999998</v>
      </c>
      <c r="U50" s="366">
        <v>20.04333333333334</v>
      </c>
      <c r="V50" s="366">
        <v>20.96</v>
      </c>
      <c r="W50" s="366">
        <v>21.95</v>
      </c>
      <c r="X50" s="366">
        <v>22.713333333333328</v>
      </c>
      <c r="Y50" s="366">
        <v>23.403333333333325</v>
      </c>
      <c r="Z50" s="366">
        <v>24.019999999999996</v>
      </c>
      <c r="AA50" s="366">
        <v>24.11</v>
      </c>
      <c r="AB50" s="366">
        <v>24.346666666666668</v>
      </c>
      <c r="AC50" s="366">
        <v>24.223333333333333</v>
      </c>
      <c r="AD50" s="366">
        <v>23.833333333333332</v>
      </c>
      <c r="AE50" s="366">
        <v>23.169999999999998</v>
      </c>
      <c r="AF50" s="366">
        <v>22.15666666666667</v>
      </c>
      <c r="AG50" s="366">
        <v>20.786666666666665</v>
      </c>
      <c r="AH50" s="366">
        <v>19.65666666666667</v>
      </c>
      <c r="AI50" s="366">
        <v>18.45</v>
      </c>
      <c r="AJ50" s="366">
        <v>18.176666666666669</v>
      </c>
      <c r="AK50" s="367">
        <v>17.093333333333337</v>
      </c>
      <c r="AL50" s="365">
        <v>0</v>
      </c>
      <c r="AM50" s="366">
        <v>0</v>
      </c>
      <c r="AN50" s="366">
        <v>0</v>
      </c>
      <c r="AO50" s="366">
        <v>0</v>
      </c>
      <c r="AP50" s="366">
        <v>4.0999999999999996</v>
      </c>
      <c r="AQ50" s="366">
        <v>99.63333333333334</v>
      </c>
      <c r="AR50" s="366">
        <v>214.5</v>
      </c>
      <c r="AS50" s="366">
        <v>335.6</v>
      </c>
      <c r="AT50" s="366">
        <v>444.7</v>
      </c>
      <c r="AU50" s="366">
        <v>555.43333333333328</v>
      </c>
      <c r="AV50" s="366">
        <v>614.66666666666663</v>
      </c>
      <c r="AW50" s="366">
        <v>661.43333333333328</v>
      </c>
      <c r="AX50" s="366">
        <v>664.16666666666663</v>
      </c>
      <c r="AY50" s="366">
        <v>656.9666666666667</v>
      </c>
      <c r="AZ50" s="366">
        <v>591.73333333333335</v>
      </c>
      <c r="BA50" s="366">
        <v>495.43333333333334</v>
      </c>
      <c r="BB50" s="366">
        <v>343.2</v>
      </c>
      <c r="BC50" s="366">
        <v>188.93333333333334</v>
      </c>
      <c r="BD50" s="366">
        <v>68.63333333333334</v>
      </c>
      <c r="BE50" s="366">
        <v>0</v>
      </c>
      <c r="BF50" s="366">
        <v>0</v>
      </c>
      <c r="BG50" s="366">
        <v>0</v>
      </c>
      <c r="BH50" s="366">
        <v>0</v>
      </c>
      <c r="BI50" s="367">
        <v>0</v>
      </c>
      <c r="BJ50" s="429"/>
    </row>
    <row r="51" spans="1:62" ht="15" customHeight="1" x14ac:dyDescent="0.25">
      <c r="A51" s="363">
        <v>2001</v>
      </c>
      <c r="B51" s="364">
        <v>7</v>
      </c>
      <c r="C51" s="365">
        <v>23.890725806451584</v>
      </c>
      <c r="D51" s="367">
        <v>3.3010752688171743</v>
      </c>
      <c r="E51" s="366">
        <v>125.26954707451668</v>
      </c>
      <c r="F51" s="366">
        <v>138.75859412423267</v>
      </c>
      <c r="G51" s="366">
        <v>136.14905041387507</v>
      </c>
      <c r="H51" s="366">
        <v>104.31923118881211</v>
      </c>
      <c r="I51" s="366">
        <v>80.610918613714048</v>
      </c>
      <c r="J51" s="366">
        <v>124.77972557117684</v>
      </c>
      <c r="K51" s="366">
        <v>160.08667003964598</v>
      </c>
      <c r="L51" s="366">
        <v>152.03349976082299</v>
      </c>
      <c r="M51" s="367">
        <v>254.39112903225808</v>
      </c>
      <c r="N51" s="365">
        <v>20.845161290322583</v>
      </c>
      <c r="O51" s="366">
        <v>20.441935483870967</v>
      </c>
      <c r="P51" s="366">
        <v>20.28709677419355</v>
      </c>
      <c r="Q51" s="366">
        <v>19.874193548387101</v>
      </c>
      <c r="R51" s="366">
        <v>19.912903225806449</v>
      </c>
      <c r="S51" s="366">
        <v>21.016129032258064</v>
      </c>
      <c r="T51" s="366">
        <v>22.438709677419357</v>
      </c>
      <c r="U51" s="366">
        <v>23.667741935483871</v>
      </c>
      <c r="V51" s="366">
        <v>24.951612903225808</v>
      </c>
      <c r="W51" s="366">
        <v>26.254838709677408</v>
      </c>
      <c r="X51" s="366">
        <v>26.758064516129028</v>
      </c>
      <c r="Y51" s="366">
        <v>27.341935483870962</v>
      </c>
      <c r="Z51" s="366">
        <v>27.835483870967746</v>
      </c>
      <c r="AA51" s="366">
        <v>27.848387096774193</v>
      </c>
      <c r="AB51" s="366">
        <v>27.722580645161294</v>
      </c>
      <c r="AC51" s="366">
        <v>27.438709677419357</v>
      </c>
      <c r="AD51" s="366">
        <v>26.919354838709673</v>
      </c>
      <c r="AE51" s="366">
        <v>26.232258064516127</v>
      </c>
      <c r="AF51" s="366">
        <v>25.032258064516128</v>
      </c>
      <c r="AG51" s="366">
        <v>23.64193548387097</v>
      </c>
      <c r="AH51" s="366">
        <v>22.838709677419352</v>
      </c>
      <c r="AI51" s="366">
        <v>21.9</v>
      </c>
      <c r="AJ51" s="366">
        <v>21.261290322580646</v>
      </c>
      <c r="AK51" s="367">
        <v>20.916129032258063</v>
      </c>
      <c r="AL51" s="365">
        <v>0</v>
      </c>
      <c r="AM51" s="366">
        <v>0</v>
      </c>
      <c r="AN51" s="366">
        <v>0</v>
      </c>
      <c r="AO51" s="366">
        <v>0</v>
      </c>
      <c r="AP51" s="366">
        <v>0.5161290322580645</v>
      </c>
      <c r="AQ51" s="366">
        <v>77.451612903225808</v>
      </c>
      <c r="AR51" s="366">
        <v>198.96774193548387</v>
      </c>
      <c r="AS51" s="366">
        <v>343.90322580645159</v>
      </c>
      <c r="AT51" s="366">
        <v>481.09677419354841</v>
      </c>
      <c r="AU51" s="366">
        <v>600.38709677419354</v>
      </c>
      <c r="AV51" s="366">
        <v>704.19354838709683</v>
      </c>
      <c r="AW51" s="366">
        <v>740.29032258064512</v>
      </c>
      <c r="AX51" s="366">
        <v>719.77419354838707</v>
      </c>
      <c r="AY51" s="366">
        <v>661.25806451612902</v>
      </c>
      <c r="AZ51" s="366">
        <v>572.09677419354841</v>
      </c>
      <c r="BA51" s="366">
        <v>458.38709677419354</v>
      </c>
      <c r="BB51" s="366">
        <v>313.29032258064518</v>
      </c>
      <c r="BC51" s="366">
        <v>173.70967741935485</v>
      </c>
      <c r="BD51" s="366">
        <v>60.064516129032256</v>
      </c>
      <c r="BE51" s="366">
        <v>0</v>
      </c>
      <c r="BF51" s="366">
        <v>0</v>
      </c>
      <c r="BG51" s="366">
        <v>0</v>
      </c>
      <c r="BH51" s="366">
        <v>0</v>
      </c>
      <c r="BI51" s="367">
        <v>0</v>
      </c>
      <c r="BJ51" s="429"/>
    </row>
    <row r="52" spans="1:62" ht="15" customHeight="1" x14ac:dyDescent="0.25">
      <c r="A52" s="363">
        <v>2001</v>
      </c>
      <c r="B52" s="364">
        <v>8</v>
      </c>
      <c r="C52" s="365">
        <v>23.019086021505412</v>
      </c>
      <c r="D52" s="367">
        <v>3.3362903225806142</v>
      </c>
      <c r="E52" s="366">
        <v>137.25557945827325</v>
      </c>
      <c r="F52" s="366">
        <v>137.13644514101219</v>
      </c>
      <c r="G52" s="366">
        <v>120.75108730646383</v>
      </c>
      <c r="H52" s="366">
        <v>85.040100013431726</v>
      </c>
      <c r="I52" s="366">
        <v>64.300383511801286</v>
      </c>
      <c r="J52" s="366">
        <v>101.5128970810604</v>
      </c>
      <c r="K52" s="366">
        <v>143.02386064331756</v>
      </c>
      <c r="L52" s="366">
        <v>151.80991945532062</v>
      </c>
      <c r="M52" s="367">
        <v>216.6008064516129</v>
      </c>
      <c r="N52" s="365">
        <v>20.548387096774196</v>
      </c>
      <c r="O52" s="366">
        <v>20.135483870967743</v>
      </c>
      <c r="P52" s="366">
        <v>19.987096774193549</v>
      </c>
      <c r="Q52" s="366">
        <v>19.687096774193552</v>
      </c>
      <c r="R52" s="366">
        <v>19.493548387096773</v>
      </c>
      <c r="S52" s="366">
        <v>20.019354838709674</v>
      </c>
      <c r="T52" s="366">
        <v>21.254838709677422</v>
      </c>
      <c r="U52" s="366">
        <v>22.832258064516132</v>
      </c>
      <c r="V52" s="366">
        <v>23.829032258064522</v>
      </c>
      <c r="W52" s="366">
        <v>24.606451612903225</v>
      </c>
      <c r="X52" s="366">
        <v>25.522580645161291</v>
      </c>
      <c r="Y52" s="366">
        <v>25.948387096774198</v>
      </c>
      <c r="Z52" s="366">
        <v>26.558064516129022</v>
      </c>
      <c r="AA52" s="366">
        <v>26.693548387096776</v>
      </c>
      <c r="AB52" s="366">
        <v>26.722580645161287</v>
      </c>
      <c r="AC52" s="366">
        <v>26.483870967741932</v>
      </c>
      <c r="AD52" s="366">
        <v>25.948387096774191</v>
      </c>
      <c r="AE52" s="366">
        <v>25.045161290322582</v>
      </c>
      <c r="AF52" s="366">
        <v>23.906451612903229</v>
      </c>
      <c r="AG52" s="366">
        <v>22.480645161290315</v>
      </c>
      <c r="AH52" s="366">
        <v>21.85483870967742</v>
      </c>
      <c r="AI52" s="366">
        <v>21.267741935483876</v>
      </c>
      <c r="AJ52" s="366">
        <v>20.938709677419361</v>
      </c>
      <c r="AK52" s="367">
        <v>20.693548387096779</v>
      </c>
      <c r="AL52" s="365">
        <v>0</v>
      </c>
      <c r="AM52" s="366">
        <v>0</v>
      </c>
      <c r="AN52" s="366">
        <v>0</v>
      </c>
      <c r="AO52" s="366">
        <v>0</v>
      </c>
      <c r="AP52" s="366">
        <v>0</v>
      </c>
      <c r="AQ52" s="366">
        <v>14.548387096774194</v>
      </c>
      <c r="AR52" s="366">
        <v>150.29032258064515</v>
      </c>
      <c r="AS52" s="366">
        <v>305.45161290322579</v>
      </c>
      <c r="AT52" s="366">
        <v>406.41935483870969</v>
      </c>
      <c r="AU52" s="366">
        <v>517.41935483870964</v>
      </c>
      <c r="AV52" s="366">
        <v>620.61290322580646</v>
      </c>
      <c r="AW52" s="366">
        <v>635.77419354838707</v>
      </c>
      <c r="AX52" s="366">
        <v>652.16129032258061</v>
      </c>
      <c r="AY52" s="366">
        <v>607.80645161290317</v>
      </c>
      <c r="AZ52" s="366">
        <v>510.32258064516128</v>
      </c>
      <c r="BA52" s="366">
        <v>382.61290322580646</v>
      </c>
      <c r="BB52" s="366">
        <v>254.45161290322579</v>
      </c>
      <c r="BC52" s="366">
        <v>125.80645161290323</v>
      </c>
      <c r="BD52" s="366">
        <v>14.741935483870968</v>
      </c>
      <c r="BE52" s="366">
        <v>0</v>
      </c>
      <c r="BF52" s="366">
        <v>0</v>
      </c>
      <c r="BG52" s="366">
        <v>0</v>
      </c>
      <c r="BH52" s="366">
        <v>0</v>
      </c>
      <c r="BI52" s="367">
        <v>0</v>
      </c>
      <c r="BJ52" s="429"/>
    </row>
    <row r="53" spans="1:62" ht="15" customHeight="1" x14ac:dyDescent="0.25">
      <c r="A53" s="363">
        <v>2001</v>
      </c>
      <c r="B53" s="364">
        <v>9</v>
      </c>
      <c r="C53" s="365">
        <v>16.930555555555575</v>
      </c>
      <c r="D53" s="367">
        <v>3.7281944444444126</v>
      </c>
      <c r="E53" s="366">
        <v>152.01771153358393</v>
      </c>
      <c r="F53" s="366">
        <v>131.07070385585439</v>
      </c>
      <c r="G53" s="366">
        <v>98.005351862797937</v>
      </c>
      <c r="H53" s="366">
        <v>59.802346953835787</v>
      </c>
      <c r="I53" s="366">
        <v>46.25659342612574</v>
      </c>
      <c r="J53" s="366">
        <v>73.593705138654144</v>
      </c>
      <c r="K53" s="366">
        <v>122.84905415330907</v>
      </c>
      <c r="L53" s="366">
        <v>152.23976085193397</v>
      </c>
      <c r="M53" s="367">
        <v>174.58750000000001</v>
      </c>
      <c r="N53" s="365">
        <v>14.413333333333334</v>
      </c>
      <c r="O53" s="366">
        <v>14.190000000000003</v>
      </c>
      <c r="P53" s="366">
        <v>14.143333333333336</v>
      </c>
      <c r="Q53" s="366">
        <v>13.710000000000003</v>
      </c>
      <c r="R53" s="366">
        <v>13.663333333333334</v>
      </c>
      <c r="S53" s="366">
        <v>13.75333333333333</v>
      </c>
      <c r="T53" s="366">
        <v>15.090000000000003</v>
      </c>
      <c r="U53" s="366">
        <v>16.463333333333335</v>
      </c>
      <c r="V53" s="366">
        <v>17.780000000000005</v>
      </c>
      <c r="W53" s="366">
        <v>18.850000000000001</v>
      </c>
      <c r="X53" s="366">
        <v>19.746666666666666</v>
      </c>
      <c r="Y53" s="366">
        <v>20.200000000000003</v>
      </c>
      <c r="Z53" s="366">
        <v>20.809999999999995</v>
      </c>
      <c r="AA53" s="366">
        <v>20.696666666666665</v>
      </c>
      <c r="AB53" s="366">
        <v>20.593333333333337</v>
      </c>
      <c r="AC53" s="366">
        <v>20.283333333333342</v>
      </c>
      <c r="AD53" s="366">
        <v>19.463333333333335</v>
      </c>
      <c r="AE53" s="366">
        <v>18.273333333333337</v>
      </c>
      <c r="AF53" s="366">
        <v>16.876666666666669</v>
      </c>
      <c r="AG53" s="366">
        <v>16.279999999999998</v>
      </c>
      <c r="AH53" s="366">
        <v>15.743333333333336</v>
      </c>
      <c r="AI53" s="366">
        <v>15.423333333333334</v>
      </c>
      <c r="AJ53" s="366">
        <v>15.006666666666668</v>
      </c>
      <c r="AK53" s="367">
        <v>14.88</v>
      </c>
      <c r="AL53" s="365">
        <v>0</v>
      </c>
      <c r="AM53" s="366">
        <v>0</v>
      </c>
      <c r="AN53" s="366">
        <v>0</v>
      </c>
      <c r="AO53" s="366">
        <v>0</v>
      </c>
      <c r="AP53" s="366">
        <v>0</v>
      </c>
      <c r="AQ53" s="366">
        <v>0.96666666666666667</v>
      </c>
      <c r="AR53" s="366">
        <v>93.4</v>
      </c>
      <c r="AS53" s="366">
        <v>223.96666666666667</v>
      </c>
      <c r="AT53" s="366">
        <v>348.23333333333335</v>
      </c>
      <c r="AU53" s="366">
        <v>458.4</v>
      </c>
      <c r="AV53" s="366">
        <v>557.06666666666672</v>
      </c>
      <c r="AW53" s="366">
        <v>533.79999999999995</v>
      </c>
      <c r="AX53" s="366">
        <v>575.06666666666672</v>
      </c>
      <c r="AY53" s="366">
        <v>489.26666666666665</v>
      </c>
      <c r="AZ53" s="366">
        <v>416.8</v>
      </c>
      <c r="BA53" s="366">
        <v>300.2</v>
      </c>
      <c r="BB53" s="366">
        <v>161.23333333333332</v>
      </c>
      <c r="BC53" s="366">
        <v>31.7</v>
      </c>
      <c r="BD53" s="366">
        <v>0</v>
      </c>
      <c r="BE53" s="366">
        <v>0</v>
      </c>
      <c r="BF53" s="366">
        <v>0</v>
      </c>
      <c r="BG53" s="366">
        <v>0</v>
      </c>
      <c r="BH53" s="366">
        <v>0</v>
      </c>
      <c r="BI53" s="367">
        <v>0</v>
      </c>
      <c r="BJ53" s="429"/>
    </row>
    <row r="54" spans="1:62" ht="15" customHeight="1" x14ac:dyDescent="0.25">
      <c r="A54" s="363">
        <v>2001</v>
      </c>
      <c r="B54" s="364">
        <v>10</v>
      </c>
      <c r="C54" s="365">
        <v>11.351881720430104</v>
      </c>
      <c r="D54" s="367">
        <v>4.6275537634408233</v>
      </c>
      <c r="E54" s="366">
        <v>128.65950860469329</v>
      </c>
      <c r="F54" s="366">
        <v>99.141283349474037</v>
      </c>
      <c r="G54" s="366">
        <v>60.89094305312031</v>
      </c>
      <c r="H54" s="366">
        <v>34.943094339892646</v>
      </c>
      <c r="I54" s="366">
        <v>31.363286351886146</v>
      </c>
      <c r="J54" s="366">
        <v>40.063508502899317</v>
      </c>
      <c r="K54" s="366">
        <v>75.164525375718853</v>
      </c>
      <c r="L54" s="366">
        <v>114.16415342774891</v>
      </c>
      <c r="M54" s="367">
        <v>106.28629032258064</v>
      </c>
      <c r="N54" s="365">
        <v>9.5741935483870968</v>
      </c>
      <c r="O54" s="366">
        <v>9.4064516129032274</v>
      </c>
      <c r="P54" s="366">
        <v>9.0935483870967726</v>
      </c>
      <c r="Q54" s="366">
        <v>8.8483870967741929</v>
      </c>
      <c r="R54" s="366">
        <v>8.6645161290322594</v>
      </c>
      <c r="S54" s="366">
        <v>8.5645161290322562</v>
      </c>
      <c r="T54" s="366">
        <v>8.8032258064516107</v>
      </c>
      <c r="U54" s="366">
        <v>10.093548387096773</v>
      </c>
      <c r="V54" s="366">
        <v>11.316129032258065</v>
      </c>
      <c r="W54" s="366">
        <v>12.56774193548387</v>
      </c>
      <c r="X54" s="366">
        <v>13.570967741935487</v>
      </c>
      <c r="Y54" s="366">
        <v>14.080645161290317</v>
      </c>
      <c r="Z54" s="366">
        <v>14.635483870967738</v>
      </c>
      <c r="AA54" s="366">
        <v>14.499999999999998</v>
      </c>
      <c r="AB54" s="366">
        <v>14.477419354838707</v>
      </c>
      <c r="AC54" s="366">
        <v>14.093548387096773</v>
      </c>
      <c r="AD54" s="366">
        <v>13.387096774193548</v>
      </c>
      <c r="AE54" s="366">
        <v>12.316129032258063</v>
      </c>
      <c r="AF54" s="366">
        <v>11.777419354838706</v>
      </c>
      <c r="AG54" s="366">
        <v>11.348387096774193</v>
      </c>
      <c r="AH54" s="366">
        <v>10.741935483870968</v>
      </c>
      <c r="AI54" s="366">
        <v>10.45161290322581</v>
      </c>
      <c r="AJ54" s="366">
        <v>10.329032258064517</v>
      </c>
      <c r="AK54" s="367">
        <v>9.8032258064516142</v>
      </c>
      <c r="AL54" s="365">
        <v>0</v>
      </c>
      <c r="AM54" s="366">
        <v>0</v>
      </c>
      <c r="AN54" s="366">
        <v>0</v>
      </c>
      <c r="AO54" s="366">
        <v>0</v>
      </c>
      <c r="AP54" s="366">
        <v>0</v>
      </c>
      <c r="AQ54" s="366">
        <v>0</v>
      </c>
      <c r="AR54" s="366">
        <v>12.451612903225806</v>
      </c>
      <c r="AS54" s="366">
        <v>125.6774193548387</v>
      </c>
      <c r="AT54" s="366">
        <v>220.12903225806451</v>
      </c>
      <c r="AU54" s="366">
        <v>323.06451612903226</v>
      </c>
      <c r="AV54" s="366">
        <v>377.90322580645159</v>
      </c>
      <c r="AW54" s="366">
        <v>385.93548387096774</v>
      </c>
      <c r="AX54" s="366">
        <v>369.67741935483872</v>
      </c>
      <c r="AY54" s="366">
        <v>326.45161290322579</v>
      </c>
      <c r="AZ54" s="366">
        <v>233.93548387096774</v>
      </c>
      <c r="BA54" s="366">
        <v>134.70967741935485</v>
      </c>
      <c r="BB54" s="366">
        <v>40.935483870967744</v>
      </c>
      <c r="BC54" s="366">
        <v>0</v>
      </c>
      <c r="BD54" s="366">
        <v>0</v>
      </c>
      <c r="BE54" s="366">
        <v>0</v>
      </c>
      <c r="BF54" s="366">
        <v>0</v>
      </c>
      <c r="BG54" s="366">
        <v>0</v>
      </c>
      <c r="BH54" s="366">
        <v>0</v>
      </c>
      <c r="BI54" s="367">
        <v>0</v>
      </c>
      <c r="BJ54" s="429"/>
    </row>
    <row r="55" spans="1:62" ht="15" x14ac:dyDescent="0.25">
      <c r="A55" s="363">
        <v>2001</v>
      </c>
      <c r="B55" s="364">
        <v>11</v>
      </c>
      <c r="C55" s="365">
        <v>9.3604166666666586</v>
      </c>
      <c r="D55" s="367">
        <v>4.1986111111110693</v>
      </c>
      <c r="E55" s="366">
        <v>131.77572528994926</v>
      </c>
      <c r="F55" s="366">
        <v>90.640521870067616</v>
      </c>
      <c r="G55" s="366">
        <v>45.150864632750718</v>
      </c>
      <c r="H55" s="366">
        <v>23.743715272528021</v>
      </c>
      <c r="I55" s="366">
        <v>22.743123184634918</v>
      </c>
      <c r="J55" s="366">
        <v>27.563037347296486</v>
      </c>
      <c r="K55" s="366">
        <v>65.139446378154062</v>
      </c>
      <c r="L55" s="366">
        <v>115.20480349869634</v>
      </c>
      <c r="M55" s="367">
        <v>82.026388888888889</v>
      </c>
      <c r="N55" s="365">
        <v>8.0366666666666671</v>
      </c>
      <c r="O55" s="366">
        <v>7.6966666666666681</v>
      </c>
      <c r="P55" s="366">
        <v>7.4800000000000013</v>
      </c>
      <c r="Q55" s="366">
        <v>7.1033333333333353</v>
      </c>
      <c r="R55" s="366">
        <v>6.9833333333333352</v>
      </c>
      <c r="S55" s="366">
        <v>6.6100000000000012</v>
      </c>
      <c r="T55" s="366">
        <v>6.2766666666666682</v>
      </c>
      <c r="U55" s="366">
        <v>7.42</v>
      </c>
      <c r="V55" s="366">
        <v>8.7833333333333314</v>
      </c>
      <c r="W55" s="366">
        <v>10.129999999999999</v>
      </c>
      <c r="X55" s="366">
        <v>11.220000000000004</v>
      </c>
      <c r="Y55" s="366">
        <v>12.05</v>
      </c>
      <c r="Z55" s="366">
        <v>12.57</v>
      </c>
      <c r="AA55" s="366">
        <v>12.799999999999999</v>
      </c>
      <c r="AB55" s="366">
        <v>12.666666666666664</v>
      </c>
      <c r="AC55" s="366">
        <v>11.946666666666669</v>
      </c>
      <c r="AD55" s="366">
        <v>10.923333333333336</v>
      </c>
      <c r="AE55" s="366">
        <v>10.110000000000001</v>
      </c>
      <c r="AF55" s="366">
        <v>9.8300000000000018</v>
      </c>
      <c r="AG55" s="366">
        <v>9.5166666666666675</v>
      </c>
      <c r="AH55" s="366">
        <v>9.0033333333333339</v>
      </c>
      <c r="AI55" s="366">
        <v>8.9600000000000026</v>
      </c>
      <c r="AJ55" s="366">
        <v>8.2466666666666661</v>
      </c>
      <c r="AK55" s="367">
        <v>8.2866666666666671</v>
      </c>
      <c r="AL55" s="365">
        <v>0</v>
      </c>
      <c r="AM55" s="366">
        <v>0</v>
      </c>
      <c r="AN55" s="366">
        <v>0</v>
      </c>
      <c r="AO55" s="366">
        <v>0</v>
      </c>
      <c r="AP55" s="366">
        <v>0</v>
      </c>
      <c r="AQ55" s="366">
        <v>0</v>
      </c>
      <c r="AR55" s="366">
        <v>0</v>
      </c>
      <c r="AS55" s="366">
        <v>57.133333333333333</v>
      </c>
      <c r="AT55" s="366">
        <v>162.23333333333332</v>
      </c>
      <c r="AU55" s="366">
        <v>240.6</v>
      </c>
      <c r="AV55" s="366">
        <v>310.93333333333334</v>
      </c>
      <c r="AW55" s="366">
        <v>323.89999999999998</v>
      </c>
      <c r="AX55" s="366">
        <v>325</v>
      </c>
      <c r="AY55" s="366">
        <v>265.89999999999998</v>
      </c>
      <c r="AZ55" s="366">
        <v>196.66666666666666</v>
      </c>
      <c r="BA55" s="366">
        <v>84.533333333333331</v>
      </c>
      <c r="BB55" s="366">
        <v>1.7333333333333334</v>
      </c>
      <c r="BC55" s="366">
        <v>0</v>
      </c>
      <c r="BD55" s="366">
        <v>0</v>
      </c>
      <c r="BE55" s="366">
        <v>0</v>
      </c>
      <c r="BF55" s="366">
        <v>0</v>
      </c>
      <c r="BG55" s="366">
        <v>0</v>
      </c>
      <c r="BH55" s="366">
        <v>0</v>
      </c>
      <c r="BI55" s="367">
        <v>0</v>
      </c>
      <c r="BJ55" s="429"/>
    </row>
    <row r="56" spans="1:62" ht="15" x14ac:dyDescent="0.25">
      <c r="A56" s="368">
        <v>2001</v>
      </c>
      <c r="B56" s="369">
        <v>12</v>
      </c>
      <c r="C56" s="370">
        <v>1.037046979865766</v>
      </c>
      <c r="D56" s="372">
        <v>4.3077852348992769</v>
      </c>
      <c r="E56" s="371">
        <v>108.3529224983329</v>
      </c>
      <c r="F56" s="371">
        <v>75.973089217989084</v>
      </c>
      <c r="G56" s="371">
        <v>35.815610396609799</v>
      </c>
      <c r="H56" s="371">
        <v>19.323820892779626</v>
      </c>
      <c r="I56" s="371">
        <v>19.025583281705188</v>
      </c>
      <c r="J56" s="371">
        <v>20.882162274527083</v>
      </c>
      <c r="K56" s="371">
        <v>47.194046701463712</v>
      </c>
      <c r="L56" s="371">
        <v>90.642946440909057</v>
      </c>
      <c r="M56" s="372">
        <v>59.851006711409397</v>
      </c>
      <c r="N56" s="370">
        <v>8.7096774193548818E-2</v>
      </c>
      <c r="O56" s="371">
        <v>5.1612903225807187E-2</v>
      </c>
      <c r="P56" s="371">
        <v>-0.25483870967741878</v>
      </c>
      <c r="Q56" s="371">
        <v>-0.40322580645161304</v>
      </c>
      <c r="R56" s="371">
        <v>-0.6935483870967738</v>
      </c>
      <c r="S56" s="371">
        <v>-0.78064516129032235</v>
      </c>
      <c r="T56" s="371">
        <v>-0.98387096774193528</v>
      </c>
      <c r="U56" s="371">
        <v>-0.77096774193548367</v>
      </c>
      <c r="V56" s="371">
        <v>0.19354838709677397</v>
      </c>
      <c r="W56" s="371">
        <v>1.2967741935483872</v>
      </c>
      <c r="X56" s="371">
        <v>2.2935483870967723</v>
      </c>
      <c r="Y56" s="371">
        <v>2.8838709677419363</v>
      </c>
      <c r="Z56" s="371">
        <v>3.4677419354838714</v>
      </c>
      <c r="AA56" s="371">
        <v>3.5999999999999988</v>
      </c>
      <c r="AB56" s="371">
        <v>3.4064516129032261</v>
      </c>
      <c r="AC56" s="371">
        <v>2.8129032258064508</v>
      </c>
      <c r="AD56" s="371">
        <v>2.1387096774193539</v>
      </c>
      <c r="AE56" s="371">
        <v>1.6935483870967734</v>
      </c>
      <c r="AF56" s="371">
        <v>1.4354838709677409</v>
      </c>
      <c r="AG56" s="371">
        <v>1.187096774193549</v>
      </c>
      <c r="AH56" s="371">
        <v>1.0483870967741935</v>
      </c>
      <c r="AI56" s="371">
        <v>0.82258064516129148</v>
      </c>
      <c r="AJ56" s="371">
        <v>0.28387096774193588</v>
      </c>
      <c r="AK56" s="372">
        <v>0.10312499999999991</v>
      </c>
      <c r="AL56" s="370">
        <v>0</v>
      </c>
      <c r="AM56" s="371">
        <v>0</v>
      </c>
      <c r="AN56" s="371">
        <v>0</v>
      </c>
      <c r="AO56" s="371">
        <v>0</v>
      </c>
      <c r="AP56" s="371">
        <v>0</v>
      </c>
      <c r="AQ56" s="371">
        <v>0</v>
      </c>
      <c r="AR56" s="371">
        <v>0</v>
      </c>
      <c r="AS56" s="371">
        <v>2.161290322580645</v>
      </c>
      <c r="AT56" s="371">
        <v>109.64516129032258</v>
      </c>
      <c r="AU56" s="371">
        <v>180.67741935483872</v>
      </c>
      <c r="AV56" s="371">
        <v>235.16129032258064</v>
      </c>
      <c r="AW56" s="371">
        <v>252.09677419354838</v>
      </c>
      <c r="AX56" s="371">
        <v>257.19354838709677</v>
      </c>
      <c r="AY56" s="371">
        <v>197.61290322580646</v>
      </c>
      <c r="AZ56" s="371">
        <v>144.09677419354838</v>
      </c>
      <c r="BA56" s="371">
        <v>59.70967741935484</v>
      </c>
      <c r="BB56" s="371">
        <v>0</v>
      </c>
      <c r="BC56" s="371">
        <v>0</v>
      </c>
      <c r="BD56" s="371">
        <v>0</v>
      </c>
      <c r="BE56" s="371">
        <v>0</v>
      </c>
      <c r="BF56" s="371">
        <v>0</v>
      </c>
      <c r="BG56" s="371">
        <v>0</v>
      </c>
      <c r="BH56" s="371">
        <v>0</v>
      </c>
      <c r="BI56" s="372">
        <v>0</v>
      </c>
      <c r="BJ56" s="429"/>
    </row>
    <row r="57" spans="1:62" ht="15" x14ac:dyDescent="0.25">
      <c r="A57" s="347">
        <v>2002</v>
      </c>
      <c r="B57" s="348">
        <v>1</v>
      </c>
      <c r="C57" s="349">
        <v>-3.2705248990579958E-2</v>
      </c>
      <c r="D57" s="351">
        <v>4.5965006729474549</v>
      </c>
      <c r="E57" s="350">
        <v>140.19932624611707</v>
      </c>
      <c r="F57" s="350">
        <v>94.277265730004018</v>
      </c>
      <c r="G57" s="350">
        <v>43.637282706235951</v>
      </c>
      <c r="H57" s="350">
        <v>22.188754384622509</v>
      </c>
      <c r="I57" s="350">
        <v>21.586299067887897</v>
      </c>
      <c r="J57" s="350">
        <v>25.332278469525559</v>
      </c>
      <c r="K57" s="350">
        <v>64.818317342367678</v>
      </c>
      <c r="L57" s="350">
        <v>121.20693083208177</v>
      </c>
      <c r="M57" s="351">
        <v>78.798115746971732</v>
      </c>
      <c r="N57" s="349">
        <v>-1.1129032258064513</v>
      </c>
      <c r="O57" s="350">
        <v>-1.5387096774193552</v>
      </c>
      <c r="P57" s="350">
        <v>-1.8516129032258068</v>
      </c>
      <c r="Q57" s="350">
        <v>-2.1000000000000005</v>
      </c>
      <c r="R57" s="350">
        <v>-2.3451612903225807</v>
      </c>
      <c r="S57" s="350">
        <v>-2.6387096774193544</v>
      </c>
      <c r="T57" s="350">
        <v>-2.6645161290322572</v>
      </c>
      <c r="U57" s="350">
        <v>-2.2935483870967746</v>
      </c>
      <c r="V57" s="350">
        <v>-1.2161290322580649</v>
      </c>
      <c r="W57" s="350">
        <v>-0.19032258064516142</v>
      </c>
      <c r="X57" s="350">
        <v>0.91935483870967738</v>
      </c>
      <c r="Y57" s="350">
        <v>1.7000000000000004</v>
      </c>
      <c r="Z57" s="350">
        <v>2.4354838709677415</v>
      </c>
      <c r="AA57" s="350">
        <v>2.8516129032258068</v>
      </c>
      <c r="AB57" s="350">
        <v>2.9580645161290313</v>
      </c>
      <c r="AC57" s="350">
        <v>2.4935483870967743</v>
      </c>
      <c r="AD57" s="350">
        <v>1.796774193548387</v>
      </c>
      <c r="AE57" s="350">
        <v>1.2612903225806449</v>
      </c>
      <c r="AF57" s="350">
        <v>0.78387096774193532</v>
      </c>
      <c r="AG57" s="350">
        <v>0.43548387096774199</v>
      </c>
      <c r="AH57" s="350">
        <v>0.22258064516129022</v>
      </c>
      <c r="AI57" s="350">
        <v>2.9032258064515988E-2</v>
      </c>
      <c r="AJ57" s="350">
        <v>-0.25161290322580709</v>
      </c>
      <c r="AK57" s="351">
        <v>-0.483333333333333</v>
      </c>
      <c r="AL57" s="349">
        <v>0</v>
      </c>
      <c r="AM57" s="350">
        <v>0</v>
      </c>
      <c r="AN57" s="350">
        <v>0</v>
      </c>
      <c r="AO57" s="350">
        <v>0</v>
      </c>
      <c r="AP57" s="350">
        <v>0</v>
      </c>
      <c r="AQ57" s="350">
        <v>0</v>
      </c>
      <c r="AR57" s="350">
        <v>0</v>
      </c>
      <c r="AS57" s="350">
        <v>5.580645161290323</v>
      </c>
      <c r="AT57" s="350">
        <v>114.7741935483871</v>
      </c>
      <c r="AU57" s="350">
        <v>204.93548387096774</v>
      </c>
      <c r="AV57" s="350">
        <v>283.77419354838707</v>
      </c>
      <c r="AW57" s="350">
        <v>309</v>
      </c>
      <c r="AX57" s="350">
        <v>334.35483870967744</v>
      </c>
      <c r="AY57" s="350">
        <v>286.45161290322579</v>
      </c>
      <c r="AZ57" s="350">
        <v>221.70967741935485</v>
      </c>
      <c r="BA57" s="350">
        <v>115.45161290322581</v>
      </c>
      <c r="BB57" s="350">
        <v>12.580645161290322</v>
      </c>
      <c r="BC57" s="350">
        <v>0</v>
      </c>
      <c r="BD57" s="350">
        <v>0</v>
      </c>
      <c r="BE57" s="350">
        <v>0</v>
      </c>
      <c r="BF57" s="350">
        <v>0</v>
      </c>
      <c r="BG57" s="350">
        <v>0</v>
      </c>
      <c r="BH57" s="350">
        <v>0</v>
      </c>
      <c r="BI57" s="351">
        <v>0</v>
      </c>
      <c r="BJ57" s="429"/>
    </row>
    <row r="58" spans="1:62" ht="15" x14ac:dyDescent="0.25">
      <c r="A58" s="347">
        <v>2002</v>
      </c>
      <c r="B58" s="348">
        <v>2</v>
      </c>
      <c r="C58" s="352">
        <v>0.21815476190476088</v>
      </c>
      <c r="D58" s="354">
        <v>5.3050595238094775</v>
      </c>
      <c r="E58" s="353">
        <v>156.21227953480096</v>
      </c>
      <c r="F58" s="353">
        <v>116.05672333458472</v>
      </c>
      <c r="G58" s="353">
        <v>65.149663482721309</v>
      </c>
      <c r="H58" s="353">
        <v>33.457024878534831</v>
      </c>
      <c r="I58" s="353">
        <v>29.96383657722102</v>
      </c>
      <c r="J58" s="353">
        <v>39.412302433856865</v>
      </c>
      <c r="K58" s="353">
        <v>83.388100973425409</v>
      </c>
      <c r="L58" s="353">
        <v>135.98424447653687</v>
      </c>
      <c r="M58" s="354">
        <v>111.47619047619048</v>
      </c>
      <c r="N58" s="352">
        <v>-0.63214285714285734</v>
      </c>
      <c r="O58" s="353">
        <v>-0.90714285714285714</v>
      </c>
      <c r="P58" s="353">
        <v>-1.2749999999999999</v>
      </c>
      <c r="Q58" s="353">
        <v>-1.7250000000000001</v>
      </c>
      <c r="R58" s="353">
        <v>-1.9214285714285715</v>
      </c>
      <c r="S58" s="353">
        <v>-2.160714285714286</v>
      </c>
      <c r="T58" s="353">
        <v>-2.3071428571428574</v>
      </c>
      <c r="U58" s="353">
        <v>-1.8642857142857145</v>
      </c>
      <c r="V58" s="353">
        <v>-0.77500000000000036</v>
      </c>
      <c r="W58" s="353">
        <v>0.2392857142857143</v>
      </c>
      <c r="X58" s="353">
        <v>1.228571428571428</v>
      </c>
      <c r="Y58" s="353">
        <v>1.8785714285714283</v>
      </c>
      <c r="Z58" s="353">
        <v>2.3678571428571429</v>
      </c>
      <c r="AA58" s="353">
        <v>2.8249999999999997</v>
      </c>
      <c r="AB58" s="353">
        <v>3.0464285714285713</v>
      </c>
      <c r="AC58" s="353">
        <v>2.782142857142857</v>
      </c>
      <c r="AD58" s="353">
        <v>2.0964285714285711</v>
      </c>
      <c r="AE58" s="353">
        <v>1.4321428571428569</v>
      </c>
      <c r="AF58" s="353">
        <v>0.87142857142857133</v>
      </c>
      <c r="AG58" s="353">
        <v>0.58214285714285707</v>
      </c>
      <c r="AH58" s="353">
        <v>0.11428571428571425</v>
      </c>
      <c r="AI58" s="353">
        <v>-2.5000000000000029E-2</v>
      </c>
      <c r="AJ58" s="353">
        <v>-0.29642857142857143</v>
      </c>
      <c r="AK58" s="354">
        <v>-0.33928571428571414</v>
      </c>
      <c r="AL58" s="352">
        <v>0</v>
      </c>
      <c r="AM58" s="353">
        <v>0</v>
      </c>
      <c r="AN58" s="353">
        <v>0</v>
      </c>
      <c r="AO58" s="353">
        <v>0</v>
      </c>
      <c r="AP58" s="353">
        <v>0</v>
      </c>
      <c r="AQ58" s="353">
        <v>0</v>
      </c>
      <c r="AR58" s="353">
        <v>0</v>
      </c>
      <c r="AS58" s="353">
        <v>64.357142857142861</v>
      </c>
      <c r="AT58" s="353">
        <v>194.64285714285714</v>
      </c>
      <c r="AU58" s="353">
        <v>292.42857142857144</v>
      </c>
      <c r="AV58" s="353">
        <v>369.57142857142856</v>
      </c>
      <c r="AW58" s="353">
        <v>404.92857142857144</v>
      </c>
      <c r="AX58" s="353">
        <v>420.85714285714283</v>
      </c>
      <c r="AY58" s="353">
        <v>366.89285714285717</v>
      </c>
      <c r="AZ58" s="353">
        <v>284.10714285714283</v>
      </c>
      <c r="BA58" s="353">
        <v>195.75</v>
      </c>
      <c r="BB58" s="353">
        <v>81.392857142857139</v>
      </c>
      <c r="BC58" s="353">
        <v>0.5</v>
      </c>
      <c r="BD58" s="353">
        <v>0</v>
      </c>
      <c r="BE58" s="353">
        <v>0</v>
      </c>
      <c r="BF58" s="353">
        <v>0</v>
      </c>
      <c r="BG58" s="353">
        <v>0</v>
      </c>
      <c r="BH58" s="353">
        <v>0</v>
      </c>
      <c r="BI58" s="354">
        <v>0</v>
      </c>
      <c r="BJ58" s="429"/>
    </row>
    <row r="59" spans="1:62" ht="15" x14ac:dyDescent="0.25">
      <c r="A59" s="347">
        <v>2002</v>
      </c>
      <c r="B59" s="348">
        <v>3</v>
      </c>
      <c r="C59" s="352">
        <v>1.3043010752688193</v>
      </c>
      <c r="D59" s="354">
        <v>5.233736559139742</v>
      </c>
      <c r="E59" s="353">
        <v>158.50726728261898</v>
      </c>
      <c r="F59" s="353">
        <v>130.22662265506435</v>
      </c>
      <c r="G59" s="353">
        <v>89.140415908302188</v>
      </c>
      <c r="H59" s="353">
        <v>53.629496003255063</v>
      </c>
      <c r="I59" s="353">
        <v>43.806397229901179</v>
      </c>
      <c r="J59" s="353">
        <v>66.146615353325473</v>
      </c>
      <c r="K59" s="353">
        <v>113.80235407616232</v>
      </c>
      <c r="L59" s="353">
        <v>152.46897796318447</v>
      </c>
      <c r="M59" s="354">
        <v>157.8763440860215</v>
      </c>
      <c r="N59" s="352">
        <v>-7.0967741935483872E-2</v>
      </c>
      <c r="O59" s="353">
        <v>-0.42580645161290298</v>
      </c>
      <c r="P59" s="353">
        <v>-0.78387096774193532</v>
      </c>
      <c r="Q59" s="353">
        <v>-0.78387096774193521</v>
      </c>
      <c r="R59" s="353">
        <v>-1.0741935483870966</v>
      </c>
      <c r="S59" s="353">
        <v>-1.2129032258064514</v>
      </c>
      <c r="T59" s="353">
        <v>-0.96774193548387089</v>
      </c>
      <c r="U59" s="353">
        <v>2.9032258064516141E-2</v>
      </c>
      <c r="V59" s="353">
        <v>1.0935483870967742</v>
      </c>
      <c r="W59" s="353">
        <v>1.7967741935483872</v>
      </c>
      <c r="X59" s="353">
        <v>2.6129032258064515</v>
      </c>
      <c r="Y59" s="353">
        <v>2.9612903225806453</v>
      </c>
      <c r="Z59" s="353">
        <v>3.532258064516129</v>
      </c>
      <c r="AA59" s="353">
        <v>3.8354838709677419</v>
      </c>
      <c r="AB59" s="353">
        <v>3.9903225806451612</v>
      </c>
      <c r="AC59" s="353">
        <v>3.8580645161290321</v>
      </c>
      <c r="AD59" s="353">
        <v>3.4193548387096784</v>
      </c>
      <c r="AE59" s="353">
        <v>2.5967741935483861</v>
      </c>
      <c r="AF59" s="353">
        <v>1.8483870967741935</v>
      </c>
      <c r="AG59" s="353">
        <v>1.5451612903225809</v>
      </c>
      <c r="AH59" s="353">
        <v>1.3225806451612905</v>
      </c>
      <c r="AI59" s="353">
        <v>1.0580645161290325</v>
      </c>
      <c r="AJ59" s="353">
        <v>0.81612903225806466</v>
      </c>
      <c r="AK59" s="354">
        <v>0.30645161290322603</v>
      </c>
      <c r="AL59" s="352">
        <v>0</v>
      </c>
      <c r="AM59" s="353">
        <v>0</v>
      </c>
      <c r="AN59" s="353">
        <v>0</v>
      </c>
      <c r="AO59" s="353">
        <v>0</v>
      </c>
      <c r="AP59" s="353">
        <v>0</v>
      </c>
      <c r="AQ59" s="353">
        <v>0</v>
      </c>
      <c r="AR59" s="353">
        <v>23.161290322580644</v>
      </c>
      <c r="AS59" s="353">
        <v>178.80645161290323</v>
      </c>
      <c r="AT59" s="353">
        <v>278.74193548387098</v>
      </c>
      <c r="AU59" s="353">
        <v>377.80645161290323</v>
      </c>
      <c r="AV59" s="353">
        <v>490.58064516129031</v>
      </c>
      <c r="AW59" s="353">
        <v>552.29032258064512</v>
      </c>
      <c r="AX59" s="353">
        <v>536.87096774193549</v>
      </c>
      <c r="AY59" s="353">
        <v>463.96774193548384</v>
      </c>
      <c r="AZ59" s="353">
        <v>400.09677419354841</v>
      </c>
      <c r="BA59" s="353">
        <v>291.45161290322579</v>
      </c>
      <c r="BB59" s="353">
        <v>159.25806451612902</v>
      </c>
      <c r="BC59" s="353">
        <v>36</v>
      </c>
      <c r="BD59" s="353">
        <v>0</v>
      </c>
      <c r="BE59" s="353">
        <v>0</v>
      </c>
      <c r="BF59" s="353">
        <v>0</v>
      </c>
      <c r="BG59" s="353">
        <v>0</v>
      </c>
      <c r="BH59" s="353">
        <v>0</v>
      </c>
      <c r="BI59" s="354">
        <v>0</v>
      </c>
      <c r="BJ59" s="429"/>
    </row>
    <row r="60" spans="1:62" ht="15" x14ac:dyDescent="0.25">
      <c r="A60" s="347">
        <v>2002</v>
      </c>
      <c r="B60" s="348">
        <v>4</v>
      </c>
      <c r="C60" s="352">
        <v>9.941944444444454</v>
      </c>
      <c r="D60" s="354">
        <v>4.829305555555532</v>
      </c>
      <c r="E60" s="353">
        <v>129.54571922468008</v>
      </c>
      <c r="F60" s="353">
        <v>123.91942686761442</v>
      </c>
      <c r="G60" s="353">
        <v>104.91217158295014</v>
      </c>
      <c r="H60" s="353">
        <v>71.359002342574854</v>
      </c>
      <c r="I60" s="353">
        <v>54.123489094092776</v>
      </c>
      <c r="J60" s="353">
        <v>84.55601237335236</v>
      </c>
      <c r="K60" s="353">
        <v>124.64504199091182</v>
      </c>
      <c r="L60" s="353">
        <v>138.29984982056544</v>
      </c>
      <c r="M60" s="354">
        <v>183.0888888888889</v>
      </c>
      <c r="N60" s="352">
        <v>7.8233333333333333</v>
      </c>
      <c r="O60" s="353">
        <v>7.6133333333333342</v>
      </c>
      <c r="P60" s="353">
        <v>7.573333333333335</v>
      </c>
      <c r="Q60" s="353">
        <v>7.1933333333333342</v>
      </c>
      <c r="R60" s="353">
        <v>6.9566666666666652</v>
      </c>
      <c r="S60" s="353">
        <v>7.0366666666666662</v>
      </c>
      <c r="T60" s="353">
        <v>8.0933333333333319</v>
      </c>
      <c r="U60" s="353">
        <v>9.2566666666666642</v>
      </c>
      <c r="V60" s="353">
        <v>10.186666666666669</v>
      </c>
      <c r="W60" s="353">
        <v>10.946666666666662</v>
      </c>
      <c r="X60" s="353">
        <v>11.793333333333333</v>
      </c>
      <c r="Y60" s="353">
        <v>12.276666666666671</v>
      </c>
      <c r="Z60" s="353">
        <v>12.763333333333337</v>
      </c>
      <c r="AA60" s="353">
        <v>13.120000000000001</v>
      </c>
      <c r="AB60" s="353">
        <v>13.01333333333333</v>
      </c>
      <c r="AC60" s="353">
        <v>12.840000000000002</v>
      </c>
      <c r="AD60" s="353">
        <v>12.409999999999998</v>
      </c>
      <c r="AE60" s="353">
        <v>11.503333333333336</v>
      </c>
      <c r="AF60" s="353">
        <v>10.576666666666666</v>
      </c>
      <c r="AG60" s="353">
        <v>9.8800000000000026</v>
      </c>
      <c r="AH60" s="353">
        <v>9.4866666666666699</v>
      </c>
      <c r="AI60" s="353">
        <v>9.1666666666666661</v>
      </c>
      <c r="AJ60" s="353">
        <v>8.9299999999999979</v>
      </c>
      <c r="AK60" s="354">
        <v>8.1666666666666661</v>
      </c>
      <c r="AL60" s="352">
        <v>0</v>
      </c>
      <c r="AM60" s="353">
        <v>0</v>
      </c>
      <c r="AN60" s="353">
        <v>0</v>
      </c>
      <c r="AO60" s="353">
        <v>0</v>
      </c>
      <c r="AP60" s="353">
        <v>0</v>
      </c>
      <c r="AQ60" s="353">
        <v>7.1333333333333337</v>
      </c>
      <c r="AR60" s="353">
        <v>148.4</v>
      </c>
      <c r="AS60" s="353">
        <v>241.53333333333333</v>
      </c>
      <c r="AT60" s="353">
        <v>371.53333333333336</v>
      </c>
      <c r="AU60" s="353">
        <v>463.8</v>
      </c>
      <c r="AV60" s="353">
        <v>516.1</v>
      </c>
      <c r="AW60" s="353">
        <v>548.5333333333333</v>
      </c>
      <c r="AX60" s="353">
        <v>519.5</v>
      </c>
      <c r="AY60" s="353">
        <v>528.93333333333328</v>
      </c>
      <c r="AZ60" s="353">
        <v>438.93333333333334</v>
      </c>
      <c r="BA60" s="353">
        <v>327.93333333333334</v>
      </c>
      <c r="BB60" s="353">
        <v>193.56666666666666</v>
      </c>
      <c r="BC60" s="353">
        <v>85.533333333333331</v>
      </c>
      <c r="BD60" s="353">
        <v>2.7</v>
      </c>
      <c r="BE60" s="353">
        <v>0</v>
      </c>
      <c r="BF60" s="353">
        <v>0</v>
      </c>
      <c r="BG60" s="353">
        <v>0</v>
      </c>
      <c r="BH60" s="353">
        <v>0</v>
      </c>
      <c r="BI60" s="354">
        <v>0</v>
      </c>
      <c r="BJ60" s="429"/>
    </row>
    <row r="61" spans="1:62" ht="15" x14ac:dyDescent="0.25">
      <c r="A61" s="347">
        <v>2002</v>
      </c>
      <c r="B61" s="348">
        <v>5</v>
      </c>
      <c r="C61" s="352">
        <v>13.013844086021509</v>
      </c>
      <c r="D61" s="354">
        <v>4.6116935483870494</v>
      </c>
      <c r="E61" s="353">
        <v>118.14100151813848</v>
      </c>
      <c r="F61" s="353">
        <v>125.41885353215295</v>
      </c>
      <c r="G61" s="353">
        <v>120.58340576983495</v>
      </c>
      <c r="H61" s="353">
        <v>92.418871002537401</v>
      </c>
      <c r="I61" s="353">
        <v>73.25523167976985</v>
      </c>
      <c r="J61" s="353">
        <v>113.82323536438383</v>
      </c>
      <c r="K61" s="353">
        <v>148.33934186191712</v>
      </c>
      <c r="L61" s="353">
        <v>142.97082247155578</v>
      </c>
      <c r="M61" s="354">
        <v>216.78494623655914</v>
      </c>
      <c r="N61" s="352">
        <v>10.932258064516125</v>
      </c>
      <c r="O61" s="353">
        <v>10.606451612903223</v>
      </c>
      <c r="P61" s="353">
        <v>10.203225806451613</v>
      </c>
      <c r="Q61" s="353">
        <v>9.7677419354838708</v>
      </c>
      <c r="R61" s="353">
        <v>9.3612903225806452</v>
      </c>
      <c r="S61" s="353">
        <v>10.28709677419355</v>
      </c>
      <c r="T61" s="353">
        <v>11.525806451612905</v>
      </c>
      <c r="U61" s="353">
        <v>12.658064516129032</v>
      </c>
      <c r="V61" s="353">
        <v>13.6</v>
      </c>
      <c r="W61" s="353">
        <v>14.425806451612903</v>
      </c>
      <c r="X61" s="353">
        <v>14.82258064516129</v>
      </c>
      <c r="Y61" s="353">
        <v>15.377419354838709</v>
      </c>
      <c r="Z61" s="353">
        <v>16.019354838709681</v>
      </c>
      <c r="AA61" s="353">
        <v>16.219354838709673</v>
      </c>
      <c r="AB61" s="353">
        <v>16.099999999999994</v>
      </c>
      <c r="AC61" s="353">
        <v>15.977419354838707</v>
      </c>
      <c r="AD61" s="353">
        <v>15.558064516129031</v>
      </c>
      <c r="AE61" s="353">
        <v>14.909677419354843</v>
      </c>
      <c r="AF61" s="353">
        <v>13.906451612903222</v>
      </c>
      <c r="AG61" s="353">
        <v>12.941935483870969</v>
      </c>
      <c r="AH61" s="353">
        <v>12.264516129032257</v>
      </c>
      <c r="AI61" s="353">
        <v>12.032258064516132</v>
      </c>
      <c r="AJ61" s="353">
        <v>11.761290322580649</v>
      </c>
      <c r="AK61" s="354">
        <v>11.074193548387097</v>
      </c>
      <c r="AL61" s="352">
        <v>0</v>
      </c>
      <c r="AM61" s="353">
        <v>0</v>
      </c>
      <c r="AN61" s="353">
        <v>0</v>
      </c>
      <c r="AO61" s="353">
        <v>0</v>
      </c>
      <c r="AP61" s="353">
        <v>0.74193548387096775</v>
      </c>
      <c r="AQ61" s="353">
        <v>84.129032258064512</v>
      </c>
      <c r="AR61" s="353">
        <v>185.06451612903226</v>
      </c>
      <c r="AS61" s="353">
        <v>287.32258064516128</v>
      </c>
      <c r="AT61" s="353">
        <v>424.35483870967744</v>
      </c>
      <c r="AU61" s="353">
        <v>502.25806451612902</v>
      </c>
      <c r="AV61" s="353">
        <v>590.25806451612902</v>
      </c>
      <c r="AW61" s="353">
        <v>607.12903225806451</v>
      </c>
      <c r="AX61" s="353">
        <v>613.61290322580646</v>
      </c>
      <c r="AY61" s="353">
        <v>581.93548387096769</v>
      </c>
      <c r="AZ61" s="353">
        <v>469.06451612903226</v>
      </c>
      <c r="BA61" s="353">
        <v>404.83870967741933</v>
      </c>
      <c r="BB61" s="353">
        <v>276.64516129032256</v>
      </c>
      <c r="BC61" s="353">
        <v>140.38709677419354</v>
      </c>
      <c r="BD61" s="353">
        <v>35.096774193548384</v>
      </c>
      <c r="BE61" s="353">
        <v>0</v>
      </c>
      <c r="BF61" s="353">
        <v>0</v>
      </c>
      <c r="BG61" s="353">
        <v>0</v>
      </c>
      <c r="BH61" s="353">
        <v>0</v>
      </c>
      <c r="BI61" s="354">
        <v>0</v>
      </c>
      <c r="BJ61" s="429"/>
    </row>
    <row r="62" spans="1:62" ht="15" x14ac:dyDescent="0.25">
      <c r="A62" s="347">
        <v>2002</v>
      </c>
      <c r="B62" s="348">
        <v>6</v>
      </c>
      <c r="C62" s="352">
        <v>21.727222222222192</v>
      </c>
      <c r="D62" s="354">
        <v>3.3899999999999659</v>
      </c>
      <c r="E62" s="353">
        <v>116.99672097293465</v>
      </c>
      <c r="F62" s="353">
        <v>134.05033824919434</v>
      </c>
      <c r="G62" s="353">
        <v>138.43503374412956</v>
      </c>
      <c r="H62" s="353">
        <v>110.30652298581259</v>
      </c>
      <c r="I62" s="353">
        <v>85.462782163807987</v>
      </c>
      <c r="J62" s="353">
        <v>125.43983372929129</v>
      </c>
      <c r="K62" s="353">
        <v>156.84855792338192</v>
      </c>
      <c r="L62" s="353">
        <v>144.75534119618482</v>
      </c>
      <c r="M62" s="354">
        <v>247.3125</v>
      </c>
      <c r="N62" s="352">
        <v>18.476666666666667</v>
      </c>
      <c r="O62" s="353">
        <v>18.189999999999998</v>
      </c>
      <c r="P62" s="353">
        <v>18.04</v>
      </c>
      <c r="Q62" s="353">
        <v>17.7</v>
      </c>
      <c r="R62" s="353">
        <v>17.740000000000002</v>
      </c>
      <c r="S62" s="353">
        <v>18.699999999999996</v>
      </c>
      <c r="T62" s="353">
        <v>20.240000000000002</v>
      </c>
      <c r="U62" s="353">
        <v>21.693333333333328</v>
      </c>
      <c r="V62" s="353">
        <v>22.65666666666667</v>
      </c>
      <c r="W62" s="353">
        <v>23.626666666666669</v>
      </c>
      <c r="X62" s="353">
        <v>24.493333333333339</v>
      </c>
      <c r="Y62" s="353">
        <v>24.633333333333333</v>
      </c>
      <c r="Z62" s="353">
        <v>25.326666666666664</v>
      </c>
      <c r="AA62" s="353">
        <v>25.556666666666665</v>
      </c>
      <c r="AB62" s="353">
        <v>25.736666666666665</v>
      </c>
      <c r="AC62" s="353">
        <v>25.746666666666659</v>
      </c>
      <c r="AD62" s="353">
        <v>25.006666666666668</v>
      </c>
      <c r="AE62" s="353">
        <v>24.33</v>
      </c>
      <c r="AF62" s="353">
        <v>22.893333333333331</v>
      </c>
      <c r="AG62" s="353">
        <v>21.800000000000004</v>
      </c>
      <c r="AH62" s="353">
        <v>20.773333333333333</v>
      </c>
      <c r="AI62" s="353">
        <v>19.829999999999995</v>
      </c>
      <c r="AJ62" s="353">
        <v>19.456666666666663</v>
      </c>
      <c r="AK62" s="354">
        <v>18.806666666666665</v>
      </c>
      <c r="AL62" s="352">
        <v>0</v>
      </c>
      <c r="AM62" s="353">
        <v>0</v>
      </c>
      <c r="AN62" s="353">
        <v>0</v>
      </c>
      <c r="AO62" s="353">
        <v>0</v>
      </c>
      <c r="AP62" s="353">
        <v>4.2333333333333334</v>
      </c>
      <c r="AQ62" s="353">
        <v>102.56666666666666</v>
      </c>
      <c r="AR62" s="353">
        <v>225.73333333333332</v>
      </c>
      <c r="AS62" s="353">
        <v>351.46666666666664</v>
      </c>
      <c r="AT62" s="353">
        <v>487.7</v>
      </c>
      <c r="AU62" s="353">
        <v>562.06666666666672</v>
      </c>
      <c r="AV62" s="353">
        <v>633.5</v>
      </c>
      <c r="AW62" s="353">
        <v>664.33333333333337</v>
      </c>
      <c r="AX62" s="353">
        <v>703.23333333333335</v>
      </c>
      <c r="AY62" s="353">
        <v>659.4</v>
      </c>
      <c r="AZ62" s="353">
        <v>547.1</v>
      </c>
      <c r="BA62" s="353">
        <v>459.86666666666667</v>
      </c>
      <c r="BB62" s="353">
        <v>291.86666666666667</v>
      </c>
      <c r="BC62" s="353">
        <v>177.66666666666666</v>
      </c>
      <c r="BD62" s="353">
        <v>64.766666666666666</v>
      </c>
      <c r="BE62" s="353">
        <v>0</v>
      </c>
      <c r="BF62" s="353">
        <v>0</v>
      </c>
      <c r="BG62" s="353">
        <v>0</v>
      </c>
      <c r="BH62" s="353">
        <v>0</v>
      </c>
      <c r="BI62" s="354">
        <v>0</v>
      </c>
      <c r="BJ62" s="429"/>
    </row>
    <row r="63" spans="1:62" ht="15" x14ac:dyDescent="0.25">
      <c r="A63" s="347">
        <v>2002</v>
      </c>
      <c r="B63" s="348">
        <v>7</v>
      </c>
      <c r="C63" s="352">
        <v>25.416532258064489</v>
      </c>
      <c r="D63" s="354">
        <v>3.5782258064515755</v>
      </c>
      <c r="E63" s="353">
        <v>127.49715799090205</v>
      </c>
      <c r="F63" s="353">
        <v>143.39430181932519</v>
      </c>
      <c r="G63" s="353">
        <v>142.64947702049298</v>
      </c>
      <c r="H63" s="353">
        <v>109.74191691183796</v>
      </c>
      <c r="I63" s="353">
        <v>84.058892323060874</v>
      </c>
      <c r="J63" s="353">
        <v>130.19885010831982</v>
      </c>
      <c r="K63" s="353">
        <v>166.47136763413693</v>
      </c>
      <c r="L63" s="353">
        <v>156.45570472472079</v>
      </c>
      <c r="M63" s="354">
        <v>258.37768817204301</v>
      </c>
      <c r="N63" s="352">
        <v>22.151612903225804</v>
      </c>
      <c r="O63" s="353">
        <v>21.941935483870967</v>
      </c>
      <c r="P63" s="353">
        <v>21.770967741935479</v>
      </c>
      <c r="Q63" s="353">
        <v>21.277419354838706</v>
      </c>
      <c r="R63" s="353">
        <v>21.196774193548386</v>
      </c>
      <c r="S63" s="353">
        <v>22.377419354838711</v>
      </c>
      <c r="T63" s="353">
        <v>24.087096774193551</v>
      </c>
      <c r="U63" s="353">
        <v>25.319354838709682</v>
      </c>
      <c r="V63" s="353">
        <v>26.36451612903226</v>
      </c>
      <c r="W63" s="353">
        <v>27.358064516129023</v>
      </c>
      <c r="X63" s="353">
        <v>28.009677419354833</v>
      </c>
      <c r="Y63" s="353">
        <v>28.71290322580645</v>
      </c>
      <c r="Z63" s="353">
        <v>29.006451612903231</v>
      </c>
      <c r="AA63" s="353">
        <v>29.264516129032256</v>
      </c>
      <c r="AB63" s="353">
        <v>29.387096774193552</v>
      </c>
      <c r="AC63" s="353">
        <v>29.138709677419357</v>
      </c>
      <c r="AD63" s="353">
        <v>28.680645161290318</v>
      </c>
      <c r="AE63" s="353">
        <v>27.916129032258063</v>
      </c>
      <c r="AF63" s="353">
        <v>26.706451612903223</v>
      </c>
      <c r="AG63" s="353">
        <v>25.558064516129029</v>
      </c>
      <c r="AH63" s="353">
        <v>24.370967741935484</v>
      </c>
      <c r="AI63" s="353">
        <v>23.806451612903217</v>
      </c>
      <c r="AJ63" s="353">
        <v>22.954838709677414</v>
      </c>
      <c r="AK63" s="354">
        <v>22.638709677419353</v>
      </c>
      <c r="AL63" s="352">
        <v>0</v>
      </c>
      <c r="AM63" s="353">
        <v>0</v>
      </c>
      <c r="AN63" s="353">
        <v>0</v>
      </c>
      <c r="AO63" s="353">
        <v>0</v>
      </c>
      <c r="AP63" s="353">
        <v>0.54838709677419351</v>
      </c>
      <c r="AQ63" s="353">
        <v>75.354838709677423</v>
      </c>
      <c r="AR63" s="353">
        <v>219.09677419354838</v>
      </c>
      <c r="AS63" s="353">
        <v>356.25806451612902</v>
      </c>
      <c r="AT63" s="353">
        <v>508.09677419354841</v>
      </c>
      <c r="AU63" s="353">
        <v>625.51612903225805</v>
      </c>
      <c r="AV63" s="353">
        <v>662.0322580645161</v>
      </c>
      <c r="AW63" s="353">
        <v>699.70967741935488</v>
      </c>
      <c r="AX63" s="353">
        <v>695.06451612903231</v>
      </c>
      <c r="AY63" s="353">
        <v>679.19354838709683</v>
      </c>
      <c r="AZ63" s="353">
        <v>598.06451612903231</v>
      </c>
      <c r="BA63" s="353">
        <v>500.67741935483872</v>
      </c>
      <c r="BB63" s="353">
        <v>333</v>
      </c>
      <c r="BC63" s="353">
        <v>189.29032258064515</v>
      </c>
      <c r="BD63" s="353">
        <v>59.161290322580648</v>
      </c>
      <c r="BE63" s="353">
        <v>0</v>
      </c>
      <c r="BF63" s="353">
        <v>0</v>
      </c>
      <c r="BG63" s="353">
        <v>0</v>
      </c>
      <c r="BH63" s="353">
        <v>0</v>
      </c>
      <c r="BI63" s="354">
        <v>0</v>
      </c>
      <c r="BJ63" s="429"/>
    </row>
    <row r="64" spans="1:62" ht="15" x14ac:dyDescent="0.25">
      <c r="A64" s="347">
        <v>2002</v>
      </c>
      <c r="B64" s="348">
        <v>8</v>
      </c>
      <c r="C64" s="352">
        <v>23.180241935483888</v>
      </c>
      <c r="D64" s="354">
        <v>3.3665322580644834</v>
      </c>
      <c r="E64" s="353">
        <v>140.39256607185769</v>
      </c>
      <c r="F64" s="353">
        <v>139.05727355738026</v>
      </c>
      <c r="G64" s="353">
        <v>122.91707294763599</v>
      </c>
      <c r="H64" s="353">
        <v>87.034843690080208</v>
      </c>
      <c r="I64" s="353">
        <v>65.745140382306545</v>
      </c>
      <c r="J64" s="353">
        <v>107.22042257419275</v>
      </c>
      <c r="K64" s="353">
        <v>152.17009235015516</v>
      </c>
      <c r="L64" s="353">
        <v>159.91796086725805</v>
      </c>
      <c r="M64" s="354">
        <v>223.95698924731184</v>
      </c>
      <c r="N64" s="352">
        <v>20.203225806451613</v>
      </c>
      <c r="O64" s="353">
        <v>20.087096774193547</v>
      </c>
      <c r="P64" s="353">
        <v>19.92903225806451</v>
      </c>
      <c r="Q64" s="353">
        <v>19.458064516129028</v>
      </c>
      <c r="R64" s="353">
        <v>19.13225806451613</v>
      </c>
      <c r="S64" s="353">
        <v>19.999999999999996</v>
      </c>
      <c r="T64" s="353">
        <v>21.316129032258072</v>
      </c>
      <c r="U64" s="353">
        <v>22.71290322580645</v>
      </c>
      <c r="V64" s="353">
        <v>23.9258064516129</v>
      </c>
      <c r="W64" s="353">
        <v>24.935483870967747</v>
      </c>
      <c r="X64" s="353">
        <v>25.896774193548392</v>
      </c>
      <c r="Y64" s="353">
        <v>26.677419354838708</v>
      </c>
      <c r="Z64" s="353">
        <v>26.954838709677421</v>
      </c>
      <c r="AA64" s="353">
        <v>26.967741935483865</v>
      </c>
      <c r="AB64" s="353">
        <v>26.967741935483872</v>
      </c>
      <c r="AC64" s="353">
        <v>26.667741935483871</v>
      </c>
      <c r="AD64" s="353">
        <v>26.003225806451614</v>
      </c>
      <c r="AE64" s="353">
        <v>25.090322580645161</v>
      </c>
      <c r="AF64" s="353">
        <v>24.000000000000004</v>
      </c>
      <c r="AG64" s="353">
        <v>22.996774193548386</v>
      </c>
      <c r="AH64" s="353">
        <v>22.419354838709676</v>
      </c>
      <c r="AI64" s="353">
        <v>21.835483870967746</v>
      </c>
      <c r="AJ64" s="353">
        <v>21.309677419354848</v>
      </c>
      <c r="AK64" s="354">
        <v>20.838709677419359</v>
      </c>
      <c r="AL64" s="352">
        <v>0</v>
      </c>
      <c r="AM64" s="353">
        <v>0</v>
      </c>
      <c r="AN64" s="353">
        <v>0</v>
      </c>
      <c r="AO64" s="353">
        <v>0</v>
      </c>
      <c r="AP64" s="353">
        <v>0</v>
      </c>
      <c r="AQ64" s="353">
        <v>15.451612903225806</v>
      </c>
      <c r="AR64" s="353">
        <v>157.06451612903226</v>
      </c>
      <c r="AS64" s="353">
        <v>291.58064516129031</v>
      </c>
      <c r="AT64" s="353">
        <v>432.38709677419354</v>
      </c>
      <c r="AU64" s="353">
        <v>524.38709677419354</v>
      </c>
      <c r="AV64" s="353">
        <v>607.22580645161293</v>
      </c>
      <c r="AW64" s="353">
        <v>658.9677419354839</v>
      </c>
      <c r="AX64" s="353">
        <v>656.32258064516134</v>
      </c>
      <c r="AY64" s="353">
        <v>642</v>
      </c>
      <c r="AZ64" s="353">
        <v>549.06451612903231</v>
      </c>
      <c r="BA64" s="353">
        <v>423.06451612903226</v>
      </c>
      <c r="BB64" s="353">
        <v>273.87096774193549</v>
      </c>
      <c r="BC64" s="353">
        <v>126.25806451612904</v>
      </c>
      <c r="BD64" s="353">
        <v>17.322580645161292</v>
      </c>
      <c r="BE64" s="353">
        <v>0</v>
      </c>
      <c r="BF64" s="353">
        <v>0</v>
      </c>
      <c r="BG64" s="353">
        <v>0</v>
      </c>
      <c r="BH64" s="353">
        <v>0</v>
      </c>
      <c r="BI64" s="354">
        <v>0</v>
      </c>
      <c r="BJ64" s="429"/>
    </row>
    <row r="65" spans="1:62" ht="15" x14ac:dyDescent="0.25">
      <c r="A65" s="347">
        <v>2002</v>
      </c>
      <c r="B65" s="348">
        <v>9</v>
      </c>
      <c r="C65" s="352">
        <v>20.032361111111129</v>
      </c>
      <c r="D65" s="354">
        <v>3.1591666666666476</v>
      </c>
      <c r="E65" s="353">
        <v>164.18432474130961</v>
      </c>
      <c r="F65" s="353">
        <v>140.77799119830757</v>
      </c>
      <c r="G65" s="353">
        <v>104.61624580273882</v>
      </c>
      <c r="H65" s="353">
        <v>64.114911368339577</v>
      </c>
      <c r="I65" s="353">
        <v>49.06811869514285</v>
      </c>
      <c r="J65" s="353">
        <v>78.174599138264114</v>
      </c>
      <c r="K65" s="353">
        <v>131.63501050987722</v>
      </c>
      <c r="L65" s="353">
        <v>164.69529993933489</v>
      </c>
      <c r="M65" s="354">
        <v>187.91388888888889</v>
      </c>
      <c r="N65" s="352">
        <v>16.61</v>
      </c>
      <c r="O65" s="353">
        <v>16.116666666666667</v>
      </c>
      <c r="P65" s="353">
        <v>15.840000000000002</v>
      </c>
      <c r="Q65" s="353">
        <v>15.54666666666667</v>
      </c>
      <c r="R65" s="353">
        <v>15.166666666666666</v>
      </c>
      <c r="S65" s="353">
        <v>15.19</v>
      </c>
      <c r="T65" s="353">
        <v>17.489999999999998</v>
      </c>
      <c r="U65" s="353">
        <v>19.179999999999996</v>
      </c>
      <c r="V65" s="353">
        <v>20.74</v>
      </c>
      <c r="W65" s="353">
        <v>22.123333333333335</v>
      </c>
      <c r="X65" s="353">
        <v>23.153333333333329</v>
      </c>
      <c r="Y65" s="353">
        <v>24.013333333333332</v>
      </c>
      <c r="Z65" s="353">
        <v>24.903333333333332</v>
      </c>
      <c r="AA65" s="353">
        <v>25.293333333333333</v>
      </c>
      <c r="AB65" s="353">
        <v>25.056666666666668</v>
      </c>
      <c r="AC65" s="353">
        <v>24.633333333333333</v>
      </c>
      <c r="AD65" s="353">
        <v>23.653333333333332</v>
      </c>
      <c r="AE65" s="353">
        <v>22.246666666666663</v>
      </c>
      <c r="AF65" s="353">
        <v>20.889999999999993</v>
      </c>
      <c r="AG65" s="353">
        <v>20.003333333333334</v>
      </c>
      <c r="AH65" s="353">
        <v>19.486666666666665</v>
      </c>
      <c r="AI65" s="353">
        <v>18.653333333333329</v>
      </c>
      <c r="AJ65" s="353">
        <v>17.836666666666662</v>
      </c>
      <c r="AK65" s="354">
        <v>16.95</v>
      </c>
      <c r="AL65" s="352">
        <v>0</v>
      </c>
      <c r="AM65" s="353">
        <v>0</v>
      </c>
      <c r="AN65" s="353">
        <v>0</v>
      </c>
      <c r="AO65" s="353">
        <v>0</v>
      </c>
      <c r="AP65" s="353">
        <v>0</v>
      </c>
      <c r="AQ65" s="353">
        <v>1.1000000000000001</v>
      </c>
      <c r="AR65" s="353">
        <v>98.966666666666669</v>
      </c>
      <c r="AS65" s="353">
        <v>230</v>
      </c>
      <c r="AT65" s="353">
        <v>361.1</v>
      </c>
      <c r="AU65" s="353">
        <v>493.43333333333334</v>
      </c>
      <c r="AV65" s="353">
        <v>587.43333333333328</v>
      </c>
      <c r="AW65" s="353">
        <v>618.93333333333328</v>
      </c>
      <c r="AX65" s="353">
        <v>590.9</v>
      </c>
      <c r="AY65" s="353">
        <v>563.5333333333333</v>
      </c>
      <c r="AZ65" s="353">
        <v>441.4</v>
      </c>
      <c r="BA65" s="353">
        <v>312.26666666666665</v>
      </c>
      <c r="BB65" s="353">
        <v>173.4</v>
      </c>
      <c r="BC65" s="353">
        <v>37.466666666666669</v>
      </c>
      <c r="BD65" s="353">
        <v>0</v>
      </c>
      <c r="BE65" s="353">
        <v>0</v>
      </c>
      <c r="BF65" s="353">
        <v>0</v>
      </c>
      <c r="BG65" s="353">
        <v>0</v>
      </c>
      <c r="BH65" s="353">
        <v>0</v>
      </c>
      <c r="BI65" s="354">
        <v>0</v>
      </c>
      <c r="BJ65" s="429"/>
    </row>
    <row r="66" spans="1:62" ht="15" x14ac:dyDescent="0.25">
      <c r="A66" s="347">
        <v>2002</v>
      </c>
      <c r="B66" s="348">
        <v>10</v>
      </c>
      <c r="C66" s="352">
        <v>9.8004032258064591</v>
      </c>
      <c r="D66" s="354">
        <v>4.0291666666666215</v>
      </c>
      <c r="E66" s="353">
        <v>138.70840384745006</v>
      </c>
      <c r="F66" s="353">
        <v>103.07542974561822</v>
      </c>
      <c r="G66" s="353">
        <v>62.485088401045083</v>
      </c>
      <c r="H66" s="353">
        <v>35.927371784578717</v>
      </c>
      <c r="I66" s="353">
        <v>32.413913651467148</v>
      </c>
      <c r="J66" s="353">
        <v>44.043177354908821</v>
      </c>
      <c r="K66" s="353">
        <v>85.822610886331816</v>
      </c>
      <c r="L66" s="353">
        <v>127.90195239239772</v>
      </c>
      <c r="M66" s="354">
        <v>114.86155913978494</v>
      </c>
      <c r="N66" s="352">
        <v>8.2741935483870961</v>
      </c>
      <c r="O66" s="353">
        <v>7.9290322580645149</v>
      </c>
      <c r="P66" s="353">
        <v>7.8000000000000007</v>
      </c>
      <c r="Q66" s="353">
        <v>7.7935483870967737</v>
      </c>
      <c r="R66" s="353">
        <v>7.6580645161290333</v>
      </c>
      <c r="S66" s="353">
        <v>7.5096774193548397</v>
      </c>
      <c r="T66" s="353">
        <v>7.9838709677419351</v>
      </c>
      <c r="U66" s="353">
        <v>8.9612903225806431</v>
      </c>
      <c r="V66" s="353">
        <v>9.9645161290322584</v>
      </c>
      <c r="W66" s="353">
        <v>11.080645161290324</v>
      </c>
      <c r="X66" s="353">
        <v>11.658064516129034</v>
      </c>
      <c r="Y66" s="353">
        <v>12.254838709677422</v>
      </c>
      <c r="Z66" s="353">
        <v>12.683870967741933</v>
      </c>
      <c r="AA66" s="353">
        <v>12.974193548387095</v>
      </c>
      <c r="AB66" s="353">
        <v>12.777419354838711</v>
      </c>
      <c r="AC66" s="353">
        <v>12.403225806451614</v>
      </c>
      <c r="AD66" s="353">
        <v>11.293548387096777</v>
      </c>
      <c r="AE66" s="353">
        <v>10.461290322580645</v>
      </c>
      <c r="AF66" s="353">
        <v>10.04516129032258</v>
      </c>
      <c r="AG66" s="353">
        <v>9.4838709677419342</v>
      </c>
      <c r="AH66" s="353">
        <v>9.1967741935483858</v>
      </c>
      <c r="AI66" s="353">
        <v>8.4064516129032274</v>
      </c>
      <c r="AJ66" s="353">
        <v>8.0741935483870986</v>
      </c>
      <c r="AK66" s="354">
        <v>8.5419354838709687</v>
      </c>
      <c r="AL66" s="352">
        <v>0</v>
      </c>
      <c r="AM66" s="353">
        <v>0</v>
      </c>
      <c r="AN66" s="353">
        <v>0</v>
      </c>
      <c r="AO66" s="353">
        <v>0</v>
      </c>
      <c r="AP66" s="353">
        <v>0</v>
      </c>
      <c r="AQ66" s="353">
        <v>0</v>
      </c>
      <c r="AR66" s="353">
        <v>12.612903225806452</v>
      </c>
      <c r="AS66" s="353">
        <v>138.54838709677421</v>
      </c>
      <c r="AT66" s="353">
        <v>220.64516129032259</v>
      </c>
      <c r="AU66" s="353">
        <v>312.96774193548384</v>
      </c>
      <c r="AV66" s="353">
        <v>386.70967741935482</v>
      </c>
      <c r="AW66" s="353">
        <v>423.93548387096774</v>
      </c>
      <c r="AX66" s="353">
        <v>416.16129032258067</v>
      </c>
      <c r="AY66" s="353">
        <v>357.25806451612902</v>
      </c>
      <c r="AZ66" s="353">
        <v>272.74193548387098</v>
      </c>
      <c r="BA66" s="353">
        <v>167.74193548387098</v>
      </c>
      <c r="BB66" s="353">
        <v>47.354838709677416</v>
      </c>
      <c r="BC66" s="353">
        <v>0</v>
      </c>
      <c r="BD66" s="353">
        <v>0</v>
      </c>
      <c r="BE66" s="353">
        <v>0</v>
      </c>
      <c r="BF66" s="353">
        <v>0</v>
      </c>
      <c r="BG66" s="353">
        <v>0</v>
      </c>
      <c r="BH66" s="353">
        <v>0</v>
      </c>
      <c r="BI66" s="354">
        <v>0</v>
      </c>
      <c r="BJ66" s="429"/>
    </row>
    <row r="67" spans="1:62" ht="15" x14ac:dyDescent="0.25">
      <c r="A67" s="347">
        <v>2002</v>
      </c>
      <c r="B67" s="348">
        <v>11</v>
      </c>
      <c r="C67" s="352">
        <v>3.4790277777777723</v>
      </c>
      <c r="D67" s="354">
        <v>4.4193055555555159</v>
      </c>
      <c r="E67" s="353">
        <v>106.86191090389069</v>
      </c>
      <c r="F67" s="353">
        <v>77.866063849295799</v>
      </c>
      <c r="G67" s="353">
        <v>41.878429455898761</v>
      </c>
      <c r="H67" s="353">
        <v>24.893153826266079</v>
      </c>
      <c r="I67" s="353">
        <v>23.998620920129362</v>
      </c>
      <c r="J67" s="353">
        <v>27.507440989486753</v>
      </c>
      <c r="K67" s="353">
        <v>53.676399525994285</v>
      </c>
      <c r="L67" s="353">
        <v>92.074372913755425</v>
      </c>
      <c r="M67" s="354">
        <v>70.875</v>
      </c>
      <c r="N67" s="352">
        <v>2.54</v>
      </c>
      <c r="O67" s="353">
        <v>2.29</v>
      </c>
      <c r="P67" s="353">
        <v>1.9266666666666672</v>
      </c>
      <c r="Q67" s="353">
        <v>1.65</v>
      </c>
      <c r="R67" s="353">
        <v>1.3933333333333331</v>
      </c>
      <c r="S67" s="353">
        <v>1.4266666666666663</v>
      </c>
      <c r="T67" s="353">
        <v>1.32</v>
      </c>
      <c r="U67" s="353">
        <v>2.0900000000000003</v>
      </c>
      <c r="V67" s="353">
        <v>3.0900000000000007</v>
      </c>
      <c r="W67" s="353">
        <v>4.1366666666666658</v>
      </c>
      <c r="X67" s="353">
        <v>4.8533333333333335</v>
      </c>
      <c r="Y67" s="353">
        <v>5.5000000000000009</v>
      </c>
      <c r="Z67" s="353">
        <v>5.9466666666666681</v>
      </c>
      <c r="AA67" s="353">
        <v>5.9700000000000015</v>
      </c>
      <c r="AB67" s="353">
        <v>5.8033333333333337</v>
      </c>
      <c r="AC67" s="353">
        <v>5.3666666666666654</v>
      </c>
      <c r="AD67" s="353">
        <v>4.7799999999999994</v>
      </c>
      <c r="AE67" s="353">
        <v>4.3133333333333335</v>
      </c>
      <c r="AF67" s="353">
        <v>3.83</v>
      </c>
      <c r="AG67" s="353">
        <v>3.5700000000000003</v>
      </c>
      <c r="AH67" s="353">
        <v>3.26</v>
      </c>
      <c r="AI67" s="353">
        <v>2.9233333333333329</v>
      </c>
      <c r="AJ67" s="353">
        <v>2.7233333333333336</v>
      </c>
      <c r="AK67" s="354">
        <v>2.7933333333333339</v>
      </c>
      <c r="AL67" s="352">
        <v>0</v>
      </c>
      <c r="AM67" s="353">
        <v>0</v>
      </c>
      <c r="AN67" s="353">
        <v>0</v>
      </c>
      <c r="AO67" s="353">
        <v>0</v>
      </c>
      <c r="AP67" s="353">
        <v>0</v>
      </c>
      <c r="AQ67" s="353">
        <v>0</v>
      </c>
      <c r="AR67" s="353">
        <v>0.13333333333333333</v>
      </c>
      <c r="AS67" s="353">
        <v>50.533333333333331</v>
      </c>
      <c r="AT67" s="353">
        <v>143.80000000000001</v>
      </c>
      <c r="AU67" s="353">
        <v>233.1</v>
      </c>
      <c r="AV67" s="353">
        <v>272.39999999999998</v>
      </c>
      <c r="AW67" s="353">
        <v>275.53333333333336</v>
      </c>
      <c r="AX67" s="353">
        <v>282.66666666666669</v>
      </c>
      <c r="AY67" s="353">
        <v>214.5</v>
      </c>
      <c r="AZ67" s="353">
        <v>151.46666666666667</v>
      </c>
      <c r="BA67" s="353">
        <v>75.166666666666671</v>
      </c>
      <c r="BB67" s="353">
        <v>1.7</v>
      </c>
      <c r="BC67" s="353">
        <v>0</v>
      </c>
      <c r="BD67" s="353">
        <v>0</v>
      </c>
      <c r="BE67" s="353">
        <v>0</v>
      </c>
      <c r="BF67" s="353">
        <v>0</v>
      </c>
      <c r="BG67" s="353">
        <v>0</v>
      </c>
      <c r="BH67" s="353">
        <v>0</v>
      </c>
      <c r="BI67" s="354">
        <v>0</v>
      </c>
      <c r="BJ67" s="429"/>
    </row>
    <row r="68" spans="1:62" ht="15" x14ac:dyDescent="0.25">
      <c r="A68" s="347">
        <v>2002</v>
      </c>
      <c r="B68" s="348">
        <v>12</v>
      </c>
      <c r="C68" s="355">
        <v>-0.85181208053691493</v>
      </c>
      <c r="D68" s="357">
        <v>4.5875167785234501</v>
      </c>
      <c r="E68" s="356">
        <v>113.64481936912368</v>
      </c>
      <c r="F68" s="356">
        <v>77.643546204412274</v>
      </c>
      <c r="G68" s="356">
        <v>35.728273513168283</v>
      </c>
      <c r="H68" s="356">
        <v>18.557403884622961</v>
      </c>
      <c r="I68" s="356">
        <v>18.280211009615311</v>
      </c>
      <c r="J68" s="356">
        <v>20.444328674614169</v>
      </c>
      <c r="K68" s="356">
        <v>50.179499844690987</v>
      </c>
      <c r="L68" s="356">
        <v>96.32677803101096</v>
      </c>
      <c r="M68" s="357">
        <v>60.766442953020132</v>
      </c>
      <c r="N68" s="355">
        <v>-1.8838709677419359</v>
      </c>
      <c r="O68" s="356">
        <v>-2.2806451612903227</v>
      </c>
      <c r="P68" s="356">
        <v>-2.2645161290322577</v>
      </c>
      <c r="Q68" s="356">
        <v>-2.4612903225806444</v>
      </c>
      <c r="R68" s="356">
        <v>-2.6483870967741932</v>
      </c>
      <c r="S68" s="356">
        <v>-2.6516129032258058</v>
      </c>
      <c r="T68" s="356">
        <v>-2.7709677419354835</v>
      </c>
      <c r="U68" s="356">
        <v>-2.416129032258064</v>
      </c>
      <c r="V68" s="356">
        <v>-1.4935483870967747</v>
      </c>
      <c r="W68" s="356">
        <v>-0.66774193548387106</v>
      </c>
      <c r="X68" s="356">
        <v>7.0967741935483913E-2</v>
      </c>
      <c r="Y68" s="356">
        <v>0.80967741935483883</v>
      </c>
      <c r="Z68" s="356">
        <v>1.2741935483870968</v>
      </c>
      <c r="AA68" s="356">
        <v>1.5935483870967742</v>
      </c>
      <c r="AB68" s="356">
        <v>1.5290322580645161</v>
      </c>
      <c r="AC68" s="356">
        <v>1.0774193548387094</v>
      </c>
      <c r="AD68" s="356">
        <v>0.53870967741935494</v>
      </c>
      <c r="AE68" s="356">
        <v>-3.870967741935509E-2</v>
      </c>
      <c r="AF68" s="356">
        <v>-0.32580645161290317</v>
      </c>
      <c r="AG68" s="356">
        <v>-0.5903225806451613</v>
      </c>
      <c r="AH68" s="356">
        <v>-0.78387096774193565</v>
      </c>
      <c r="AI68" s="356">
        <v>-1.0225806451612909</v>
      </c>
      <c r="AJ68" s="356">
        <v>-1.3483870967741942</v>
      </c>
      <c r="AK68" s="357">
        <v>-1.6625000000000008</v>
      </c>
      <c r="AL68" s="355">
        <v>0</v>
      </c>
      <c r="AM68" s="356">
        <v>0</v>
      </c>
      <c r="AN68" s="356">
        <v>0</v>
      </c>
      <c r="AO68" s="356">
        <v>0</v>
      </c>
      <c r="AP68" s="356">
        <v>0</v>
      </c>
      <c r="AQ68" s="356">
        <v>0</v>
      </c>
      <c r="AR68" s="356">
        <v>0</v>
      </c>
      <c r="AS68" s="356">
        <v>1.8387096774193548</v>
      </c>
      <c r="AT68" s="356">
        <v>112.96774193548387</v>
      </c>
      <c r="AU68" s="356">
        <v>177.16129032258064</v>
      </c>
      <c r="AV68" s="356">
        <v>234.58064516129033</v>
      </c>
      <c r="AW68" s="356">
        <v>252.06451612903226</v>
      </c>
      <c r="AX68" s="356">
        <v>251.80645161290323</v>
      </c>
      <c r="AY68" s="356">
        <v>209.67741935483872</v>
      </c>
      <c r="AZ68" s="356">
        <v>153.2258064516129</v>
      </c>
      <c r="BA68" s="356">
        <v>67.032258064516128</v>
      </c>
      <c r="BB68" s="356">
        <v>0</v>
      </c>
      <c r="BC68" s="356">
        <v>0</v>
      </c>
      <c r="BD68" s="356">
        <v>0</v>
      </c>
      <c r="BE68" s="356">
        <v>0</v>
      </c>
      <c r="BF68" s="356">
        <v>0</v>
      </c>
      <c r="BG68" s="356">
        <v>0</v>
      </c>
      <c r="BH68" s="356">
        <v>0</v>
      </c>
      <c r="BI68" s="357">
        <v>0</v>
      </c>
      <c r="BJ68" s="429"/>
    </row>
    <row r="69" spans="1:62" ht="15" x14ac:dyDescent="0.25">
      <c r="A69" s="358">
        <v>2003</v>
      </c>
      <c r="B69" s="359">
        <v>1</v>
      </c>
      <c r="C69" s="360">
        <v>-5.8632570659488508</v>
      </c>
      <c r="D69" s="362">
        <v>4.9442799461641451</v>
      </c>
      <c r="E69" s="361">
        <v>155.02739565339658</v>
      </c>
      <c r="F69" s="361">
        <v>107.14986636724515</v>
      </c>
      <c r="G69" s="361">
        <v>49.450376260751256</v>
      </c>
      <c r="H69" s="361">
        <v>23.107314996878987</v>
      </c>
      <c r="I69" s="361">
        <v>22.329949359489</v>
      </c>
      <c r="J69" s="361">
        <v>26.862494181398763</v>
      </c>
      <c r="K69" s="361">
        <v>68.689760350041368</v>
      </c>
      <c r="L69" s="361">
        <v>130.73845457438591</v>
      </c>
      <c r="M69" s="362">
        <v>84.074024226110367</v>
      </c>
      <c r="N69" s="360">
        <v>-6.5354838709677416</v>
      </c>
      <c r="O69" s="361">
        <v>-6.9516129032258061</v>
      </c>
      <c r="P69" s="361">
        <v>-7.1548387096774198</v>
      </c>
      <c r="Q69" s="361">
        <v>-7.4935483870967747</v>
      </c>
      <c r="R69" s="361">
        <v>-7.629032258064516</v>
      </c>
      <c r="S69" s="361">
        <v>-8.0709677419354851</v>
      </c>
      <c r="T69" s="361">
        <v>-8.2870967741935502</v>
      </c>
      <c r="U69" s="361">
        <v>-8.0935483870967762</v>
      </c>
      <c r="V69" s="361">
        <v>-7.2903225806451637</v>
      </c>
      <c r="W69" s="361">
        <v>-6.4258064516129032</v>
      </c>
      <c r="X69" s="361">
        <v>-5.4645161290322584</v>
      </c>
      <c r="Y69" s="361">
        <v>-4.7806451612903231</v>
      </c>
      <c r="Z69" s="361">
        <v>-4.0741935483870968</v>
      </c>
      <c r="AA69" s="361">
        <v>-3.5935483870967744</v>
      </c>
      <c r="AB69" s="361">
        <v>-3.5129032258064523</v>
      </c>
      <c r="AC69" s="361">
        <v>-3.6741935483870973</v>
      </c>
      <c r="AD69" s="361">
        <v>-4.1903225806451623</v>
      </c>
      <c r="AE69" s="361">
        <v>-4.4516129032258061</v>
      </c>
      <c r="AF69" s="361">
        <v>-4.7870967741935484</v>
      </c>
      <c r="AG69" s="361">
        <v>-5.0774193548387094</v>
      </c>
      <c r="AH69" s="361">
        <v>-5.4096774193548391</v>
      </c>
      <c r="AI69" s="361">
        <v>-5.6580645161290333</v>
      </c>
      <c r="AJ69" s="361">
        <v>-5.8967741935483868</v>
      </c>
      <c r="AK69" s="362">
        <v>-6.2266666666666648</v>
      </c>
      <c r="AL69" s="360">
        <v>0</v>
      </c>
      <c r="AM69" s="361">
        <v>0</v>
      </c>
      <c r="AN69" s="361">
        <v>0</v>
      </c>
      <c r="AO69" s="361">
        <v>0</v>
      </c>
      <c r="AP69" s="361">
        <v>0</v>
      </c>
      <c r="AQ69" s="361">
        <v>0</v>
      </c>
      <c r="AR69" s="361">
        <v>0</v>
      </c>
      <c r="AS69" s="361">
        <v>3.838709677419355</v>
      </c>
      <c r="AT69" s="361">
        <v>135.96774193548387</v>
      </c>
      <c r="AU69" s="361">
        <v>212.96774193548387</v>
      </c>
      <c r="AV69" s="361">
        <v>313.83870967741933</v>
      </c>
      <c r="AW69" s="361">
        <v>350.93548387096774</v>
      </c>
      <c r="AX69" s="361">
        <v>351.06451612903226</v>
      </c>
      <c r="AY69" s="361">
        <v>281.80645161290323</v>
      </c>
      <c r="AZ69" s="361">
        <v>222.09677419354838</v>
      </c>
      <c r="BA69" s="361">
        <v>128.16129032258064</v>
      </c>
      <c r="BB69" s="361">
        <v>14.387096774193548</v>
      </c>
      <c r="BC69" s="361">
        <v>0</v>
      </c>
      <c r="BD69" s="361">
        <v>0</v>
      </c>
      <c r="BE69" s="361">
        <v>0</v>
      </c>
      <c r="BF69" s="361">
        <v>0</v>
      </c>
      <c r="BG69" s="361">
        <v>0</v>
      </c>
      <c r="BH69" s="361">
        <v>0</v>
      </c>
      <c r="BI69" s="362">
        <v>0</v>
      </c>
      <c r="BJ69" s="429"/>
    </row>
    <row r="70" spans="1:62" ht="15" x14ac:dyDescent="0.25">
      <c r="A70" s="363">
        <v>2003</v>
      </c>
      <c r="B70" s="364">
        <v>2</v>
      </c>
      <c r="C70" s="365">
        <v>-4.4799107142857189</v>
      </c>
      <c r="D70" s="367">
        <v>4.8223214285713931</v>
      </c>
      <c r="E70" s="366">
        <v>157.66744518181576</v>
      </c>
      <c r="F70" s="366">
        <v>114.91693502564509</v>
      </c>
      <c r="G70" s="366">
        <v>65.907283949789544</v>
      </c>
      <c r="H70" s="366">
        <v>34.533878522342519</v>
      </c>
      <c r="I70" s="366">
        <v>31.161564202779779</v>
      </c>
      <c r="J70" s="366">
        <v>41.437103459335809</v>
      </c>
      <c r="K70" s="366">
        <v>88.85375405612929</v>
      </c>
      <c r="L70" s="366">
        <v>140.5648440328138</v>
      </c>
      <c r="M70" s="367">
        <v>114.57142857142857</v>
      </c>
      <c r="N70" s="365">
        <v>-5.7714285714285722</v>
      </c>
      <c r="O70" s="366">
        <v>-5.9785714285714295</v>
      </c>
      <c r="P70" s="366">
        <v>-6.4464285714285712</v>
      </c>
      <c r="Q70" s="366">
        <v>-6.6499999999999995</v>
      </c>
      <c r="R70" s="366">
        <v>-6.9464285714285721</v>
      </c>
      <c r="S70" s="366">
        <v>-7.2964285714285726</v>
      </c>
      <c r="T70" s="366">
        <v>-7.4571428571428564</v>
      </c>
      <c r="U70" s="366">
        <v>-6.4214285714285726</v>
      </c>
      <c r="V70" s="366">
        <v>-5.4321428571428578</v>
      </c>
      <c r="W70" s="366">
        <v>-4.1750000000000007</v>
      </c>
      <c r="X70" s="366">
        <v>-3.4285714285714284</v>
      </c>
      <c r="Y70" s="366">
        <v>-2.5999999999999992</v>
      </c>
      <c r="Z70" s="366">
        <v>-1.9607142857142859</v>
      </c>
      <c r="AA70" s="366">
        <v>-1.4750000000000001</v>
      </c>
      <c r="AB70" s="366">
        <v>-1.3392857142857146</v>
      </c>
      <c r="AC70" s="366">
        <v>-1.6071428571428574</v>
      </c>
      <c r="AD70" s="366">
        <v>-2.1642857142857146</v>
      </c>
      <c r="AE70" s="366">
        <v>-2.9642857142857149</v>
      </c>
      <c r="AF70" s="366">
        <v>-3.4571428571428582</v>
      </c>
      <c r="AG70" s="366">
        <v>-4.1321428571428571</v>
      </c>
      <c r="AH70" s="366">
        <v>-4.5250000000000004</v>
      </c>
      <c r="AI70" s="366">
        <v>-4.757142857142858</v>
      </c>
      <c r="AJ70" s="366">
        <v>-5.2142857142857135</v>
      </c>
      <c r="AK70" s="367">
        <v>-5.3178571428571439</v>
      </c>
      <c r="AL70" s="365">
        <v>0</v>
      </c>
      <c r="AM70" s="366">
        <v>0</v>
      </c>
      <c r="AN70" s="366">
        <v>0</v>
      </c>
      <c r="AO70" s="366">
        <v>0</v>
      </c>
      <c r="AP70" s="366">
        <v>0</v>
      </c>
      <c r="AQ70" s="366">
        <v>0</v>
      </c>
      <c r="AR70" s="366">
        <v>0</v>
      </c>
      <c r="AS70" s="366">
        <v>59.142857142857146</v>
      </c>
      <c r="AT70" s="366">
        <v>195.21428571428572</v>
      </c>
      <c r="AU70" s="366">
        <v>292.67857142857144</v>
      </c>
      <c r="AV70" s="366">
        <v>377.89285714285717</v>
      </c>
      <c r="AW70" s="366">
        <v>405.82142857142856</v>
      </c>
      <c r="AX70" s="366">
        <v>411</v>
      </c>
      <c r="AY70" s="366">
        <v>390.71428571428572</v>
      </c>
      <c r="AZ70" s="366">
        <v>325.46428571428572</v>
      </c>
      <c r="BA70" s="366">
        <v>206.46428571428572</v>
      </c>
      <c r="BB70" s="366">
        <v>84.75</v>
      </c>
      <c r="BC70" s="366">
        <v>0.5714285714285714</v>
      </c>
      <c r="BD70" s="366">
        <v>0</v>
      </c>
      <c r="BE70" s="366">
        <v>0</v>
      </c>
      <c r="BF70" s="366">
        <v>0</v>
      </c>
      <c r="BG70" s="366">
        <v>0</v>
      </c>
      <c r="BH70" s="366">
        <v>0</v>
      </c>
      <c r="BI70" s="367">
        <v>0</v>
      </c>
      <c r="BJ70" s="429"/>
    </row>
    <row r="71" spans="1:62" ht="15" x14ac:dyDescent="0.25">
      <c r="A71" s="363">
        <v>2003</v>
      </c>
      <c r="B71" s="364">
        <v>3</v>
      </c>
      <c r="C71" s="365">
        <v>2.8827956989247316</v>
      </c>
      <c r="D71" s="367">
        <v>4.3154569892472692</v>
      </c>
      <c r="E71" s="366">
        <v>144.9731888889585</v>
      </c>
      <c r="F71" s="366">
        <v>119.51567650409046</v>
      </c>
      <c r="G71" s="366">
        <v>83.20764413959941</v>
      </c>
      <c r="H71" s="366">
        <v>51.362721147121889</v>
      </c>
      <c r="I71" s="366">
        <v>42.19525576638982</v>
      </c>
      <c r="J71" s="366">
        <v>61.741797291741044</v>
      </c>
      <c r="K71" s="366">
        <v>104.85058378123739</v>
      </c>
      <c r="L71" s="366">
        <v>139.56168998652842</v>
      </c>
      <c r="M71" s="367">
        <v>146.31720430107526</v>
      </c>
      <c r="N71" s="365">
        <v>0.76774193548387137</v>
      </c>
      <c r="O71" s="366">
        <v>0.29032258064516187</v>
      </c>
      <c r="P71" s="366">
        <v>0.21612903225806371</v>
      </c>
      <c r="Q71" s="366">
        <v>-5.1612903225805896E-2</v>
      </c>
      <c r="R71" s="366">
        <v>-0.1935483870967743</v>
      </c>
      <c r="S71" s="366">
        <v>-0.10322580645161192</v>
      </c>
      <c r="T71" s="366">
        <v>0.34516129032258053</v>
      </c>
      <c r="U71" s="366">
        <v>1.6225806451612899</v>
      </c>
      <c r="V71" s="366">
        <v>2.6580645161290315</v>
      </c>
      <c r="W71" s="366">
        <v>3.6258064516129029</v>
      </c>
      <c r="X71" s="366">
        <v>4.8032258064516133</v>
      </c>
      <c r="Y71" s="366">
        <v>5.645161290322581</v>
      </c>
      <c r="Z71" s="366">
        <v>6.2870967741935493</v>
      </c>
      <c r="AA71" s="366">
        <v>6.1354838709677413</v>
      </c>
      <c r="AB71" s="366">
        <v>6.0548387096774192</v>
      </c>
      <c r="AC71" s="366">
        <v>5.8967741935483859</v>
      </c>
      <c r="AD71" s="366">
        <v>5.5999999999999988</v>
      </c>
      <c r="AE71" s="366">
        <v>4.5451612903225804</v>
      </c>
      <c r="AF71" s="366">
        <v>3.712903225806452</v>
      </c>
      <c r="AG71" s="366">
        <v>3.1451612903225801</v>
      </c>
      <c r="AH71" s="366">
        <v>2.5677419354838702</v>
      </c>
      <c r="AI71" s="366">
        <v>2.4000000000000004</v>
      </c>
      <c r="AJ71" s="366">
        <v>1.9870967741935488</v>
      </c>
      <c r="AK71" s="367">
        <v>1.2290322580645163</v>
      </c>
      <c r="AL71" s="365">
        <v>0</v>
      </c>
      <c r="AM71" s="366">
        <v>0</v>
      </c>
      <c r="AN71" s="366">
        <v>0</v>
      </c>
      <c r="AO71" s="366">
        <v>0</v>
      </c>
      <c r="AP71" s="366">
        <v>0</v>
      </c>
      <c r="AQ71" s="366">
        <v>0</v>
      </c>
      <c r="AR71" s="366">
        <v>26.967741935483872</v>
      </c>
      <c r="AS71" s="366">
        <v>171.48387096774192</v>
      </c>
      <c r="AT71" s="366">
        <v>256.22580645161293</v>
      </c>
      <c r="AU71" s="366">
        <v>341</v>
      </c>
      <c r="AV71" s="366">
        <v>433.45161290322579</v>
      </c>
      <c r="AW71" s="366">
        <v>523.64516129032256</v>
      </c>
      <c r="AX71" s="366">
        <v>525.87096774193549</v>
      </c>
      <c r="AY71" s="366">
        <v>444.90322580645159</v>
      </c>
      <c r="AZ71" s="366">
        <v>345.64516129032256</v>
      </c>
      <c r="BA71" s="366">
        <v>257.03225806451616</v>
      </c>
      <c r="BB71" s="366">
        <v>149.54838709677421</v>
      </c>
      <c r="BC71" s="366">
        <v>35.838709677419352</v>
      </c>
      <c r="BD71" s="366">
        <v>0</v>
      </c>
      <c r="BE71" s="366">
        <v>0</v>
      </c>
      <c r="BF71" s="366">
        <v>0</v>
      </c>
      <c r="BG71" s="366">
        <v>0</v>
      </c>
      <c r="BH71" s="366">
        <v>0</v>
      </c>
      <c r="BI71" s="367">
        <v>0</v>
      </c>
      <c r="BJ71" s="429"/>
    </row>
    <row r="72" spans="1:62" ht="15" x14ac:dyDescent="0.25">
      <c r="A72" s="363">
        <v>2003</v>
      </c>
      <c r="B72" s="364">
        <v>4</v>
      </c>
      <c r="C72" s="365">
        <v>8.798749999999993</v>
      </c>
      <c r="D72" s="367">
        <v>4.7952777777777262</v>
      </c>
      <c r="E72" s="366">
        <v>136.7342832640694</v>
      </c>
      <c r="F72" s="366">
        <v>130.91180829386565</v>
      </c>
      <c r="G72" s="366">
        <v>109.76334598180163</v>
      </c>
      <c r="H72" s="366">
        <v>73.985641870746747</v>
      </c>
      <c r="I72" s="366">
        <v>55.270962405547763</v>
      </c>
      <c r="J72" s="366">
        <v>87.015599753234412</v>
      </c>
      <c r="K72" s="366">
        <v>129.14330532471101</v>
      </c>
      <c r="L72" s="366">
        <v>144.94650962655493</v>
      </c>
      <c r="M72" s="367">
        <v>193.20138888888889</v>
      </c>
      <c r="N72" s="365">
        <v>6.3533333333333335</v>
      </c>
      <c r="O72" s="366">
        <v>6.2266666666666675</v>
      </c>
      <c r="P72" s="366">
        <v>5.8133333333333344</v>
      </c>
      <c r="Q72" s="366">
        <v>5.0866666666666669</v>
      </c>
      <c r="R72" s="366">
        <v>4.9200000000000008</v>
      </c>
      <c r="S72" s="366">
        <v>5.246666666666667</v>
      </c>
      <c r="T72" s="366">
        <v>6.5199999999999987</v>
      </c>
      <c r="U72" s="366">
        <v>8.1100000000000012</v>
      </c>
      <c r="V72" s="366">
        <v>9.65</v>
      </c>
      <c r="W72" s="366">
        <v>10.933333333333334</v>
      </c>
      <c r="X72" s="366">
        <v>12.093333333333334</v>
      </c>
      <c r="Y72" s="366">
        <v>12.389999999999999</v>
      </c>
      <c r="Z72" s="366">
        <v>12.946666666666665</v>
      </c>
      <c r="AA72" s="366">
        <v>12.819999999999999</v>
      </c>
      <c r="AB72" s="366">
        <v>12.643333333333333</v>
      </c>
      <c r="AC72" s="366">
        <v>12.253333333333332</v>
      </c>
      <c r="AD72" s="366">
        <v>11.183333333333335</v>
      </c>
      <c r="AE72" s="366">
        <v>10.013333333333332</v>
      </c>
      <c r="AF72" s="366">
        <v>8.94</v>
      </c>
      <c r="AG72" s="366">
        <v>8.1666666666666696</v>
      </c>
      <c r="AH72" s="366">
        <v>7.6833333333333353</v>
      </c>
      <c r="AI72" s="366">
        <v>7.5500000000000007</v>
      </c>
      <c r="AJ72" s="366">
        <v>6.9633333333333347</v>
      </c>
      <c r="AK72" s="367">
        <v>6.6633333333333349</v>
      </c>
      <c r="AL72" s="365">
        <v>0</v>
      </c>
      <c r="AM72" s="366">
        <v>0</v>
      </c>
      <c r="AN72" s="366">
        <v>0</v>
      </c>
      <c r="AO72" s="366">
        <v>0</v>
      </c>
      <c r="AP72" s="366">
        <v>0</v>
      </c>
      <c r="AQ72" s="366">
        <v>6.2</v>
      </c>
      <c r="AR72" s="366">
        <v>142.76666666666668</v>
      </c>
      <c r="AS72" s="366">
        <v>266.36666666666667</v>
      </c>
      <c r="AT72" s="366">
        <v>385.5</v>
      </c>
      <c r="AU72" s="366">
        <v>477.36666666666667</v>
      </c>
      <c r="AV72" s="366">
        <v>564</v>
      </c>
      <c r="AW72" s="366">
        <v>595.5333333333333</v>
      </c>
      <c r="AX72" s="366">
        <v>625.5333333333333</v>
      </c>
      <c r="AY72" s="366">
        <v>540.56666666666672</v>
      </c>
      <c r="AZ72" s="366">
        <v>412.43333333333334</v>
      </c>
      <c r="BA72" s="366">
        <v>320.56666666666666</v>
      </c>
      <c r="BB72" s="366">
        <v>211.53333333333333</v>
      </c>
      <c r="BC72" s="366">
        <v>85.966666666666669</v>
      </c>
      <c r="BD72" s="366">
        <v>2.5</v>
      </c>
      <c r="BE72" s="366">
        <v>0</v>
      </c>
      <c r="BF72" s="366">
        <v>0</v>
      </c>
      <c r="BG72" s="366">
        <v>0</v>
      </c>
      <c r="BH72" s="366">
        <v>0</v>
      </c>
      <c r="BI72" s="367">
        <v>0</v>
      </c>
      <c r="BJ72" s="429"/>
    </row>
    <row r="73" spans="1:62" ht="15" x14ac:dyDescent="0.25">
      <c r="A73" s="363">
        <v>2003</v>
      </c>
      <c r="B73" s="364">
        <v>5</v>
      </c>
      <c r="C73" s="365">
        <v>13.317069892473118</v>
      </c>
      <c r="D73" s="367">
        <v>4.5805107526881237</v>
      </c>
      <c r="E73" s="366">
        <v>119.90781908998206</v>
      </c>
      <c r="F73" s="366">
        <v>122.44583239993347</v>
      </c>
      <c r="G73" s="366">
        <v>116.72065508725281</v>
      </c>
      <c r="H73" s="366">
        <v>89.731513154321462</v>
      </c>
      <c r="I73" s="366">
        <v>72.719557728063052</v>
      </c>
      <c r="J73" s="366">
        <v>116.7384593274334</v>
      </c>
      <c r="K73" s="366">
        <v>155.06516578820498</v>
      </c>
      <c r="L73" s="366">
        <v>149.43672255934396</v>
      </c>
      <c r="M73" s="367">
        <v>226.10752688172042</v>
      </c>
      <c r="N73" s="365">
        <v>10.703225806451615</v>
      </c>
      <c r="O73" s="366">
        <v>10.435483870967742</v>
      </c>
      <c r="P73" s="366">
        <v>10.370967741935484</v>
      </c>
      <c r="Q73" s="366">
        <v>10.232258064516129</v>
      </c>
      <c r="R73" s="366">
        <v>10.280645161290321</v>
      </c>
      <c r="S73" s="366">
        <v>11.035483870967745</v>
      </c>
      <c r="T73" s="366">
        <v>12.183870967741937</v>
      </c>
      <c r="U73" s="366">
        <v>13.06774193548387</v>
      </c>
      <c r="V73" s="366">
        <v>14.1</v>
      </c>
      <c r="W73" s="366">
        <v>14.822580645161292</v>
      </c>
      <c r="X73" s="366">
        <v>15.619354838709677</v>
      </c>
      <c r="Y73" s="366">
        <v>16.477419354838709</v>
      </c>
      <c r="Z73" s="366">
        <v>16.861290322580647</v>
      </c>
      <c r="AA73" s="366">
        <v>17.319354838709685</v>
      </c>
      <c r="AB73" s="366">
        <v>17.164516129032258</v>
      </c>
      <c r="AC73" s="366">
        <v>16.441935483870967</v>
      </c>
      <c r="AD73" s="366">
        <v>15.841935483870971</v>
      </c>
      <c r="AE73" s="366">
        <v>14.999999999999998</v>
      </c>
      <c r="AF73" s="366">
        <v>13.74516129032258</v>
      </c>
      <c r="AG73" s="366">
        <v>12.587096774193547</v>
      </c>
      <c r="AH73" s="366">
        <v>11.964516129032255</v>
      </c>
      <c r="AI73" s="366">
        <v>11.493548387096773</v>
      </c>
      <c r="AJ73" s="366">
        <v>10.912903225806449</v>
      </c>
      <c r="AK73" s="367">
        <v>10.948387096774194</v>
      </c>
      <c r="AL73" s="365">
        <v>0</v>
      </c>
      <c r="AM73" s="366">
        <v>0</v>
      </c>
      <c r="AN73" s="366">
        <v>0</v>
      </c>
      <c r="AO73" s="366">
        <v>0</v>
      </c>
      <c r="AP73" s="366">
        <v>0.67741935483870963</v>
      </c>
      <c r="AQ73" s="366">
        <v>86.58064516129032</v>
      </c>
      <c r="AR73" s="366">
        <v>187.03225806451613</v>
      </c>
      <c r="AS73" s="366">
        <v>285.77419354838707</v>
      </c>
      <c r="AT73" s="366">
        <v>402.93548387096774</v>
      </c>
      <c r="AU73" s="366">
        <v>496.03225806451616</v>
      </c>
      <c r="AV73" s="366">
        <v>572.22580645161293</v>
      </c>
      <c r="AW73" s="366">
        <v>643.93548387096769</v>
      </c>
      <c r="AX73" s="366">
        <v>668.51612903225805</v>
      </c>
      <c r="AY73" s="366">
        <v>633.9677419354839</v>
      </c>
      <c r="AZ73" s="366">
        <v>571.22580645161293</v>
      </c>
      <c r="BA73" s="366">
        <v>409.93548387096774</v>
      </c>
      <c r="BB73" s="366">
        <v>289.12903225806451</v>
      </c>
      <c r="BC73" s="366">
        <v>143</v>
      </c>
      <c r="BD73" s="366">
        <v>35.612903225806448</v>
      </c>
      <c r="BE73" s="366">
        <v>0</v>
      </c>
      <c r="BF73" s="366">
        <v>0</v>
      </c>
      <c r="BG73" s="366">
        <v>0</v>
      </c>
      <c r="BH73" s="366">
        <v>0</v>
      </c>
      <c r="BI73" s="367">
        <v>0</v>
      </c>
      <c r="BJ73" s="429"/>
    </row>
    <row r="74" spans="1:62" ht="15" x14ac:dyDescent="0.25">
      <c r="A74" s="363">
        <v>2003</v>
      </c>
      <c r="B74" s="364">
        <v>6</v>
      </c>
      <c r="C74" s="365">
        <v>18.911111111111104</v>
      </c>
      <c r="D74" s="367">
        <v>3.4744444444444174</v>
      </c>
      <c r="E74" s="366">
        <v>120.2561827963503</v>
      </c>
      <c r="F74" s="366">
        <v>135.96601155903562</v>
      </c>
      <c r="G74" s="366">
        <v>138.70949195767676</v>
      </c>
      <c r="H74" s="366">
        <v>109.27973422746074</v>
      </c>
      <c r="I74" s="366">
        <v>86.092555325251638</v>
      </c>
      <c r="J74" s="366">
        <v>133.19418360256452</v>
      </c>
      <c r="K74" s="366">
        <v>167.93474781793248</v>
      </c>
      <c r="L74" s="366">
        <v>153.28698495377662</v>
      </c>
      <c r="M74" s="367">
        <v>263.19027777777779</v>
      </c>
      <c r="N74" s="365">
        <v>14.806666666666668</v>
      </c>
      <c r="O74" s="366">
        <v>14.586666666666668</v>
      </c>
      <c r="P74" s="366">
        <v>14.200000000000001</v>
      </c>
      <c r="Q74" s="366">
        <v>13.999999999999998</v>
      </c>
      <c r="R74" s="366">
        <v>14.103333333333332</v>
      </c>
      <c r="S74" s="366">
        <v>15.926666666666669</v>
      </c>
      <c r="T74" s="366">
        <v>17.65666666666667</v>
      </c>
      <c r="U74" s="366">
        <v>19.149999999999999</v>
      </c>
      <c r="V74" s="366">
        <v>20.506666666666668</v>
      </c>
      <c r="W74" s="366">
        <v>21.549999999999997</v>
      </c>
      <c r="X74" s="366">
        <v>22.353333333333339</v>
      </c>
      <c r="Y74" s="366">
        <v>23.033333333333335</v>
      </c>
      <c r="Z74" s="366">
        <v>22.996666666666666</v>
      </c>
      <c r="AA74" s="366">
        <v>23.376666666666669</v>
      </c>
      <c r="AB74" s="366">
        <v>23.009999999999998</v>
      </c>
      <c r="AC74" s="366">
        <v>22.91333333333333</v>
      </c>
      <c r="AD74" s="366">
        <v>22.573333333333331</v>
      </c>
      <c r="AE74" s="366">
        <v>21.933333333333337</v>
      </c>
      <c r="AF74" s="366">
        <v>20.363333333333333</v>
      </c>
      <c r="AG74" s="366">
        <v>18.819999999999993</v>
      </c>
      <c r="AH74" s="366">
        <v>17.75333333333333</v>
      </c>
      <c r="AI74" s="366">
        <v>16.839999999999996</v>
      </c>
      <c r="AJ74" s="366">
        <v>16.356666666666662</v>
      </c>
      <c r="AK74" s="367">
        <v>15.056666666666672</v>
      </c>
      <c r="AL74" s="365">
        <v>0</v>
      </c>
      <c r="AM74" s="366">
        <v>0</v>
      </c>
      <c r="AN74" s="366">
        <v>0</v>
      </c>
      <c r="AO74" s="366">
        <v>0</v>
      </c>
      <c r="AP74" s="366">
        <v>4.2333333333333334</v>
      </c>
      <c r="AQ74" s="366">
        <v>101.06666666666666</v>
      </c>
      <c r="AR74" s="366">
        <v>214.8</v>
      </c>
      <c r="AS74" s="366">
        <v>351.73333333333335</v>
      </c>
      <c r="AT74" s="366">
        <v>499.76666666666665</v>
      </c>
      <c r="AU74" s="366">
        <v>639.76666666666665</v>
      </c>
      <c r="AV74" s="366">
        <v>673.43333333333328</v>
      </c>
      <c r="AW74" s="366">
        <v>732.73333333333335</v>
      </c>
      <c r="AX74" s="366">
        <v>749.5333333333333</v>
      </c>
      <c r="AY74" s="366">
        <v>695.2</v>
      </c>
      <c r="AZ74" s="366">
        <v>592.63333333333333</v>
      </c>
      <c r="BA74" s="366">
        <v>486.9</v>
      </c>
      <c r="BB74" s="366">
        <v>327.2</v>
      </c>
      <c r="BC74" s="366">
        <v>180.43333333333334</v>
      </c>
      <c r="BD74" s="366">
        <v>67.13333333333334</v>
      </c>
      <c r="BE74" s="366">
        <v>0</v>
      </c>
      <c r="BF74" s="366">
        <v>0</v>
      </c>
      <c r="BG74" s="366">
        <v>0</v>
      </c>
      <c r="BH74" s="366">
        <v>0</v>
      </c>
      <c r="BI74" s="367">
        <v>0</v>
      </c>
      <c r="BJ74" s="429"/>
    </row>
    <row r="75" spans="1:62" ht="15" x14ac:dyDescent="0.25">
      <c r="A75" s="363">
        <v>2003</v>
      </c>
      <c r="B75" s="364">
        <v>7</v>
      </c>
      <c r="C75" s="365">
        <v>22.678629032258041</v>
      </c>
      <c r="D75" s="367">
        <v>3.3586021505376107</v>
      </c>
      <c r="E75" s="366">
        <v>127.89538901227431</v>
      </c>
      <c r="F75" s="366">
        <v>142.71032606735798</v>
      </c>
      <c r="G75" s="366">
        <v>141.12566583494197</v>
      </c>
      <c r="H75" s="366">
        <v>108.93735541959025</v>
      </c>
      <c r="I75" s="366">
        <v>83.268419310785575</v>
      </c>
      <c r="J75" s="366">
        <v>126.44838843460489</v>
      </c>
      <c r="K75" s="366">
        <v>161.8013230532074</v>
      </c>
      <c r="L75" s="366">
        <v>154.28125106526835</v>
      </c>
      <c r="M75" s="367">
        <v>256.58870967741933</v>
      </c>
      <c r="N75" s="365">
        <v>19.219354838709673</v>
      </c>
      <c r="O75" s="366">
        <v>19.190322580645155</v>
      </c>
      <c r="P75" s="366">
        <v>18.57096774193548</v>
      </c>
      <c r="Q75" s="366">
        <v>18.229032258064514</v>
      </c>
      <c r="R75" s="366">
        <v>18.109677419354835</v>
      </c>
      <c r="S75" s="366">
        <v>19.661290322580648</v>
      </c>
      <c r="T75" s="366">
        <v>21.290322580645157</v>
      </c>
      <c r="U75" s="366">
        <v>22.609677419354835</v>
      </c>
      <c r="V75" s="366">
        <v>23.761290322580646</v>
      </c>
      <c r="W75" s="366">
        <v>24.880645161290328</v>
      </c>
      <c r="X75" s="366">
        <v>25.632258064516133</v>
      </c>
      <c r="Y75" s="366">
        <v>26.403225806451616</v>
      </c>
      <c r="Z75" s="366">
        <v>27.02258064516128</v>
      </c>
      <c r="AA75" s="366">
        <v>27.00322580645161</v>
      </c>
      <c r="AB75" s="366">
        <v>26.64838709677419</v>
      </c>
      <c r="AC75" s="366">
        <v>26.56129032258065</v>
      </c>
      <c r="AD75" s="366">
        <v>25.967741935483868</v>
      </c>
      <c r="AE75" s="366">
        <v>25.235483870967748</v>
      </c>
      <c r="AF75" s="366">
        <v>24.103225806451622</v>
      </c>
      <c r="AG75" s="366">
        <v>22.57741935483871</v>
      </c>
      <c r="AH75" s="366">
        <v>21.654838709677424</v>
      </c>
      <c r="AI75" s="366">
        <v>20.567741935483873</v>
      </c>
      <c r="AJ75" s="366">
        <v>19.94193548387096</v>
      </c>
      <c r="AK75" s="367">
        <v>19.445161290322581</v>
      </c>
      <c r="AL75" s="365">
        <v>0</v>
      </c>
      <c r="AM75" s="366">
        <v>0</v>
      </c>
      <c r="AN75" s="366">
        <v>0</v>
      </c>
      <c r="AO75" s="366">
        <v>0</v>
      </c>
      <c r="AP75" s="366">
        <v>0.61290322580645162</v>
      </c>
      <c r="AQ75" s="366">
        <v>83.064516129032256</v>
      </c>
      <c r="AR75" s="366">
        <v>209.70967741935485</v>
      </c>
      <c r="AS75" s="366">
        <v>349.48387096774195</v>
      </c>
      <c r="AT75" s="366">
        <v>505.96774193548384</v>
      </c>
      <c r="AU75" s="366">
        <v>571.9677419354839</v>
      </c>
      <c r="AV75" s="366">
        <v>700.38709677419354</v>
      </c>
      <c r="AW75" s="366">
        <v>757.29032258064512</v>
      </c>
      <c r="AX75" s="366">
        <v>772.09677419354841</v>
      </c>
      <c r="AY75" s="366">
        <v>629.29032258064512</v>
      </c>
      <c r="AZ75" s="366">
        <v>559.06451612903231</v>
      </c>
      <c r="BA75" s="366">
        <v>462.03225806451616</v>
      </c>
      <c r="BB75" s="366">
        <v>328.61290322580646</v>
      </c>
      <c r="BC75" s="366">
        <v>171.61290322580646</v>
      </c>
      <c r="BD75" s="366">
        <v>56.935483870967744</v>
      </c>
      <c r="BE75" s="366">
        <v>0</v>
      </c>
      <c r="BF75" s="366">
        <v>0</v>
      </c>
      <c r="BG75" s="366">
        <v>0</v>
      </c>
      <c r="BH75" s="366">
        <v>0</v>
      </c>
      <c r="BI75" s="367">
        <v>0</v>
      </c>
      <c r="BJ75" s="429"/>
    </row>
    <row r="76" spans="1:62" ht="15" x14ac:dyDescent="0.25">
      <c r="A76" s="363">
        <v>2003</v>
      </c>
      <c r="B76" s="364">
        <v>8</v>
      </c>
      <c r="C76" s="365">
        <v>23.182123655913983</v>
      </c>
      <c r="D76" s="367">
        <v>3.0978494623655752</v>
      </c>
      <c r="E76" s="366">
        <v>138.39675553381588</v>
      </c>
      <c r="F76" s="366">
        <v>138.76863062092707</v>
      </c>
      <c r="G76" s="366">
        <v>122.16495801266205</v>
      </c>
      <c r="H76" s="366">
        <v>84.830124683164073</v>
      </c>
      <c r="I76" s="366">
        <v>63.319645848115634</v>
      </c>
      <c r="J76" s="366">
        <v>102.67379859999686</v>
      </c>
      <c r="K76" s="366">
        <v>145.85018709387808</v>
      </c>
      <c r="L76" s="366">
        <v>154.10428505398954</v>
      </c>
      <c r="M76" s="367">
        <v>218.50940860215053</v>
      </c>
      <c r="N76" s="365">
        <v>20.432258064516123</v>
      </c>
      <c r="O76" s="366">
        <v>20.177419354838701</v>
      </c>
      <c r="P76" s="366">
        <v>20.090322580645157</v>
      </c>
      <c r="Q76" s="366">
        <v>19.716129032258063</v>
      </c>
      <c r="R76" s="366">
        <v>19.464516129032258</v>
      </c>
      <c r="S76" s="366">
        <v>20.164516129032254</v>
      </c>
      <c r="T76" s="366">
        <v>21.461290322580641</v>
      </c>
      <c r="U76" s="366">
        <v>23.099999999999998</v>
      </c>
      <c r="V76" s="366">
        <v>24.516129032258068</v>
      </c>
      <c r="W76" s="366">
        <v>25.483870967741939</v>
      </c>
      <c r="X76" s="366">
        <v>26.364516129032268</v>
      </c>
      <c r="Y76" s="366">
        <v>26.616129032258065</v>
      </c>
      <c r="Z76" s="366">
        <v>26.738709677419354</v>
      </c>
      <c r="AA76" s="366">
        <v>27.038709677419352</v>
      </c>
      <c r="AB76" s="366">
        <v>26.612903225806452</v>
      </c>
      <c r="AC76" s="366">
        <v>26.429032258064517</v>
      </c>
      <c r="AD76" s="366">
        <v>25.741935483870975</v>
      </c>
      <c r="AE76" s="366">
        <v>24.819354838709678</v>
      </c>
      <c r="AF76" s="366">
        <v>23.683870967741932</v>
      </c>
      <c r="AG76" s="366">
        <v>22.980645161290326</v>
      </c>
      <c r="AH76" s="366">
        <v>21.896774193548392</v>
      </c>
      <c r="AI76" s="366">
        <v>21.3483870967742</v>
      </c>
      <c r="AJ76" s="366">
        <v>20.864516129032268</v>
      </c>
      <c r="AK76" s="367">
        <v>20.629032258064516</v>
      </c>
      <c r="AL76" s="365">
        <v>0</v>
      </c>
      <c r="AM76" s="366">
        <v>0</v>
      </c>
      <c r="AN76" s="366">
        <v>0</v>
      </c>
      <c r="AO76" s="366">
        <v>0</v>
      </c>
      <c r="AP76" s="366">
        <v>0</v>
      </c>
      <c r="AQ76" s="366">
        <v>16.032258064516128</v>
      </c>
      <c r="AR76" s="366">
        <v>162.54838709677421</v>
      </c>
      <c r="AS76" s="366">
        <v>292.35483870967744</v>
      </c>
      <c r="AT76" s="366">
        <v>450.58064516129031</v>
      </c>
      <c r="AU76" s="366">
        <v>552.38709677419354</v>
      </c>
      <c r="AV76" s="366">
        <v>636.77419354838707</v>
      </c>
      <c r="AW76" s="366">
        <v>612.0322580645161</v>
      </c>
      <c r="AX76" s="366">
        <v>628.87096774193549</v>
      </c>
      <c r="AY76" s="366">
        <v>595.83870967741939</v>
      </c>
      <c r="AZ76" s="366">
        <v>494.51612903225805</v>
      </c>
      <c r="BA76" s="366">
        <v>400.51612903225805</v>
      </c>
      <c r="BB76" s="366">
        <v>263.74193548387098</v>
      </c>
      <c r="BC76" s="366">
        <v>122.16129032258064</v>
      </c>
      <c r="BD76" s="366">
        <v>15.870967741935484</v>
      </c>
      <c r="BE76" s="366">
        <v>0</v>
      </c>
      <c r="BF76" s="366">
        <v>0</v>
      </c>
      <c r="BG76" s="366">
        <v>0</v>
      </c>
      <c r="BH76" s="366">
        <v>0</v>
      </c>
      <c r="BI76" s="367">
        <v>0</v>
      </c>
      <c r="BJ76" s="429"/>
    </row>
    <row r="77" spans="1:62" ht="15" x14ac:dyDescent="0.25">
      <c r="A77" s="363">
        <v>2003</v>
      </c>
      <c r="B77" s="364">
        <v>9</v>
      </c>
      <c r="C77" s="365">
        <v>17.562500000000018</v>
      </c>
      <c r="D77" s="367">
        <v>3.5783333333333083</v>
      </c>
      <c r="E77" s="366">
        <v>154.82187126742002</v>
      </c>
      <c r="F77" s="366">
        <v>136.40797728791489</v>
      </c>
      <c r="G77" s="366">
        <v>102.44442408879537</v>
      </c>
      <c r="H77" s="366">
        <v>61.775895588654031</v>
      </c>
      <c r="I77" s="366">
        <v>47.141529840412268</v>
      </c>
      <c r="J77" s="366">
        <v>73.254872638213286</v>
      </c>
      <c r="K77" s="366">
        <v>121.26505182245342</v>
      </c>
      <c r="L77" s="366">
        <v>151.26072904189778</v>
      </c>
      <c r="M77" s="367">
        <v>176.06666666666666</v>
      </c>
      <c r="N77" s="365">
        <v>14.893333333333334</v>
      </c>
      <c r="O77" s="366">
        <v>14.349999999999998</v>
      </c>
      <c r="P77" s="366">
        <v>13.889999999999993</v>
      </c>
      <c r="Q77" s="366">
        <v>13.503333333333332</v>
      </c>
      <c r="R77" s="366">
        <v>13.206666666666667</v>
      </c>
      <c r="S77" s="366">
        <v>13.273333333333333</v>
      </c>
      <c r="T77" s="366">
        <v>14.876666666666669</v>
      </c>
      <c r="U77" s="366">
        <v>16.686666666666667</v>
      </c>
      <c r="V77" s="366">
        <v>18.273333333333333</v>
      </c>
      <c r="W77" s="366">
        <v>19.726666666666674</v>
      </c>
      <c r="X77" s="366">
        <v>20.863333333333337</v>
      </c>
      <c r="Y77" s="366">
        <v>21.38333333333334</v>
      </c>
      <c r="Z77" s="366">
        <v>21.809999999999995</v>
      </c>
      <c r="AA77" s="366">
        <v>21.909999999999993</v>
      </c>
      <c r="AB77" s="366">
        <v>21.949999999999996</v>
      </c>
      <c r="AC77" s="366">
        <v>21.706666666666667</v>
      </c>
      <c r="AD77" s="366">
        <v>21.053333333333335</v>
      </c>
      <c r="AE77" s="366">
        <v>19.513333333333339</v>
      </c>
      <c r="AF77" s="366">
        <v>18.220000000000006</v>
      </c>
      <c r="AG77" s="366">
        <v>17.203333333333333</v>
      </c>
      <c r="AH77" s="366">
        <v>16.52333333333333</v>
      </c>
      <c r="AI77" s="366">
        <v>16.103333333333332</v>
      </c>
      <c r="AJ77" s="366">
        <v>15.116666666666667</v>
      </c>
      <c r="AK77" s="367">
        <v>15.463333333333333</v>
      </c>
      <c r="AL77" s="365">
        <v>0</v>
      </c>
      <c r="AM77" s="366">
        <v>0</v>
      </c>
      <c r="AN77" s="366">
        <v>0</v>
      </c>
      <c r="AO77" s="366">
        <v>0</v>
      </c>
      <c r="AP77" s="366">
        <v>0</v>
      </c>
      <c r="AQ77" s="366">
        <v>0.9</v>
      </c>
      <c r="AR77" s="366">
        <v>96.766666666666666</v>
      </c>
      <c r="AS77" s="366">
        <v>234.63333333333333</v>
      </c>
      <c r="AT77" s="366">
        <v>369.1</v>
      </c>
      <c r="AU77" s="366">
        <v>486.13333333333333</v>
      </c>
      <c r="AV77" s="366">
        <v>537.06666666666672</v>
      </c>
      <c r="AW77" s="366">
        <v>569.1</v>
      </c>
      <c r="AX77" s="366">
        <v>543.16666666666663</v>
      </c>
      <c r="AY77" s="366">
        <v>496.8</v>
      </c>
      <c r="AZ77" s="366">
        <v>403.33333333333331</v>
      </c>
      <c r="BA77" s="366">
        <v>293.33333333333331</v>
      </c>
      <c r="BB77" s="366">
        <v>163.26666666666668</v>
      </c>
      <c r="BC77" s="366">
        <v>32</v>
      </c>
      <c r="BD77" s="366">
        <v>0</v>
      </c>
      <c r="BE77" s="366">
        <v>0</v>
      </c>
      <c r="BF77" s="366">
        <v>0</v>
      </c>
      <c r="BG77" s="366">
        <v>0</v>
      </c>
      <c r="BH77" s="366">
        <v>0</v>
      </c>
      <c r="BI77" s="367">
        <v>0</v>
      </c>
      <c r="BJ77" s="429"/>
    </row>
    <row r="78" spans="1:62" ht="15" x14ac:dyDescent="0.25">
      <c r="A78" s="363">
        <v>2003</v>
      </c>
      <c r="B78" s="364">
        <v>10</v>
      </c>
      <c r="C78" s="365">
        <v>11.39838709677421</v>
      </c>
      <c r="D78" s="367">
        <v>3.1856182795698715</v>
      </c>
      <c r="E78" s="366">
        <v>158.26779964824101</v>
      </c>
      <c r="F78" s="366">
        <v>120.59240579580411</v>
      </c>
      <c r="G78" s="366">
        <v>73.166787181170747</v>
      </c>
      <c r="H78" s="366">
        <v>38.232983052502206</v>
      </c>
      <c r="I78" s="366">
        <v>33.692563297189842</v>
      </c>
      <c r="J78" s="366">
        <v>46.923245825321196</v>
      </c>
      <c r="K78" s="366">
        <v>94.096013641529566</v>
      </c>
      <c r="L78" s="366">
        <v>141.43146432034584</v>
      </c>
      <c r="M78" s="367">
        <v>129.79838709677421</v>
      </c>
      <c r="N78" s="365">
        <v>8.7483870967741915</v>
      </c>
      <c r="O78" s="366">
        <v>8.0612903225806427</v>
      </c>
      <c r="P78" s="366">
        <v>7.8322580645161297</v>
      </c>
      <c r="Q78" s="366">
        <v>7.6322580645161295</v>
      </c>
      <c r="R78" s="366">
        <v>7.2548387096774194</v>
      </c>
      <c r="S78" s="366">
        <v>7.145161290322581</v>
      </c>
      <c r="T78" s="366">
        <v>8.2645161290322591</v>
      </c>
      <c r="U78" s="366">
        <v>10.300000000000002</v>
      </c>
      <c r="V78" s="366">
        <v>12.032258064516132</v>
      </c>
      <c r="W78" s="366">
        <v>13.251612903225805</v>
      </c>
      <c r="X78" s="366">
        <v>14.287096774193552</v>
      </c>
      <c r="Y78" s="366">
        <v>15.093548387096776</v>
      </c>
      <c r="Z78" s="366">
        <v>15.774193548387098</v>
      </c>
      <c r="AA78" s="366">
        <v>15.990322580645163</v>
      </c>
      <c r="AB78" s="366">
        <v>15.964516129032258</v>
      </c>
      <c r="AC78" s="366">
        <v>15.425806451612909</v>
      </c>
      <c r="AD78" s="366">
        <v>14.283870967741938</v>
      </c>
      <c r="AE78" s="366">
        <v>12.780645161290325</v>
      </c>
      <c r="AF78" s="366">
        <v>12.019354838709678</v>
      </c>
      <c r="AG78" s="366">
        <v>11.348387096774195</v>
      </c>
      <c r="AH78" s="366">
        <v>10.980645161290322</v>
      </c>
      <c r="AI78" s="366">
        <v>10.225806451612906</v>
      </c>
      <c r="AJ78" s="366">
        <v>9.5419354838709687</v>
      </c>
      <c r="AK78" s="367">
        <v>9.3225806451612918</v>
      </c>
      <c r="AL78" s="365">
        <v>0</v>
      </c>
      <c r="AM78" s="366">
        <v>0</v>
      </c>
      <c r="AN78" s="366">
        <v>0</v>
      </c>
      <c r="AO78" s="366">
        <v>0</v>
      </c>
      <c r="AP78" s="366">
        <v>0</v>
      </c>
      <c r="AQ78" s="366">
        <v>0</v>
      </c>
      <c r="AR78" s="366">
        <v>15.225806451612904</v>
      </c>
      <c r="AS78" s="366">
        <v>157.48387096774192</v>
      </c>
      <c r="AT78" s="366">
        <v>288.19354838709677</v>
      </c>
      <c r="AU78" s="366">
        <v>382</v>
      </c>
      <c r="AV78" s="366">
        <v>442.93548387096774</v>
      </c>
      <c r="AW78" s="366">
        <v>447.58064516129031</v>
      </c>
      <c r="AX78" s="366">
        <v>463.80645161290323</v>
      </c>
      <c r="AY78" s="366">
        <v>390.32258064516128</v>
      </c>
      <c r="AZ78" s="366">
        <v>302.67741935483872</v>
      </c>
      <c r="BA78" s="366">
        <v>171.19354838709677</v>
      </c>
      <c r="BB78" s="366">
        <v>53.741935483870968</v>
      </c>
      <c r="BC78" s="366">
        <v>0</v>
      </c>
      <c r="BD78" s="366">
        <v>0</v>
      </c>
      <c r="BE78" s="366">
        <v>0</v>
      </c>
      <c r="BF78" s="366">
        <v>0</v>
      </c>
      <c r="BG78" s="366">
        <v>0</v>
      </c>
      <c r="BH78" s="366">
        <v>0</v>
      </c>
      <c r="BI78" s="367">
        <v>0</v>
      </c>
      <c r="BJ78" s="429"/>
    </row>
    <row r="79" spans="1:62" ht="15" x14ac:dyDescent="0.25">
      <c r="A79" s="363">
        <v>2003</v>
      </c>
      <c r="B79" s="364">
        <v>11</v>
      </c>
      <c r="C79" s="365">
        <v>5.7870833333333245</v>
      </c>
      <c r="D79" s="367">
        <v>4.6115277777777433</v>
      </c>
      <c r="E79" s="366">
        <v>99.354217494406129</v>
      </c>
      <c r="F79" s="366">
        <v>71.058917509051369</v>
      </c>
      <c r="G79" s="366">
        <v>37.434604039889429</v>
      </c>
      <c r="H79" s="366">
        <v>22.581570439312863</v>
      </c>
      <c r="I79" s="366">
        <v>21.843285055657553</v>
      </c>
      <c r="J79" s="366">
        <v>24.740343041595608</v>
      </c>
      <c r="K79" s="366">
        <v>49.555987886172389</v>
      </c>
      <c r="L79" s="366">
        <v>86.178530915299461</v>
      </c>
      <c r="M79" s="367">
        <v>65.12222222222222</v>
      </c>
      <c r="N79" s="365">
        <v>4.4400000000000004</v>
      </c>
      <c r="O79" s="366">
        <v>4.2733333333333325</v>
      </c>
      <c r="P79" s="366">
        <v>3.8966666666666674</v>
      </c>
      <c r="Q79" s="366">
        <v>3.7500000000000004</v>
      </c>
      <c r="R79" s="366">
        <v>3.78</v>
      </c>
      <c r="S79" s="366">
        <v>3.796666666666666</v>
      </c>
      <c r="T79" s="366">
        <v>3.5733333333333337</v>
      </c>
      <c r="U79" s="366">
        <v>4.5266666666666673</v>
      </c>
      <c r="V79" s="366">
        <v>5.4766666666666657</v>
      </c>
      <c r="W79" s="366">
        <v>6.3433333333333346</v>
      </c>
      <c r="X79" s="366">
        <v>7.2966666666666669</v>
      </c>
      <c r="Y79" s="366">
        <v>7.87</v>
      </c>
      <c r="Z79" s="366">
        <v>8.3900000000000023</v>
      </c>
      <c r="AA79" s="366">
        <v>8.6500000000000021</v>
      </c>
      <c r="AB79" s="366">
        <v>8.3866666666666667</v>
      </c>
      <c r="AC79" s="366">
        <v>7.6066666666666665</v>
      </c>
      <c r="AD79" s="366">
        <v>7.0399999999999974</v>
      </c>
      <c r="AE79" s="366">
        <v>6.7233333333333318</v>
      </c>
      <c r="AF79" s="366">
        <v>6.3499999999999979</v>
      </c>
      <c r="AG79" s="366">
        <v>5.9233333333333329</v>
      </c>
      <c r="AH79" s="366">
        <v>5.6933333333333316</v>
      </c>
      <c r="AI79" s="366">
        <v>5.4499999999999975</v>
      </c>
      <c r="AJ79" s="366">
        <v>4.879999999999999</v>
      </c>
      <c r="AK79" s="367">
        <v>4.7733333333333343</v>
      </c>
      <c r="AL79" s="365">
        <v>0</v>
      </c>
      <c r="AM79" s="366">
        <v>0</v>
      </c>
      <c r="AN79" s="366">
        <v>0</v>
      </c>
      <c r="AO79" s="366">
        <v>0</v>
      </c>
      <c r="AP79" s="366">
        <v>0</v>
      </c>
      <c r="AQ79" s="366">
        <v>0</v>
      </c>
      <c r="AR79" s="366">
        <v>3.3333333333333333E-2</v>
      </c>
      <c r="AS79" s="366">
        <v>48</v>
      </c>
      <c r="AT79" s="366">
        <v>125.13333333333334</v>
      </c>
      <c r="AU79" s="366">
        <v>186.7</v>
      </c>
      <c r="AV79" s="366">
        <v>249.23333333333332</v>
      </c>
      <c r="AW79" s="366">
        <v>271.33333333333331</v>
      </c>
      <c r="AX79" s="366">
        <v>265.10000000000002</v>
      </c>
      <c r="AY79" s="366">
        <v>209.46666666666667</v>
      </c>
      <c r="AZ79" s="366">
        <v>141.03333333333333</v>
      </c>
      <c r="BA79" s="366">
        <v>65.400000000000006</v>
      </c>
      <c r="BB79" s="366">
        <v>1.5</v>
      </c>
      <c r="BC79" s="366">
        <v>0</v>
      </c>
      <c r="BD79" s="366">
        <v>0</v>
      </c>
      <c r="BE79" s="366">
        <v>0</v>
      </c>
      <c r="BF79" s="366">
        <v>0</v>
      </c>
      <c r="BG79" s="366">
        <v>0</v>
      </c>
      <c r="BH79" s="366">
        <v>0</v>
      </c>
      <c r="BI79" s="367">
        <v>0</v>
      </c>
      <c r="BJ79" s="429"/>
    </row>
    <row r="80" spans="1:62" ht="15" x14ac:dyDescent="0.25">
      <c r="A80" s="368">
        <v>2003</v>
      </c>
      <c r="B80" s="369">
        <v>12</v>
      </c>
      <c r="C80" s="370">
        <v>0.16979865771812125</v>
      </c>
      <c r="D80" s="372">
        <v>4.7377181208053232</v>
      </c>
      <c r="E80" s="371">
        <v>104.69031163589608</v>
      </c>
      <c r="F80" s="371">
        <v>72.920895264798176</v>
      </c>
      <c r="G80" s="371">
        <v>34.969750263977488</v>
      </c>
      <c r="H80" s="371">
        <v>19.713918479044093</v>
      </c>
      <c r="I80" s="371">
        <v>19.391874096759704</v>
      </c>
      <c r="J80" s="371">
        <v>21.267955985397364</v>
      </c>
      <c r="K80" s="371">
        <v>47.18065309459962</v>
      </c>
      <c r="L80" s="371">
        <v>88.773998929503506</v>
      </c>
      <c r="M80" s="372">
        <v>58.922147651006711</v>
      </c>
      <c r="N80" s="370">
        <v>-0.47096774193548374</v>
      </c>
      <c r="O80" s="371">
        <v>-0.87096774193548432</v>
      </c>
      <c r="P80" s="371">
        <v>-0.9290322580645165</v>
      </c>
      <c r="Q80" s="371">
        <v>-1.2193548387096775</v>
      </c>
      <c r="R80" s="371">
        <v>-1.3354838709677426</v>
      </c>
      <c r="S80" s="371">
        <v>-1.4290322580645161</v>
      </c>
      <c r="T80" s="371">
        <v>-1.5064516129032259</v>
      </c>
      <c r="U80" s="371">
        <v>-1.329032258064516</v>
      </c>
      <c r="V80" s="371">
        <v>-0.42580645161290342</v>
      </c>
      <c r="W80" s="371">
        <v>0.46451612903225825</v>
      </c>
      <c r="X80" s="371">
        <v>1.2419354838709677</v>
      </c>
      <c r="Y80" s="371">
        <v>1.9096774193548387</v>
      </c>
      <c r="Z80" s="371">
        <v>2.4258064516129032</v>
      </c>
      <c r="AA80" s="371">
        <v>2.5354838709677425</v>
      </c>
      <c r="AB80" s="371">
        <v>2.3870967741935485</v>
      </c>
      <c r="AC80" s="371">
        <v>1.6483870967741932</v>
      </c>
      <c r="AD80" s="371">
        <v>1.0451612903225806</v>
      </c>
      <c r="AE80" s="371">
        <v>0.70322580645161303</v>
      </c>
      <c r="AF80" s="371">
        <v>0.32903225806451603</v>
      </c>
      <c r="AG80" s="371">
        <v>9.6774193548387136E-2</v>
      </c>
      <c r="AH80" s="371">
        <v>-0.12903225806451626</v>
      </c>
      <c r="AI80" s="371">
        <v>-0.26774193548387121</v>
      </c>
      <c r="AJ80" s="371">
        <v>-0.44193548387096776</v>
      </c>
      <c r="AK80" s="372">
        <v>-0.34062500000000018</v>
      </c>
      <c r="AL80" s="370">
        <v>0</v>
      </c>
      <c r="AM80" s="371">
        <v>0</v>
      </c>
      <c r="AN80" s="371">
        <v>0</v>
      </c>
      <c r="AO80" s="371">
        <v>0</v>
      </c>
      <c r="AP80" s="371">
        <v>0</v>
      </c>
      <c r="AQ80" s="371">
        <v>0</v>
      </c>
      <c r="AR80" s="371">
        <v>0</v>
      </c>
      <c r="AS80" s="371">
        <v>8.2903225806451619</v>
      </c>
      <c r="AT80" s="371">
        <v>94.322580645161295</v>
      </c>
      <c r="AU80" s="371">
        <v>188.87096774193549</v>
      </c>
      <c r="AV80" s="371">
        <v>224.48387096774192</v>
      </c>
      <c r="AW80" s="371">
        <v>238.93548387096774</v>
      </c>
      <c r="AX80" s="371">
        <v>259.96774193548384</v>
      </c>
      <c r="AY80" s="371">
        <v>197.12903225806451</v>
      </c>
      <c r="AZ80" s="371">
        <v>142.83870967741936</v>
      </c>
      <c r="BA80" s="371">
        <v>61.193548387096776</v>
      </c>
      <c r="BB80" s="371">
        <v>0</v>
      </c>
      <c r="BC80" s="371">
        <v>0</v>
      </c>
      <c r="BD80" s="371">
        <v>0</v>
      </c>
      <c r="BE80" s="371">
        <v>0</v>
      </c>
      <c r="BF80" s="371">
        <v>0</v>
      </c>
      <c r="BG80" s="371">
        <v>0</v>
      </c>
      <c r="BH80" s="371">
        <v>0</v>
      </c>
      <c r="BI80" s="372">
        <v>0</v>
      </c>
      <c r="BJ80" s="429"/>
    </row>
    <row r="81" spans="1:62" ht="15" x14ac:dyDescent="0.25">
      <c r="A81" s="347">
        <v>2004</v>
      </c>
      <c r="B81" s="348">
        <v>1</v>
      </c>
      <c r="C81" s="349">
        <v>-6.364333781965005</v>
      </c>
      <c r="D81" s="351">
        <v>4.9855989232839306</v>
      </c>
      <c r="E81" s="350">
        <v>117.92908937903614</v>
      </c>
      <c r="F81" s="350">
        <v>84.014619181871097</v>
      </c>
      <c r="G81" s="350">
        <v>42.749426637937049</v>
      </c>
      <c r="H81" s="350">
        <v>22.783607728898705</v>
      </c>
      <c r="I81" s="350">
        <v>22.099037725468886</v>
      </c>
      <c r="J81" s="350">
        <v>25.58042659865723</v>
      </c>
      <c r="K81" s="350">
        <v>55.970343382561857</v>
      </c>
      <c r="L81" s="350">
        <v>100.07395353294359</v>
      </c>
      <c r="M81" s="351">
        <v>69.263795423956935</v>
      </c>
      <c r="N81" s="349">
        <v>-6.6806451612903235</v>
      </c>
      <c r="O81" s="350">
        <v>-6.8677419354838705</v>
      </c>
      <c r="P81" s="350">
        <v>-7.1258064516129025</v>
      </c>
      <c r="Q81" s="350">
        <v>-7.5645161290322562</v>
      </c>
      <c r="R81" s="350">
        <v>-7.961290322580644</v>
      </c>
      <c r="S81" s="350">
        <v>-8.2419354838709662</v>
      </c>
      <c r="T81" s="350">
        <v>-8.2258064516129021</v>
      </c>
      <c r="U81" s="350">
        <v>-8.0999999999999979</v>
      </c>
      <c r="V81" s="350">
        <v>-7.6193548387096781</v>
      </c>
      <c r="W81" s="350">
        <v>-6.8967741935483877</v>
      </c>
      <c r="X81" s="350">
        <v>-6.1612903225806441</v>
      </c>
      <c r="Y81" s="350">
        <v>-5.6258064516129043</v>
      </c>
      <c r="Z81" s="350">
        <v>-5.1096774193548375</v>
      </c>
      <c r="AA81" s="350">
        <v>-4.8</v>
      </c>
      <c r="AB81" s="350">
        <v>-4.6999999999999993</v>
      </c>
      <c r="AC81" s="350">
        <v>-4.7838709677419349</v>
      </c>
      <c r="AD81" s="350">
        <v>-5.0548387096774183</v>
      </c>
      <c r="AE81" s="350">
        <v>-5.3741935483870966</v>
      </c>
      <c r="AF81" s="350">
        <v>-5.4290322580645167</v>
      </c>
      <c r="AG81" s="350">
        <v>-5.67741935483871</v>
      </c>
      <c r="AH81" s="350">
        <v>-5.967741935483871</v>
      </c>
      <c r="AI81" s="350">
        <v>-6.096774193548387</v>
      </c>
      <c r="AJ81" s="350">
        <v>-6.2387096774193544</v>
      </c>
      <c r="AK81" s="351">
        <v>-6.4433333333333334</v>
      </c>
      <c r="AL81" s="349">
        <v>0</v>
      </c>
      <c r="AM81" s="350">
        <v>0</v>
      </c>
      <c r="AN81" s="350">
        <v>0</v>
      </c>
      <c r="AO81" s="350">
        <v>0</v>
      </c>
      <c r="AP81" s="350">
        <v>0</v>
      </c>
      <c r="AQ81" s="350">
        <v>0</v>
      </c>
      <c r="AR81" s="350">
        <v>0</v>
      </c>
      <c r="AS81" s="350">
        <v>3.4838709677419355</v>
      </c>
      <c r="AT81" s="350">
        <v>113</v>
      </c>
      <c r="AU81" s="350">
        <v>182.32258064516128</v>
      </c>
      <c r="AV81" s="350">
        <v>253.16129032258064</v>
      </c>
      <c r="AW81" s="350">
        <v>275.54838709677421</v>
      </c>
      <c r="AX81" s="350">
        <v>299.25806451612902</v>
      </c>
      <c r="AY81" s="350">
        <v>227.51612903225808</v>
      </c>
      <c r="AZ81" s="350">
        <v>186.74193548387098</v>
      </c>
      <c r="BA81" s="350">
        <v>106.12903225806451</v>
      </c>
      <c r="BB81" s="350">
        <v>12.935483870967742</v>
      </c>
      <c r="BC81" s="350">
        <v>0</v>
      </c>
      <c r="BD81" s="350">
        <v>0</v>
      </c>
      <c r="BE81" s="350">
        <v>0</v>
      </c>
      <c r="BF81" s="350">
        <v>0</v>
      </c>
      <c r="BG81" s="350">
        <v>0</v>
      </c>
      <c r="BH81" s="350">
        <v>0</v>
      </c>
      <c r="BI81" s="351">
        <v>0</v>
      </c>
      <c r="BJ81" s="429"/>
    </row>
    <row r="82" spans="1:62" ht="15" x14ac:dyDescent="0.25">
      <c r="A82" s="347">
        <v>2004</v>
      </c>
      <c r="B82" s="348">
        <v>2</v>
      </c>
      <c r="C82" s="352">
        <v>-2.2111607142857146</v>
      </c>
      <c r="D82" s="354">
        <v>4.2787202380951923</v>
      </c>
      <c r="E82" s="353">
        <v>169.14996960957347</v>
      </c>
      <c r="F82" s="353">
        <v>123.52986034258849</v>
      </c>
      <c r="G82" s="353">
        <v>69.219895118770708</v>
      </c>
      <c r="H82" s="353">
        <v>34.505440634553857</v>
      </c>
      <c r="I82" s="353">
        <v>30.827505011877168</v>
      </c>
      <c r="J82" s="353">
        <v>41.987742766600697</v>
      </c>
      <c r="K82" s="353">
        <v>92.566239439792739</v>
      </c>
      <c r="L82" s="353">
        <v>149.16013853453791</v>
      </c>
      <c r="M82" s="354">
        <v>121.41815476190476</v>
      </c>
      <c r="N82" s="352">
        <v>-4.1249999999999991</v>
      </c>
      <c r="O82" s="353">
        <v>-4.2785714285714276</v>
      </c>
      <c r="P82" s="353">
        <v>-4.2714285714285714</v>
      </c>
      <c r="Q82" s="353">
        <v>-4.4642857142857135</v>
      </c>
      <c r="R82" s="353">
        <v>-4.621428571428571</v>
      </c>
      <c r="S82" s="353">
        <v>-4.4035714285714294</v>
      </c>
      <c r="T82" s="353">
        <v>-4.6178571428571429</v>
      </c>
      <c r="U82" s="353">
        <v>-3.7892857142857146</v>
      </c>
      <c r="V82" s="353">
        <v>-2.8714285714285723</v>
      </c>
      <c r="W82" s="353">
        <v>-1.8285714285714281</v>
      </c>
      <c r="X82" s="353">
        <v>-0.83571428571428563</v>
      </c>
      <c r="Y82" s="353">
        <v>-3.2142857142856966E-2</v>
      </c>
      <c r="Z82" s="353">
        <v>0.50714285714285723</v>
      </c>
      <c r="AA82" s="353">
        <v>0.70000000000000007</v>
      </c>
      <c r="AB82" s="353">
        <v>0.6535714285714288</v>
      </c>
      <c r="AC82" s="353">
        <v>0.43571428571428567</v>
      </c>
      <c r="AD82" s="353">
        <v>-8.2142857142857045E-2</v>
      </c>
      <c r="AE82" s="353">
        <v>-0.83571428571428596</v>
      </c>
      <c r="AF82" s="353">
        <v>-1.2071428571428573</v>
      </c>
      <c r="AG82" s="353">
        <v>-1.8214285714285712</v>
      </c>
      <c r="AH82" s="353">
        <v>-2.0678571428571422</v>
      </c>
      <c r="AI82" s="353">
        <v>-2.3642857142857139</v>
      </c>
      <c r="AJ82" s="353">
        <v>-2.914285714285715</v>
      </c>
      <c r="AK82" s="354">
        <v>-3.9321428571428574</v>
      </c>
      <c r="AL82" s="352">
        <v>0</v>
      </c>
      <c r="AM82" s="353">
        <v>0</v>
      </c>
      <c r="AN82" s="353">
        <v>0</v>
      </c>
      <c r="AO82" s="353">
        <v>0</v>
      </c>
      <c r="AP82" s="353">
        <v>0</v>
      </c>
      <c r="AQ82" s="353">
        <v>0</v>
      </c>
      <c r="AR82" s="353">
        <v>0</v>
      </c>
      <c r="AS82" s="353">
        <v>69.464285714285708</v>
      </c>
      <c r="AT82" s="353">
        <v>198.42857142857142</v>
      </c>
      <c r="AU82" s="353">
        <v>315.46428571428572</v>
      </c>
      <c r="AV82" s="353">
        <v>393.46428571428572</v>
      </c>
      <c r="AW82" s="353">
        <v>429.67857142857144</v>
      </c>
      <c r="AX82" s="353">
        <v>461.25</v>
      </c>
      <c r="AY82" s="353">
        <v>412.10714285714283</v>
      </c>
      <c r="AZ82" s="353">
        <v>333.64285714285717</v>
      </c>
      <c r="BA82" s="353">
        <v>212.96428571428572</v>
      </c>
      <c r="BB82" s="353">
        <v>86.642857142857139</v>
      </c>
      <c r="BC82" s="353">
        <v>0.9285714285714286</v>
      </c>
      <c r="BD82" s="353">
        <v>0</v>
      </c>
      <c r="BE82" s="353">
        <v>0</v>
      </c>
      <c r="BF82" s="353">
        <v>0</v>
      </c>
      <c r="BG82" s="353">
        <v>0</v>
      </c>
      <c r="BH82" s="353">
        <v>0</v>
      </c>
      <c r="BI82" s="354">
        <v>0</v>
      </c>
      <c r="BJ82" s="429"/>
    </row>
    <row r="83" spans="1:62" ht="15" x14ac:dyDescent="0.25">
      <c r="A83" s="347">
        <v>2004</v>
      </c>
      <c r="B83" s="348">
        <v>3</v>
      </c>
      <c r="C83" s="352">
        <v>5.0470430107526933</v>
      </c>
      <c r="D83" s="354">
        <v>5.1559139784945724</v>
      </c>
      <c r="E83" s="353">
        <v>137.94505876837678</v>
      </c>
      <c r="F83" s="353">
        <v>116.86537101738467</v>
      </c>
      <c r="G83" s="353">
        <v>82.050580981284796</v>
      </c>
      <c r="H83" s="353">
        <v>49.355037272411309</v>
      </c>
      <c r="I83" s="353">
        <v>40.494300830625782</v>
      </c>
      <c r="J83" s="353">
        <v>59.800032744287982</v>
      </c>
      <c r="K83" s="353">
        <v>99.298390837832486</v>
      </c>
      <c r="L83" s="353">
        <v>130.71556533087309</v>
      </c>
      <c r="M83" s="354">
        <v>140.76075268817203</v>
      </c>
      <c r="N83" s="352">
        <v>3.6580645161290324</v>
      </c>
      <c r="O83" s="353">
        <v>3.3096774193548386</v>
      </c>
      <c r="P83" s="353">
        <v>3.4612903225806444</v>
      </c>
      <c r="Q83" s="353">
        <v>3.3354838709677419</v>
      </c>
      <c r="R83" s="353">
        <v>3.1161290322580641</v>
      </c>
      <c r="S83" s="353">
        <v>2.8935483870967738</v>
      </c>
      <c r="T83" s="353">
        <v>3.467741935483871</v>
      </c>
      <c r="U83" s="353">
        <v>4.3645161290322587</v>
      </c>
      <c r="V83" s="353">
        <v>4.9806451612903224</v>
      </c>
      <c r="W83" s="353">
        <v>5.7322580645161283</v>
      </c>
      <c r="X83" s="353">
        <v>6.4806451612903224</v>
      </c>
      <c r="Y83" s="353">
        <v>6.9193548387096779</v>
      </c>
      <c r="Z83" s="353">
        <v>7.1870967741935488</v>
      </c>
      <c r="AA83" s="353">
        <v>7.441935483870969</v>
      </c>
      <c r="AB83" s="353">
        <v>7.5193548387096776</v>
      </c>
      <c r="AC83" s="353">
        <v>7.2838709677419349</v>
      </c>
      <c r="AD83" s="353">
        <v>6.8580645161290326</v>
      </c>
      <c r="AE83" s="353">
        <v>6.0870967741935491</v>
      </c>
      <c r="AF83" s="353">
        <v>5.2032258064516137</v>
      </c>
      <c r="AG83" s="353">
        <v>4.8000000000000007</v>
      </c>
      <c r="AH83" s="353">
        <v>4.6419354838709683</v>
      </c>
      <c r="AI83" s="353">
        <v>4.3161290322580657</v>
      </c>
      <c r="AJ83" s="353">
        <v>4.0870967741935491</v>
      </c>
      <c r="AK83" s="354">
        <v>3.9838709677419359</v>
      </c>
      <c r="AL83" s="352">
        <v>0</v>
      </c>
      <c r="AM83" s="353">
        <v>0</v>
      </c>
      <c r="AN83" s="353">
        <v>0</v>
      </c>
      <c r="AO83" s="353">
        <v>0</v>
      </c>
      <c r="AP83" s="353">
        <v>0</v>
      </c>
      <c r="AQ83" s="353">
        <v>0</v>
      </c>
      <c r="AR83" s="353">
        <v>25.193548387096776</v>
      </c>
      <c r="AS83" s="353">
        <v>170.25806451612902</v>
      </c>
      <c r="AT83" s="353">
        <v>250.83870967741936</v>
      </c>
      <c r="AU83" s="353">
        <v>375.51612903225805</v>
      </c>
      <c r="AV83" s="353">
        <v>472.93548387096774</v>
      </c>
      <c r="AW83" s="353">
        <v>482.25806451612902</v>
      </c>
      <c r="AX83" s="353">
        <v>440.48387096774195</v>
      </c>
      <c r="AY83" s="353">
        <v>374.54838709677421</v>
      </c>
      <c r="AZ83" s="353">
        <v>346.25806451612902</v>
      </c>
      <c r="BA83" s="353">
        <v>265.19354838709677</v>
      </c>
      <c r="BB83" s="353">
        <v>141.48387096774192</v>
      </c>
      <c r="BC83" s="353">
        <v>33.29032258064516</v>
      </c>
      <c r="BD83" s="353">
        <v>0</v>
      </c>
      <c r="BE83" s="353">
        <v>0</v>
      </c>
      <c r="BF83" s="353">
        <v>0</v>
      </c>
      <c r="BG83" s="353">
        <v>0</v>
      </c>
      <c r="BH83" s="353">
        <v>0</v>
      </c>
      <c r="BI83" s="354">
        <v>0</v>
      </c>
      <c r="BJ83" s="429"/>
    </row>
    <row r="84" spans="1:62" ht="15" x14ac:dyDescent="0.25">
      <c r="A84" s="347">
        <v>2004</v>
      </c>
      <c r="B84" s="348">
        <v>4</v>
      </c>
      <c r="C84" s="352">
        <v>10.368888888888891</v>
      </c>
      <c r="D84" s="354">
        <v>5.062222222222184</v>
      </c>
      <c r="E84" s="353">
        <v>156.93900608046053</v>
      </c>
      <c r="F84" s="353">
        <v>155.16884038297832</v>
      </c>
      <c r="G84" s="353">
        <v>130.3135805063252</v>
      </c>
      <c r="H84" s="353">
        <v>85.358508666681558</v>
      </c>
      <c r="I84" s="353">
        <v>61.124880823774127</v>
      </c>
      <c r="J84" s="353">
        <v>94.139886688033641</v>
      </c>
      <c r="K84" s="353">
        <v>139.815589698716</v>
      </c>
      <c r="L84" s="353">
        <v>159.43598005637878</v>
      </c>
      <c r="M84" s="354">
        <v>216.82361111111112</v>
      </c>
      <c r="N84" s="352">
        <v>7.6333333333333337</v>
      </c>
      <c r="O84" s="353">
        <v>7.3599999999999994</v>
      </c>
      <c r="P84" s="353">
        <v>7.166666666666667</v>
      </c>
      <c r="Q84" s="353">
        <v>6.77</v>
      </c>
      <c r="R84" s="353">
        <v>6.3733333333333322</v>
      </c>
      <c r="S84" s="353">
        <v>6.7099999999999982</v>
      </c>
      <c r="T84" s="353">
        <v>8.2000000000000011</v>
      </c>
      <c r="U84" s="353">
        <v>9.83</v>
      </c>
      <c r="V84" s="353">
        <v>11.333333333333334</v>
      </c>
      <c r="W84" s="353">
        <v>12.72</v>
      </c>
      <c r="X84" s="353">
        <v>13.629999999999999</v>
      </c>
      <c r="Y84" s="353">
        <v>14.239999999999998</v>
      </c>
      <c r="Z84" s="353">
        <v>14.419999999999998</v>
      </c>
      <c r="AA84" s="353">
        <v>14.48</v>
      </c>
      <c r="AB84" s="353">
        <v>14.330000000000002</v>
      </c>
      <c r="AC84" s="353">
        <v>13.700000000000001</v>
      </c>
      <c r="AD84" s="353">
        <v>12.886666666666667</v>
      </c>
      <c r="AE84" s="353">
        <v>11.926666666666669</v>
      </c>
      <c r="AF84" s="353">
        <v>10.606666666666666</v>
      </c>
      <c r="AG84" s="353">
        <v>9.8199999999999985</v>
      </c>
      <c r="AH84" s="353">
        <v>9.57</v>
      </c>
      <c r="AI84" s="353">
        <v>8.8900000000000023</v>
      </c>
      <c r="AJ84" s="353">
        <v>8.4233333333333338</v>
      </c>
      <c r="AK84" s="354">
        <v>7.833333333333333</v>
      </c>
      <c r="AL84" s="352">
        <v>0</v>
      </c>
      <c r="AM84" s="353">
        <v>0</v>
      </c>
      <c r="AN84" s="353">
        <v>0</v>
      </c>
      <c r="AO84" s="353">
        <v>0</v>
      </c>
      <c r="AP84" s="353">
        <v>0</v>
      </c>
      <c r="AQ84" s="353">
        <v>9.9333333333333336</v>
      </c>
      <c r="AR84" s="353">
        <v>165.5</v>
      </c>
      <c r="AS84" s="353">
        <v>314.2</v>
      </c>
      <c r="AT84" s="353">
        <v>474.93333333333334</v>
      </c>
      <c r="AU84" s="353">
        <v>580.5</v>
      </c>
      <c r="AV84" s="353">
        <v>640.66666666666663</v>
      </c>
      <c r="AW84" s="353">
        <v>684.63333333333333</v>
      </c>
      <c r="AX84" s="353">
        <v>631.79999999999995</v>
      </c>
      <c r="AY84" s="353">
        <v>557.6</v>
      </c>
      <c r="AZ84" s="353">
        <v>488.03333333333336</v>
      </c>
      <c r="BA84" s="353">
        <v>355.46666666666664</v>
      </c>
      <c r="BB84" s="353">
        <v>210.9</v>
      </c>
      <c r="BC84" s="353">
        <v>87.266666666666666</v>
      </c>
      <c r="BD84" s="353">
        <v>2.3333333333333335</v>
      </c>
      <c r="BE84" s="353">
        <v>0</v>
      </c>
      <c r="BF84" s="353">
        <v>0</v>
      </c>
      <c r="BG84" s="353">
        <v>0</v>
      </c>
      <c r="BH84" s="353">
        <v>0</v>
      </c>
      <c r="BI84" s="354">
        <v>0</v>
      </c>
      <c r="BJ84" s="429"/>
    </row>
    <row r="85" spans="1:62" ht="15" x14ac:dyDescent="0.25">
      <c r="A85" s="347">
        <v>2004</v>
      </c>
      <c r="B85" s="348">
        <v>5</v>
      </c>
      <c r="C85" s="352">
        <v>15.531182795698911</v>
      </c>
      <c r="D85" s="354">
        <v>4.2768817204300609</v>
      </c>
      <c r="E85" s="353">
        <v>119.0682707869687</v>
      </c>
      <c r="F85" s="353">
        <v>125.26722316155528</v>
      </c>
      <c r="G85" s="353">
        <v>120.01703946988346</v>
      </c>
      <c r="H85" s="353">
        <v>93.353304629887617</v>
      </c>
      <c r="I85" s="353">
        <v>75.561453579488841</v>
      </c>
      <c r="J85" s="353">
        <v>111.11149786635553</v>
      </c>
      <c r="K85" s="353">
        <v>142.68486876360402</v>
      </c>
      <c r="L85" s="353">
        <v>139.26660872815424</v>
      </c>
      <c r="M85" s="354">
        <v>207.20967741935485</v>
      </c>
      <c r="N85" s="352">
        <v>12.777419354838708</v>
      </c>
      <c r="O85" s="353">
        <v>12.480645161290322</v>
      </c>
      <c r="P85" s="353">
        <v>12.380645161290323</v>
      </c>
      <c r="Q85" s="353">
        <v>11.990322580645163</v>
      </c>
      <c r="R85" s="353">
        <v>12.003225806451615</v>
      </c>
      <c r="S85" s="353">
        <v>12.529032258064516</v>
      </c>
      <c r="T85" s="353">
        <v>13.664516129032261</v>
      </c>
      <c r="U85" s="353">
        <v>14.858064516129032</v>
      </c>
      <c r="V85" s="353">
        <v>15.903225806451612</v>
      </c>
      <c r="W85" s="353">
        <v>16.803225806451611</v>
      </c>
      <c r="X85" s="353">
        <v>17.64838709677419</v>
      </c>
      <c r="Y85" s="353">
        <v>18.770967741935479</v>
      </c>
      <c r="Z85" s="353">
        <v>19.261290322580642</v>
      </c>
      <c r="AA85" s="353">
        <v>19.835483870967746</v>
      </c>
      <c r="AB85" s="353">
        <v>19.948387096774201</v>
      </c>
      <c r="AC85" s="353">
        <v>19.232258064516131</v>
      </c>
      <c r="AD85" s="353">
        <v>18.512903225806451</v>
      </c>
      <c r="AE85" s="353">
        <v>17.767741935483873</v>
      </c>
      <c r="AF85" s="353">
        <v>16.412903225806453</v>
      </c>
      <c r="AG85" s="353">
        <v>15.296774193548387</v>
      </c>
      <c r="AH85" s="353">
        <v>14.593548387096776</v>
      </c>
      <c r="AI85" s="353">
        <v>13.91935483870968</v>
      </c>
      <c r="AJ85" s="353">
        <v>13.403225806451612</v>
      </c>
      <c r="AK85" s="354">
        <v>12.75483870967742</v>
      </c>
      <c r="AL85" s="352">
        <v>0</v>
      </c>
      <c r="AM85" s="353">
        <v>0</v>
      </c>
      <c r="AN85" s="353">
        <v>0</v>
      </c>
      <c r="AO85" s="353">
        <v>0</v>
      </c>
      <c r="AP85" s="353">
        <v>0.80645161290322576</v>
      </c>
      <c r="AQ85" s="353">
        <v>84.903225806451616</v>
      </c>
      <c r="AR85" s="353">
        <v>181.35483870967741</v>
      </c>
      <c r="AS85" s="353">
        <v>273.58064516129031</v>
      </c>
      <c r="AT85" s="353">
        <v>385.03225806451616</v>
      </c>
      <c r="AU85" s="353">
        <v>505.16129032258067</v>
      </c>
      <c r="AV85" s="353">
        <v>547.0322580645161</v>
      </c>
      <c r="AW85" s="353">
        <v>602.61290322580646</v>
      </c>
      <c r="AX85" s="353">
        <v>583.80645161290317</v>
      </c>
      <c r="AY85" s="353">
        <v>549.35483870967744</v>
      </c>
      <c r="AZ85" s="353">
        <v>474.03225806451616</v>
      </c>
      <c r="BA85" s="353">
        <v>379.19354838709677</v>
      </c>
      <c r="BB85" s="353">
        <v>259.12903225806451</v>
      </c>
      <c r="BC85" s="353">
        <v>114.41935483870968</v>
      </c>
      <c r="BD85" s="353">
        <v>32.612903225806448</v>
      </c>
      <c r="BE85" s="353">
        <v>0</v>
      </c>
      <c r="BF85" s="353">
        <v>0</v>
      </c>
      <c r="BG85" s="353">
        <v>0</v>
      </c>
      <c r="BH85" s="353">
        <v>0</v>
      </c>
      <c r="BI85" s="354">
        <v>0</v>
      </c>
      <c r="BJ85" s="429"/>
    </row>
    <row r="86" spans="1:62" ht="15" x14ac:dyDescent="0.25">
      <c r="A86" s="347">
        <v>2004</v>
      </c>
      <c r="B86" s="348">
        <v>6</v>
      </c>
      <c r="C86" s="352">
        <v>19.918888888888919</v>
      </c>
      <c r="D86" s="354">
        <v>3.5038888888888593</v>
      </c>
      <c r="E86" s="353">
        <v>120.01151267585445</v>
      </c>
      <c r="F86" s="353">
        <v>140.51385897348328</v>
      </c>
      <c r="G86" s="353">
        <v>145.20754405768452</v>
      </c>
      <c r="H86" s="353">
        <v>114.77936322036025</v>
      </c>
      <c r="I86" s="353">
        <v>89.013458587534615</v>
      </c>
      <c r="J86" s="353">
        <v>132.50028726412131</v>
      </c>
      <c r="K86" s="353">
        <v>163.85736513742998</v>
      </c>
      <c r="L86" s="353">
        <v>149.01553882160547</v>
      </c>
      <c r="M86" s="354">
        <v>255.90694444444443</v>
      </c>
      <c r="N86" s="352">
        <v>16.61</v>
      </c>
      <c r="O86" s="353">
        <v>16.316666666666666</v>
      </c>
      <c r="P86" s="353">
        <v>16.123333333333331</v>
      </c>
      <c r="Q86" s="353">
        <v>15.576666666666664</v>
      </c>
      <c r="R86" s="353">
        <v>15.709999999999999</v>
      </c>
      <c r="S86" s="353">
        <v>17.153333333333329</v>
      </c>
      <c r="T86" s="353">
        <v>18.529999999999998</v>
      </c>
      <c r="U86" s="353">
        <v>20.076666666666668</v>
      </c>
      <c r="V86" s="353">
        <v>21.013333333333335</v>
      </c>
      <c r="W86" s="353">
        <v>22.003333333333334</v>
      </c>
      <c r="X86" s="353">
        <v>22.826666666666668</v>
      </c>
      <c r="Y86" s="353">
        <v>23.400000000000009</v>
      </c>
      <c r="Z86" s="353">
        <v>23.626666666666669</v>
      </c>
      <c r="AA86" s="353">
        <v>23.693333333333339</v>
      </c>
      <c r="AB86" s="353">
        <v>23.623333333333328</v>
      </c>
      <c r="AC86" s="353">
        <v>23.406666666666663</v>
      </c>
      <c r="AD86" s="353">
        <v>22.946666666666669</v>
      </c>
      <c r="AE86" s="353">
        <v>22.193333333333335</v>
      </c>
      <c r="AF86" s="353">
        <v>21.340000000000007</v>
      </c>
      <c r="AG86" s="353">
        <v>20.079999999999991</v>
      </c>
      <c r="AH86" s="353">
        <v>18.853333333333332</v>
      </c>
      <c r="AI86" s="353">
        <v>18.100000000000001</v>
      </c>
      <c r="AJ86" s="353">
        <v>17.756666666666668</v>
      </c>
      <c r="AK86" s="354">
        <v>17.09333333333333</v>
      </c>
      <c r="AL86" s="352">
        <v>0</v>
      </c>
      <c r="AM86" s="353">
        <v>0</v>
      </c>
      <c r="AN86" s="353">
        <v>0</v>
      </c>
      <c r="AO86" s="353">
        <v>0</v>
      </c>
      <c r="AP86" s="353">
        <v>4.5666666666666664</v>
      </c>
      <c r="AQ86" s="353">
        <v>110.33333333333333</v>
      </c>
      <c r="AR86" s="353">
        <v>242.33333333333334</v>
      </c>
      <c r="AS86" s="353">
        <v>369.36666666666667</v>
      </c>
      <c r="AT86" s="353">
        <v>505.3</v>
      </c>
      <c r="AU86" s="353">
        <v>608.4666666666667</v>
      </c>
      <c r="AV86" s="353">
        <v>695.43333333333328</v>
      </c>
      <c r="AW86" s="353">
        <v>695.83333333333337</v>
      </c>
      <c r="AX86" s="353">
        <v>679.23333333333335</v>
      </c>
      <c r="AY86" s="353">
        <v>617.06666666666672</v>
      </c>
      <c r="AZ86" s="353">
        <v>577.5</v>
      </c>
      <c r="BA86" s="353">
        <v>462.5</v>
      </c>
      <c r="BB86" s="353">
        <v>318.63333333333333</v>
      </c>
      <c r="BC86" s="353">
        <v>185.5</v>
      </c>
      <c r="BD86" s="353">
        <v>69.7</v>
      </c>
      <c r="BE86" s="353">
        <v>0</v>
      </c>
      <c r="BF86" s="353">
        <v>0</v>
      </c>
      <c r="BG86" s="353">
        <v>0</v>
      </c>
      <c r="BH86" s="353">
        <v>0</v>
      </c>
      <c r="BI86" s="354">
        <v>0</v>
      </c>
      <c r="BJ86" s="429"/>
    </row>
    <row r="87" spans="1:62" ht="15" x14ac:dyDescent="0.25">
      <c r="A87" s="347">
        <v>2004</v>
      </c>
      <c r="B87" s="348">
        <v>7</v>
      </c>
      <c r="C87" s="352">
        <v>21.934543010752691</v>
      </c>
      <c r="D87" s="354">
        <v>3.6099462365591033</v>
      </c>
      <c r="E87" s="353">
        <v>119.65969673277358</v>
      </c>
      <c r="F87" s="353">
        <v>134.0364862735068</v>
      </c>
      <c r="G87" s="353">
        <v>132.74738465715259</v>
      </c>
      <c r="H87" s="353">
        <v>103.39318114299884</v>
      </c>
      <c r="I87" s="353">
        <v>80.844720528879364</v>
      </c>
      <c r="J87" s="353">
        <v>119.58138095342335</v>
      </c>
      <c r="K87" s="353">
        <v>150.16804058259004</v>
      </c>
      <c r="L87" s="353">
        <v>142.32787886546132</v>
      </c>
      <c r="M87" s="354">
        <v>232.94220430107526</v>
      </c>
      <c r="N87" s="352">
        <v>18.977419354838709</v>
      </c>
      <c r="O87" s="353">
        <v>18.596774193548388</v>
      </c>
      <c r="P87" s="353">
        <v>18.387096774193548</v>
      </c>
      <c r="Q87" s="353">
        <v>17.909677419354839</v>
      </c>
      <c r="R87" s="353">
        <v>17.883870967741935</v>
      </c>
      <c r="S87" s="353">
        <v>19.045161290322575</v>
      </c>
      <c r="T87" s="353">
        <v>20.470967741935478</v>
      </c>
      <c r="U87" s="353">
        <v>21.758064516129036</v>
      </c>
      <c r="V87" s="353">
        <v>22.919354838709673</v>
      </c>
      <c r="W87" s="353">
        <v>24.058064516129033</v>
      </c>
      <c r="X87" s="353">
        <v>24.935483870967751</v>
      </c>
      <c r="Y87" s="353">
        <v>25.47741935483872</v>
      </c>
      <c r="Z87" s="353">
        <v>25.62903225806452</v>
      </c>
      <c r="AA87" s="353">
        <v>25.687096774193556</v>
      </c>
      <c r="AB87" s="353">
        <v>25.480645161290326</v>
      </c>
      <c r="AC87" s="353">
        <v>25.325806451612905</v>
      </c>
      <c r="AD87" s="353">
        <v>24.916129032258066</v>
      </c>
      <c r="AE87" s="353">
        <v>24.167741935483871</v>
      </c>
      <c r="AF87" s="353">
        <v>22.990322580645159</v>
      </c>
      <c r="AG87" s="353">
        <v>21.625806451612902</v>
      </c>
      <c r="AH87" s="353">
        <v>20.912903225806453</v>
      </c>
      <c r="AI87" s="353">
        <v>20.35483870967742</v>
      </c>
      <c r="AJ87" s="353">
        <v>19.745161290322581</v>
      </c>
      <c r="AK87" s="354">
        <v>19.174193548387095</v>
      </c>
      <c r="AL87" s="352">
        <v>0</v>
      </c>
      <c r="AM87" s="353">
        <v>0</v>
      </c>
      <c r="AN87" s="353">
        <v>0</v>
      </c>
      <c r="AO87" s="353">
        <v>0</v>
      </c>
      <c r="AP87" s="353">
        <v>0.4838709677419355</v>
      </c>
      <c r="AQ87" s="353">
        <v>78</v>
      </c>
      <c r="AR87" s="353">
        <v>198.87096774193549</v>
      </c>
      <c r="AS87" s="353">
        <v>329.96774193548384</v>
      </c>
      <c r="AT87" s="353">
        <v>448.32258064516128</v>
      </c>
      <c r="AU87" s="353">
        <v>545.48387096774195</v>
      </c>
      <c r="AV87" s="353">
        <v>682.29032258064512</v>
      </c>
      <c r="AW87" s="353">
        <v>664.90322580645159</v>
      </c>
      <c r="AX87" s="353">
        <v>622.87096774193549</v>
      </c>
      <c r="AY87" s="353">
        <v>581</v>
      </c>
      <c r="AZ87" s="353">
        <v>505.19354838709677</v>
      </c>
      <c r="BA87" s="353">
        <v>404.80645161290323</v>
      </c>
      <c r="BB87" s="353">
        <v>313.54838709677421</v>
      </c>
      <c r="BC87" s="353">
        <v>160.7741935483871</v>
      </c>
      <c r="BD87" s="353">
        <v>54.096774193548384</v>
      </c>
      <c r="BE87" s="353">
        <v>0</v>
      </c>
      <c r="BF87" s="353">
        <v>0</v>
      </c>
      <c r="BG87" s="353">
        <v>0</v>
      </c>
      <c r="BH87" s="353">
        <v>0</v>
      </c>
      <c r="BI87" s="354">
        <v>0</v>
      </c>
      <c r="BJ87" s="429"/>
    </row>
    <row r="88" spans="1:62" ht="15" x14ac:dyDescent="0.25">
      <c r="A88" s="347">
        <v>2004</v>
      </c>
      <c r="B88" s="348">
        <v>8</v>
      </c>
      <c r="C88" s="352">
        <v>19.978494623655919</v>
      </c>
      <c r="D88" s="354">
        <v>3.5543010752687763</v>
      </c>
      <c r="E88" s="353">
        <v>128.35241176129267</v>
      </c>
      <c r="F88" s="353">
        <v>130.59528009430457</v>
      </c>
      <c r="G88" s="353">
        <v>117.15650235577684</v>
      </c>
      <c r="H88" s="353">
        <v>84.642058318164359</v>
      </c>
      <c r="I88" s="353">
        <v>64.733218251134133</v>
      </c>
      <c r="J88" s="353">
        <v>101.72296145127564</v>
      </c>
      <c r="K88" s="353">
        <v>139.63615382534292</v>
      </c>
      <c r="L88" s="353">
        <v>144.94289639261473</v>
      </c>
      <c r="M88" s="354">
        <v>199.78763440860214</v>
      </c>
      <c r="N88" s="352">
        <v>17.238709677419358</v>
      </c>
      <c r="O88" s="353">
        <v>16.79354838709677</v>
      </c>
      <c r="P88" s="353">
        <v>16.377419354838711</v>
      </c>
      <c r="Q88" s="353">
        <v>16.270967741935479</v>
      </c>
      <c r="R88" s="353">
        <v>15.919354838709674</v>
      </c>
      <c r="S88" s="353">
        <v>16.487096774193549</v>
      </c>
      <c r="T88" s="353">
        <v>18.14516129032258</v>
      </c>
      <c r="U88" s="353">
        <v>19.774193548387096</v>
      </c>
      <c r="V88" s="353">
        <v>20.987096774193546</v>
      </c>
      <c r="W88" s="353">
        <v>21.812903225806448</v>
      </c>
      <c r="X88" s="353">
        <v>22.670967741935478</v>
      </c>
      <c r="Y88" s="353">
        <v>23.106451612903225</v>
      </c>
      <c r="Z88" s="353">
        <v>23.377419354838715</v>
      </c>
      <c r="AA88" s="353">
        <v>23.496774193548383</v>
      </c>
      <c r="AB88" s="353">
        <v>23.670967741935478</v>
      </c>
      <c r="AC88" s="353">
        <v>23.680645161290315</v>
      </c>
      <c r="AD88" s="353">
        <v>23.154838709677414</v>
      </c>
      <c r="AE88" s="353">
        <v>22.151612903225807</v>
      </c>
      <c r="AF88" s="353">
        <v>20.948387096774198</v>
      </c>
      <c r="AG88" s="353">
        <v>19.867741935483878</v>
      </c>
      <c r="AH88" s="353">
        <v>19.580645161290327</v>
      </c>
      <c r="AI88" s="353">
        <v>18.400000000000002</v>
      </c>
      <c r="AJ88" s="353">
        <v>17.758064516129032</v>
      </c>
      <c r="AK88" s="354">
        <v>17.812903225806455</v>
      </c>
      <c r="AL88" s="352">
        <v>0</v>
      </c>
      <c r="AM88" s="353">
        <v>0</v>
      </c>
      <c r="AN88" s="353">
        <v>0</v>
      </c>
      <c r="AO88" s="353">
        <v>0</v>
      </c>
      <c r="AP88" s="353">
        <v>0</v>
      </c>
      <c r="AQ88" s="353">
        <v>17.322580645161292</v>
      </c>
      <c r="AR88" s="353">
        <v>154.35483870967741</v>
      </c>
      <c r="AS88" s="353">
        <v>276.90322580645159</v>
      </c>
      <c r="AT88" s="353">
        <v>401</v>
      </c>
      <c r="AU88" s="353">
        <v>460.25806451612902</v>
      </c>
      <c r="AV88" s="353">
        <v>575.38709677419354</v>
      </c>
      <c r="AW88" s="353">
        <v>582.51612903225805</v>
      </c>
      <c r="AX88" s="353">
        <v>585.9677419354839</v>
      </c>
      <c r="AY88" s="353">
        <v>508.09677419354841</v>
      </c>
      <c r="AZ88" s="353">
        <v>441.80645161290323</v>
      </c>
      <c r="BA88" s="353">
        <v>390.96774193548384</v>
      </c>
      <c r="BB88" s="353">
        <v>261.90322580645159</v>
      </c>
      <c r="BC88" s="353">
        <v>121.29032258064517</v>
      </c>
      <c r="BD88" s="353">
        <v>17.129032258064516</v>
      </c>
      <c r="BE88" s="353">
        <v>0</v>
      </c>
      <c r="BF88" s="353">
        <v>0</v>
      </c>
      <c r="BG88" s="353">
        <v>0</v>
      </c>
      <c r="BH88" s="353">
        <v>0</v>
      </c>
      <c r="BI88" s="354">
        <v>0</v>
      </c>
      <c r="BJ88" s="429"/>
    </row>
    <row r="89" spans="1:62" ht="15" x14ac:dyDescent="0.25">
      <c r="A89" s="347">
        <v>2004</v>
      </c>
      <c r="B89" s="348">
        <v>9</v>
      </c>
      <c r="C89" s="352">
        <v>19.615694444444465</v>
      </c>
      <c r="D89" s="354">
        <v>3.3288888888888675</v>
      </c>
      <c r="E89" s="353">
        <v>179.04297457820041</v>
      </c>
      <c r="F89" s="353">
        <v>150.70391782872247</v>
      </c>
      <c r="G89" s="353">
        <v>111.65426777149668</v>
      </c>
      <c r="H89" s="353">
        <v>66.631724686327871</v>
      </c>
      <c r="I89" s="353">
        <v>50.301040129697839</v>
      </c>
      <c r="J89" s="353">
        <v>81.834874762038879</v>
      </c>
      <c r="K89" s="353">
        <v>143.43659193674497</v>
      </c>
      <c r="L89" s="353">
        <v>180.18922754730701</v>
      </c>
      <c r="M89" s="354">
        <v>201.17222222222222</v>
      </c>
      <c r="N89" s="352">
        <v>16.473333333333329</v>
      </c>
      <c r="O89" s="353">
        <v>15.999999999999998</v>
      </c>
      <c r="P89" s="353">
        <v>15.58</v>
      </c>
      <c r="Q89" s="353">
        <v>15.073333333333331</v>
      </c>
      <c r="R89" s="353">
        <v>14.700000000000001</v>
      </c>
      <c r="S89" s="353">
        <v>14.773333333333333</v>
      </c>
      <c r="T89" s="353">
        <v>17.020000000000003</v>
      </c>
      <c r="U89" s="353">
        <v>19.326666666666664</v>
      </c>
      <c r="V89" s="353">
        <v>21.086666666666659</v>
      </c>
      <c r="W89" s="353">
        <v>22.470000000000006</v>
      </c>
      <c r="X89" s="353">
        <v>23.450000000000003</v>
      </c>
      <c r="Y89" s="353">
        <v>24.243333333333336</v>
      </c>
      <c r="Z89" s="353">
        <v>24.833333333333336</v>
      </c>
      <c r="AA89" s="353">
        <v>25.116666666666671</v>
      </c>
      <c r="AB89" s="353">
        <v>24.84333333333333</v>
      </c>
      <c r="AC89" s="353">
        <v>24.303333333333338</v>
      </c>
      <c r="AD89" s="353">
        <v>23.209999999999994</v>
      </c>
      <c r="AE89" s="353">
        <v>21.313333333333329</v>
      </c>
      <c r="AF89" s="353">
        <v>19.93333333333333</v>
      </c>
      <c r="AG89" s="353">
        <v>18.723333333333322</v>
      </c>
      <c r="AH89" s="353">
        <v>17.90666666666667</v>
      </c>
      <c r="AI89" s="353">
        <v>17.316666666666666</v>
      </c>
      <c r="AJ89" s="353">
        <v>16.650000000000009</v>
      </c>
      <c r="AK89" s="354">
        <v>16.43</v>
      </c>
      <c r="AL89" s="352">
        <v>0</v>
      </c>
      <c r="AM89" s="353">
        <v>0</v>
      </c>
      <c r="AN89" s="353">
        <v>0</v>
      </c>
      <c r="AO89" s="353">
        <v>0</v>
      </c>
      <c r="AP89" s="353">
        <v>0</v>
      </c>
      <c r="AQ89" s="353">
        <v>0.73333333333333328</v>
      </c>
      <c r="AR89" s="353">
        <v>103.8</v>
      </c>
      <c r="AS89" s="353">
        <v>265.56666666666666</v>
      </c>
      <c r="AT89" s="353">
        <v>419.93333333333334</v>
      </c>
      <c r="AU89" s="353">
        <v>499.93333333333334</v>
      </c>
      <c r="AV89" s="353">
        <v>570.73333333333335</v>
      </c>
      <c r="AW89" s="353">
        <v>659.43333333333328</v>
      </c>
      <c r="AX89" s="353">
        <v>664.1</v>
      </c>
      <c r="AY89" s="353">
        <v>620.20000000000005</v>
      </c>
      <c r="AZ89" s="353">
        <v>487.23333333333335</v>
      </c>
      <c r="BA89" s="353">
        <v>323.33333333333331</v>
      </c>
      <c r="BB89" s="353">
        <v>177.76666666666668</v>
      </c>
      <c r="BC89" s="353">
        <v>35.366666666666667</v>
      </c>
      <c r="BD89" s="353">
        <v>0</v>
      </c>
      <c r="BE89" s="353">
        <v>0</v>
      </c>
      <c r="BF89" s="353">
        <v>0</v>
      </c>
      <c r="BG89" s="353">
        <v>0</v>
      </c>
      <c r="BH89" s="353">
        <v>0</v>
      </c>
      <c r="BI89" s="354">
        <v>0</v>
      </c>
      <c r="BJ89" s="429"/>
    </row>
    <row r="90" spans="1:62" ht="15" x14ac:dyDescent="0.25">
      <c r="A90" s="347">
        <v>2004</v>
      </c>
      <c r="B90" s="348">
        <v>10</v>
      </c>
      <c r="C90" s="352">
        <v>12.396236559139796</v>
      </c>
      <c r="D90" s="354">
        <v>4.2701612903225472</v>
      </c>
      <c r="E90" s="353">
        <v>129.09440152704607</v>
      </c>
      <c r="F90" s="353">
        <v>97.99466846493273</v>
      </c>
      <c r="G90" s="353">
        <v>62.907339216202388</v>
      </c>
      <c r="H90" s="353">
        <v>36.411924914881631</v>
      </c>
      <c r="I90" s="353">
        <v>32.380936990807463</v>
      </c>
      <c r="J90" s="353">
        <v>44.011522798976848</v>
      </c>
      <c r="K90" s="353">
        <v>83.788338422355565</v>
      </c>
      <c r="L90" s="353">
        <v>119.89480818782472</v>
      </c>
      <c r="M90" s="354">
        <v>108.91935483870968</v>
      </c>
      <c r="N90" s="352">
        <v>10.490322580645161</v>
      </c>
      <c r="O90" s="353">
        <v>9.8838709677419345</v>
      </c>
      <c r="P90" s="353">
        <v>9.6774193548387064</v>
      </c>
      <c r="Q90" s="353">
        <v>9.3935483870967715</v>
      </c>
      <c r="R90" s="353">
        <v>9.1064516129032267</v>
      </c>
      <c r="S90" s="353">
        <v>9.0483870967741939</v>
      </c>
      <c r="T90" s="353">
        <v>9.7709677419354826</v>
      </c>
      <c r="U90" s="353">
        <v>11.274193548387096</v>
      </c>
      <c r="V90" s="353">
        <v>12.758064516129032</v>
      </c>
      <c r="W90" s="353">
        <v>13.806451612903228</v>
      </c>
      <c r="X90" s="353">
        <v>14.593548387096773</v>
      </c>
      <c r="Y90" s="353">
        <v>15.09677419354839</v>
      </c>
      <c r="Z90" s="353">
        <v>15.683870967741935</v>
      </c>
      <c r="AA90" s="353">
        <v>15.990322580645159</v>
      </c>
      <c r="AB90" s="353">
        <v>16.00322580645161</v>
      </c>
      <c r="AC90" s="353">
        <v>15.596774193548388</v>
      </c>
      <c r="AD90" s="353">
        <v>14.712903225806452</v>
      </c>
      <c r="AE90" s="353">
        <v>13.403225806451617</v>
      </c>
      <c r="AF90" s="353">
        <v>12.970967741935485</v>
      </c>
      <c r="AG90" s="353">
        <v>12.5</v>
      </c>
      <c r="AH90" s="353">
        <v>12.170967741935483</v>
      </c>
      <c r="AI90" s="353">
        <v>11.506451612903225</v>
      </c>
      <c r="AJ90" s="353">
        <v>11.125806451612901</v>
      </c>
      <c r="AK90" s="354">
        <v>10.945161290322581</v>
      </c>
      <c r="AL90" s="352">
        <v>0</v>
      </c>
      <c r="AM90" s="353">
        <v>0</v>
      </c>
      <c r="AN90" s="353">
        <v>0</v>
      </c>
      <c r="AO90" s="353">
        <v>0</v>
      </c>
      <c r="AP90" s="353">
        <v>0</v>
      </c>
      <c r="AQ90" s="353">
        <v>0</v>
      </c>
      <c r="AR90" s="353">
        <v>15.161290322580646</v>
      </c>
      <c r="AS90" s="353">
        <v>128.58064516129033</v>
      </c>
      <c r="AT90" s="353">
        <v>239.19354838709677</v>
      </c>
      <c r="AU90" s="353">
        <v>315.96774193548384</v>
      </c>
      <c r="AV90" s="353">
        <v>351.32258064516128</v>
      </c>
      <c r="AW90" s="353">
        <v>367.16129032258067</v>
      </c>
      <c r="AX90" s="353">
        <v>377.09677419354841</v>
      </c>
      <c r="AY90" s="353">
        <v>352.54838709677421</v>
      </c>
      <c r="AZ90" s="353">
        <v>257.41935483870969</v>
      </c>
      <c r="BA90" s="353">
        <v>161.96774193548387</v>
      </c>
      <c r="BB90" s="353">
        <v>47.645161290322584</v>
      </c>
      <c r="BC90" s="353">
        <v>0</v>
      </c>
      <c r="BD90" s="353">
        <v>0</v>
      </c>
      <c r="BE90" s="353">
        <v>0</v>
      </c>
      <c r="BF90" s="353">
        <v>0</v>
      </c>
      <c r="BG90" s="353">
        <v>0</v>
      </c>
      <c r="BH90" s="353">
        <v>0</v>
      </c>
      <c r="BI90" s="354">
        <v>0</v>
      </c>
      <c r="BJ90" s="429"/>
    </row>
    <row r="91" spans="1:62" ht="15" x14ac:dyDescent="0.25">
      <c r="A91" s="347">
        <v>2004</v>
      </c>
      <c r="B91" s="348">
        <v>11</v>
      </c>
      <c r="C91" s="352">
        <v>6.8072222222222329</v>
      </c>
      <c r="D91" s="354">
        <v>4.0059722222221792</v>
      </c>
      <c r="E91" s="353">
        <v>102.46542980144352</v>
      </c>
      <c r="F91" s="353">
        <v>73.967474146815618</v>
      </c>
      <c r="G91" s="353">
        <v>40.138863173565113</v>
      </c>
      <c r="H91" s="353">
        <v>23.346121406867589</v>
      </c>
      <c r="I91" s="353">
        <v>22.573657316228793</v>
      </c>
      <c r="J91" s="353">
        <v>26.312492725285512</v>
      </c>
      <c r="K91" s="353">
        <v>52.76267360541236</v>
      </c>
      <c r="L91" s="353">
        <v>89.01930493952112</v>
      </c>
      <c r="M91" s="354">
        <v>66.715277777777771</v>
      </c>
      <c r="N91" s="352">
        <v>5.6866666666666683</v>
      </c>
      <c r="O91" s="353">
        <v>5.5499999999999989</v>
      </c>
      <c r="P91" s="353">
        <v>5.373333333333334</v>
      </c>
      <c r="Q91" s="353">
        <v>5.4399999999999995</v>
      </c>
      <c r="R91" s="353">
        <v>5.24</v>
      </c>
      <c r="S91" s="353">
        <v>5.0333333333333323</v>
      </c>
      <c r="T91" s="353">
        <v>4.9266666666666659</v>
      </c>
      <c r="U91" s="353">
        <v>5.6966666666666645</v>
      </c>
      <c r="V91" s="353">
        <v>6.629999999999999</v>
      </c>
      <c r="W91" s="353">
        <v>7.5199999999999987</v>
      </c>
      <c r="X91" s="353">
        <v>8.1966666666666672</v>
      </c>
      <c r="Y91" s="353">
        <v>8.69</v>
      </c>
      <c r="Z91" s="353">
        <v>9.0566666666666666</v>
      </c>
      <c r="AA91" s="353">
        <v>9.1133333333333351</v>
      </c>
      <c r="AB91" s="353">
        <v>8.8633333333333333</v>
      </c>
      <c r="AC91" s="353">
        <v>8.456666666666667</v>
      </c>
      <c r="AD91" s="353">
        <v>7.7366666666666672</v>
      </c>
      <c r="AE91" s="353">
        <v>7.2566666666666659</v>
      </c>
      <c r="AF91" s="353">
        <v>7.1233333333333348</v>
      </c>
      <c r="AG91" s="353">
        <v>6.7566666666666668</v>
      </c>
      <c r="AH91" s="353">
        <v>6.4666666666666686</v>
      </c>
      <c r="AI91" s="353">
        <v>6.4000000000000012</v>
      </c>
      <c r="AJ91" s="353">
        <v>6.11</v>
      </c>
      <c r="AK91" s="354">
        <v>6.0499999999999989</v>
      </c>
      <c r="AL91" s="352">
        <v>0</v>
      </c>
      <c r="AM91" s="353">
        <v>0</v>
      </c>
      <c r="AN91" s="353">
        <v>0</v>
      </c>
      <c r="AO91" s="353">
        <v>0</v>
      </c>
      <c r="AP91" s="353">
        <v>0</v>
      </c>
      <c r="AQ91" s="353">
        <v>0</v>
      </c>
      <c r="AR91" s="353">
        <v>0</v>
      </c>
      <c r="AS91" s="353">
        <v>50.166666666666664</v>
      </c>
      <c r="AT91" s="353">
        <v>133.06666666666666</v>
      </c>
      <c r="AU91" s="353">
        <v>208.63333333333333</v>
      </c>
      <c r="AV91" s="353">
        <v>263.76666666666665</v>
      </c>
      <c r="AW91" s="353">
        <v>248.96666666666667</v>
      </c>
      <c r="AX91" s="353">
        <v>247.53333333333333</v>
      </c>
      <c r="AY91" s="353">
        <v>206.16666666666666</v>
      </c>
      <c r="AZ91" s="353">
        <v>167.63333333333333</v>
      </c>
      <c r="BA91" s="353">
        <v>73.833333333333329</v>
      </c>
      <c r="BB91" s="353">
        <v>1.4</v>
      </c>
      <c r="BC91" s="353">
        <v>0</v>
      </c>
      <c r="BD91" s="353">
        <v>0</v>
      </c>
      <c r="BE91" s="353">
        <v>0</v>
      </c>
      <c r="BF91" s="353">
        <v>0</v>
      </c>
      <c r="BG91" s="353">
        <v>0</v>
      </c>
      <c r="BH91" s="353">
        <v>0</v>
      </c>
      <c r="BI91" s="354">
        <v>0</v>
      </c>
      <c r="BJ91" s="429"/>
    </row>
    <row r="92" spans="1:62" ht="15" x14ac:dyDescent="0.25">
      <c r="A92" s="373">
        <v>2004</v>
      </c>
      <c r="B92" s="374">
        <v>12</v>
      </c>
      <c r="C92" s="355">
        <v>-1.2855033557046984</v>
      </c>
      <c r="D92" s="357">
        <v>4.9185234899328432</v>
      </c>
      <c r="E92" s="356">
        <v>124.98094471704552</v>
      </c>
      <c r="F92" s="356">
        <v>85.42339812982803</v>
      </c>
      <c r="G92" s="356">
        <v>38.272740794068731</v>
      </c>
      <c r="H92" s="356">
        <v>19.612329211829078</v>
      </c>
      <c r="I92" s="356">
        <v>19.251772174395732</v>
      </c>
      <c r="J92" s="356">
        <v>21.575150456667064</v>
      </c>
      <c r="K92" s="356">
        <v>53.675365306795335</v>
      </c>
      <c r="L92" s="356">
        <v>105.38626204007331</v>
      </c>
      <c r="M92" s="357">
        <v>65.859060402684563</v>
      </c>
      <c r="N92" s="355">
        <v>-2.2612903225806456</v>
      </c>
      <c r="O92" s="356">
        <v>-2.4677419354838719</v>
      </c>
      <c r="P92" s="356">
        <v>-2.7580645161290329</v>
      </c>
      <c r="Q92" s="356">
        <v>-2.8161290322580648</v>
      </c>
      <c r="R92" s="356">
        <v>-3.1903225806451618</v>
      </c>
      <c r="S92" s="356">
        <v>-3.3064516129032264</v>
      </c>
      <c r="T92" s="356">
        <v>-3.2096774193548376</v>
      </c>
      <c r="U92" s="356">
        <v>-3.1354838709677417</v>
      </c>
      <c r="V92" s="356">
        <v>-2.0322580645161286</v>
      </c>
      <c r="W92" s="356">
        <v>-1.1483870967741938</v>
      </c>
      <c r="X92" s="356">
        <v>-0.27096774193548429</v>
      </c>
      <c r="Y92" s="356">
        <v>0.28387096774193582</v>
      </c>
      <c r="Z92" s="356">
        <v>0.74193548387096819</v>
      </c>
      <c r="AA92" s="356">
        <v>1.0032258064516126</v>
      </c>
      <c r="AB92" s="356">
        <v>0.95161290322580649</v>
      </c>
      <c r="AC92" s="356">
        <v>0.50000000000000044</v>
      </c>
      <c r="AD92" s="356">
        <v>-7.0967741935483705E-2</v>
      </c>
      <c r="AE92" s="356">
        <v>-0.39032258064516129</v>
      </c>
      <c r="AF92" s="356">
        <v>-0.56774193548387031</v>
      </c>
      <c r="AG92" s="356">
        <v>-0.80322580645161301</v>
      </c>
      <c r="AH92" s="356">
        <v>-1.0645161290322585</v>
      </c>
      <c r="AI92" s="356">
        <v>-1.3774193548387097</v>
      </c>
      <c r="AJ92" s="356">
        <v>-1.5903225806451617</v>
      </c>
      <c r="AK92" s="357">
        <v>-1.8531250000000006</v>
      </c>
      <c r="AL92" s="355">
        <v>0</v>
      </c>
      <c r="AM92" s="356">
        <v>0</v>
      </c>
      <c r="AN92" s="356">
        <v>0</v>
      </c>
      <c r="AO92" s="356">
        <v>0</v>
      </c>
      <c r="AP92" s="356">
        <v>0</v>
      </c>
      <c r="AQ92" s="356">
        <v>0</v>
      </c>
      <c r="AR92" s="356">
        <v>0</v>
      </c>
      <c r="AS92" s="356">
        <v>2.806451612903226</v>
      </c>
      <c r="AT92" s="356">
        <v>113.83870967741936</v>
      </c>
      <c r="AU92" s="356">
        <v>188.67741935483872</v>
      </c>
      <c r="AV92" s="356">
        <v>272.87096774193549</v>
      </c>
      <c r="AW92" s="356">
        <v>280.35483870967744</v>
      </c>
      <c r="AX92" s="356">
        <v>279.38709677419354</v>
      </c>
      <c r="AY92" s="356">
        <v>212.74193548387098</v>
      </c>
      <c r="AZ92" s="356">
        <v>164.45161290322579</v>
      </c>
      <c r="BA92" s="356">
        <v>67.612903225806448</v>
      </c>
      <c r="BB92" s="356">
        <v>0</v>
      </c>
      <c r="BC92" s="356">
        <v>0</v>
      </c>
      <c r="BD92" s="356">
        <v>0</v>
      </c>
      <c r="BE92" s="356">
        <v>0</v>
      </c>
      <c r="BF92" s="356">
        <v>0</v>
      </c>
      <c r="BG92" s="356">
        <v>0</v>
      </c>
      <c r="BH92" s="356">
        <v>0</v>
      </c>
      <c r="BI92" s="357">
        <v>0</v>
      </c>
      <c r="BJ92" s="429"/>
    </row>
    <row r="93" spans="1:62" ht="15" x14ac:dyDescent="0.25">
      <c r="A93" s="363">
        <v>2005</v>
      </c>
      <c r="B93" s="364">
        <v>1</v>
      </c>
      <c r="C93" s="360">
        <v>-3.8131897711978477</v>
      </c>
      <c r="D93" s="362">
        <v>4.4893674293404651</v>
      </c>
      <c r="E93" s="361">
        <v>149.4991236316427</v>
      </c>
      <c r="F93" s="361">
        <v>102.52659354021668</v>
      </c>
      <c r="G93" s="361">
        <v>47.765593472405513</v>
      </c>
      <c r="H93" s="361">
        <v>22.496971350806067</v>
      </c>
      <c r="I93" s="361">
        <v>21.69837493608658</v>
      </c>
      <c r="J93" s="361">
        <v>26.260233773276479</v>
      </c>
      <c r="K93" s="361">
        <v>67.793858232339844</v>
      </c>
      <c r="L93" s="361">
        <v>127.2312002455114</v>
      </c>
      <c r="M93" s="362">
        <v>81.98654104979812</v>
      </c>
      <c r="N93" s="360">
        <v>-4.5516129032258066</v>
      </c>
      <c r="O93" s="361">
        <v>-4.8354838709677423</v>
      </c>
      <c r="P93" s="361">
        <v>-4.8838709677419354</v>
      </c>
      <c r="Q93" s="361">
        <v>-4.9548387096774205</v>
      </c>
      <c r="R93" s="361">
        <v>-4.9451612903225808</v>
      </c>
      <c r="S93" s="361">
        <v>-5.0838709677419356</v>
      </c>
      <c r="T93" s="361">
        <v>-5.0580645161290327</v>
      </c>
      <c r="U93" s="361">
        <v>-4.8999999999999995</v>
      </c>
      <c r="V93" s="361">
        <v>-4.4838709677419368</v>
      </c>
      <c r="W93" s="361">
        <v>-3.729032258064517</v>
      </c>
      <c r="X93" s="361">
        <v>-3.0967741935483866</v>
      </c>
      <c r="Y93" s="361">
        <v>-2.5774193548387099</v>
      </c>
      <c r="Z93" s="361">
        <v>-2.2096774193548385</v>
      </c>
      <c r="AA93" s="361">
        <v>-2.0870967741935482</v>
      </c>
      <c r="AB93" s="361">
        <v>-2.0258064516129033</v>
      </c>
      <c r="AC93" s="361">
        <v>-2.338709677419355</v>
      </c>
      <c r="AD93" s="361">
        <v>-2.7129032258064525</v>
      </c>
      <c r="AE93" s="361">
        <v>-3.0483870967741931</v>
      </c>
      <c r="AF93" s="361">
        <v>-3.4225806451612897</v>
      </c>
      <c r="AG93" s="361">
        <v>-3.6129032258064515</v>
      </c>
      <c r="AH93" s="361">
        <v>-4.0419354838709678</v>
      </c>
      <c r="AI93" s="361">
        <v>-4.1387096774193539</v>
      </c>
      <c r="AJ93" s="361">
        <v>-4.2322580645161274</v>
      </c>
      <c r="AK93" s="362">
        <v>-4.5700000000000012</v>
      </c>
      <c r="AL93" s="360">
        <v>0</v>
      </c>
      <c r="AM93" s="361">
        <v>0</v>
      </c>
      <c r="AN93" s="361">
        <v>0</v>
      </c>
      <c r="AO93" s="361">
        <v>0</v>
      </c>
      <c r="AP93" s="361">
        <v>0</v>
      </c>
      <c r="AQ93" s="361">
        <v>0</v>
      </c>
      <c r="AR93" s="361">
        <v>0</v>
      </c>
      <c r="AS93" s="361">
        <v>3.7419354838709675</v>
      </c>
      <c r="AT93" s="361">
        <v>135.67741935483872</v>
      </c>
      <c r="AU93" s="361">
        <v>200.09677419354838</v>
      </c>
      <c r="AV93" s="361">
        <v>287.25806451612902</v>
      </c>
      <c r="AW93" s="361">
        <v>343.22580645161293</v>
      </c>
      <c r="AX93" s="361">
        <v>344.06451612903226</v>
      </c>
      <c r="AY93" s="361">
        <v>267.03225806451616</v>
      </c>
      <c r="AZ93" s="361">
        <v>237.03225806451613</v>
      </c>
      <c r="BA93" s="361">
        <v>130.90322580645162</v>
      </c>
      <c r="BB93" s="361">
        <v>16</v>
      </c>
      <c r="BC93" s="361">
        <v>0</v>
      </c>
      <c r="BD93" s="361">
        <v>0</v>
      </c>
      <c r="BE93" s="361">
        <v>0</v>
      </c>
      <c r="BF93" s="361">
        <v>0</v>
      </c>
      <c r="BG93" s="361">
        <v>0</v>
      </c>
      <c r="BH93" s="361">
        <v>0</v>
      </c>
      <c r="BI93" s="362">
        <v>0</v>
      </c>
      <c r="BJ93" s="429"/>
    </row>
    <row r="94" spans="1:62" ht="15" x14ac:dyDescent="0.25">
      <c r="A94" s="363">
        <v>2005</v>
      </c>
      <c r="B94" s="364">
        <v>2</v>
      </c>
      <c r="C94" s="365">
        <v>0.30133928571428625</v>
      </c>
      <c r="D94" s="367">
        <v>3.8751488095237803</v>
      </c>
      <c r="E94" s="366">
        <v>142.27177525468875</v>
      </c>
      <c r="F94" s="366">
        <v>107.94073509097507</v>
      </c>
      <c r="G94" s="366">
        <v>63.319226693666593</v>
      </c>
      <c r="H94" s="366">
        <v>32.757013857434146</v>
      </c>
      <c r="I94" s="366">
        <v>29.487459887937636</v>
      </c>
      <c r="J94" s="366">
        <v>38.925301199363886</v>
      </c>
      <c r="K94" s="366">
        <v>78.902808049652918</v>
      </c>
      <c r="L94" s="366">
        <v>123.87113140177473</v>
      </c>
      <c r="M94" s="367">
        <v>102.7172619047619</v>
      </c>
      <c r="N94" s="365">
        <v>-1.0642857142857143</v>
      </c>
      <c r="O94" s="366">
        <v>-1.1464285714285716</v>
      </c>
      <c r="P94" s="366">
        <v>-1.2535714285714286</v>
      </c>
      <c r="Q94" s="366">
        <v>-1.4214285714285715</v>
      </c>
      <c r="R94" s="366">
        <v>-1.3821428571428567</v>
      </c>
      <c r="S94" s="366">
        <v>-1.3321428571428566</v>
      </c>
      <c r="T94" s="366">
        <v>-1.3678571428571424</v>
      </c>
      <c r="U94" s="366">
        <v>-0.87142857142857133</v>
      </c>
      <c r="V94" s="366">
        <v>1.4285714285714207E-2</v>
      </c>
      <c r="W94" s="366">
        <v>0.75714285714285701</v>
      </c>
      <c r="X94" s="366">
        <v>1.425</v>
      </c>
      <c r="Y94" s="366">
        <v>1.9892857142857139</v>
      </c>
      <c r="Z94" s="366">
        <v>2.4178571428571431</v>
      </c>
      <c r="AA94" s="366">
        <v>2.8607142857142862</v>
      </c>
      <c r="AB94" s="366">
        <v>2.7928571428571423</v>
      </c>
      <c r="AC94" s="366">
        <v>2.4928571428571433</v>
      </c>
      <c r="AD94" s="366">
        <v>1.8250000000000004</v>
      </c>
      <c r="AE94" s="366">
        <v>1.1035714285714284</v>
      </c>
      <c r="AF94" s="366">
        <v>0.63571428571428557</v>
      </c>
      <c r="AG94" s="366">
        <v>0.29642857142857132</v>
      </c>
      <c r="AH94" s="366">
        <v>6.0714285714285818E-2</v>
      </c>
      <c r="AI94" s="366">
        <v>-0.41428571428571448</v>
      </c>
      <c r="AJ94" s="366">
        <v>-0.5535714285714286</v>
      </c>
      <c r="AK94" s="367">
        <v>-0.63214285714285723</v>
      </c>
      <c r="AL94" s="365">
        <v>0</v>
      </c>
      <c r="AM94" s="366">
        <v>0</v>
      </c>
      <c r="AN94" s="366">
        <v>0</v>
      </c>
      <c r="AO94" s="366">
        <v>0</v>
      </c>
      <c r="AP94" s="366">
        <v>0</v>
      </c>
      <c r="AQ94" s="366">
        <v>0</v>
      </c>
      <c r="AR94" s="366">
        <v>0</v>
      </c>
      <c r="AS94" s="366">
        <v>58.107142857142854</v>
      </c>
      <c r="AT94" s="366">
        <v>191.14285714285714</v>
      </c>
      <c r="AU94" s="366">
        <v>294.35714285714283</v>
      </c>
      <c r="AV94" s="366">
        <v>331.67857142857144</v>
      </c>
      <c r="AW94" s="366">
        <v>359.82142857142856</v>
      </c>
      <c r="AX94" s="366">
        <v>352.67857142857144</v>
      </c>
      <c r="AY94" s="366">
        <v>312.25</v>
      </c>
      <c r="AZ94" s="366">
        <v>290.96428571428572</v>
      </c>
      <c r="BA94" s="366">
        <v>188.96428571428572</v>
      </c>
      <c r="BB94" s="366">
        <v>84.357142857142861</v>
      </c>
      <c r="BC94" s="366">
        <v>0.8928571428571429</v>
      </c>
      <c r="BD94" s="366">
        <v>0</v>
      </c>
      <c r="BE94" s="366">
        <v>0</v>
      </c>
      <c r="BF94" s="366">
        <v>0</v>
      </c>
      <c r="BG94" s="366">
        <v>0</v>
      </c>
      <c r="BH94" s="366">
        <v>0</v>
      </c>
      <c r="BI94" s="367">
        <v>0</v>
      </c>
      <c r="BJ94" s="429"/>
    </row>
    <row r="95" spans="1:62" ht="15" x14ac:dyDescent="0.25">
      <c r="A95" s="363">
        <v>2005</v>
      </c>
      <c r="B95" s="364">
        <v>3</v>
      </c>
      <c r="C95" s="365">
        <v>1.7818548387096769</v>
      </c>
      <c r="D95" s="367">
        <v>4.5659946236558708</v>
      </c>
      <c r="E95" s="366">
        <v>161.40823935853231</v>
      </c>
      <c r="F95" s="366">
        <v>133.65519217272777</v>
      </c>
      <c r="G95" s="366">
        <v>90.597482852215521</v>
      </c>
      <c r="H95" s="366">
        <v>52.419243205500244</v>
      </c>
      <c r="I95" s="366">
        <v>42.509447195238643</v>
      </c>
      <c r="J95" s="366">
        <v>63.498382920541246</v>
      </c>
      <c r="K95" s="366">
        <v>110.84291408588788</v>
      </c>
      <c r="L95" s="366">
        <v>151.03290564107454</v>
      </c>
      <c r="M95" s="367">
        <v>159.04569892473117</v>
      </c>
      <c r="N95" s="365">
        <v>-6.7741935483870613E-2</v>
      </c>
      <c r="O95" s="366">
        <v>-0.46774193548387055</v>
      </c>
      <c r="P95" s="366">
        <v>-0.63870967741935469</v>
      </c>
      <c r="Q95" s="366">
        <v>-0.92580645161290309</v>
      </c>
      <c r="R95" s="366">
        <v>-1.3677419354838711</v>
      </c>
      <c r="S95" s="366">
        <v>-1.5322580645161286</v>
      </c>
      <c r="T95" s="366">
        <v>-0.80967741935483817</v>
      </c>
      <c r="U95" s="366">
        <v>0.43548387096774166</v>
      </c>
      <c r="V95" s="366">
        <v>1.4709677419354839</v>
      </c>
      <c r="W95" s="366">
        <v>2.3838709677419363</v>
      </c>
      <c r="X95" s="366">
        <v>3.3741935483870971</v>
      </c>
      <c r="Y95" s="366">
        <v>3.9999999999999996</v>
      </c>
      <c r="Z95" s="366">
        <v>4.7032258064516119</v>
      </c>
      <c r="AA95" s="366">
        <v>4.9774193548387089</v>
      </c>
      <c r="AB95" s="366">
        <v>5.0064516129032262</v>
      </c>
      <c r="AC95" s="366">
        <v>4.9516129032258061</v>
      </c>
      <c r="AD95" s="366">
        <v>4.5709677419354833</v>
      </c>
      <c r="AE95" s="366">
        <v>3.5419354838709678</v>
      </c>
      <c r="AF95" s="366">
        <v>2.9225806451612906</v>
      </c>
      <c r="AG95" s="366">
        <v>2.1548387096774193</v>
      </c>
      <c r="AH95" s="366">
        <v>1.7225806451612906</v>
      </c>
      <c r="AI95" s="366">
        <v>1.2935483870967746</v>
      </c>
      <c r="AJ95" s="366">
        <v>0.89999999999999991</v>
      </c>
      <c r="AK95" s="367">
        <v>0.16451612903225829</v>
      </c>
      <c r="AL95" s="365">
        <v>0</v>
      </c>
      <c r="AM95" s="366">
        <v>0</v>
      </c>
      <c r="AN95" s="366">
        <v>0</v>
      </c>
      <c r="AO95" s="366">
        <v>0</v>
      </c>
      <c r="AP95" s="366">
        <v>0</v>
      </c>
      <c r="AQ95" s="366">
        <v>0</v>
      </c>
      <c r="AR95" s="366">
        <v>28.35483870967742</v>
      </c>
      <c r="AS95" s="366">
        <v>171.93548387096774</v>
      </c>
      <c r="AT95" s="366">
        <v>282.80645161290323</v>
      </c>
      <c r="AU95" s="366">
        <v>421.87096774193549</v>
      </c>
      <c r="AV95" s="366">
        <v>489.25806451612902</v>
      </c>
      <c r="AW95" s="366">
        <v>556.9677419354839</v>
      </c>
      <c r="AX95" s="366">
        <v>552.0322580645161</v>
      </c>
      <c r="AY95" s="366">
        <v>477.35483870967744</v>
      </c>
      <c r="AZ95" s="366">
        <v>362.51612903225805</v>
      </c>
      <c r="BA95" s="366">
        <v>293.12903225806451</v>
      </c>
      <c r="BB95" s="366">
        <v>143.61290322580646</v>
      </c>
      <c r="BC95" s="366">
        <v>37.258064516129032</v>
      </c>
      <c r="BD95" s="366">
        <v>0</v>
      </c>
      <c r="BE95" s="366">
        <v>0</v>
      </c>
      <c r="BF95" s="366">
        <v>0</v>
      </c>
      <c r="BG95" s="366">
        <v>0</v>
      </c>
      <c r="BH95" s="366">
        <v>0</v>
      </c>
      <c r="BI95" s="367">
        <v>0</v>
      </c>
      <c r="BJ95" s="429"/>
    </row>
    <row r="96" spans="1:62" ht="15" x14ac:dyDescent="0.25">
      <c r="A96" s="363">
        <v>2005</v>
      </c>
      <c r="B96" s="364">
        <v>4</v>
      </c>
      <c r="C96" s="365">
        <v>11.238333333333346</v>
      </c>
      <c r="D96" s="367">
        <v>4.6916666666666265</v>
      </c>
      <c r="E96" s="366">
        <v>155.53245929666559</v>
      </c>
      <c r="F96" s="366">
        <v>150.62673595331751</v>
      </c>
      <c r="G96" s="366">
        <v>125.08068615988715</v>
      </c>
      <c r="H96" s="366">
        <v>82.688148774192413</v>
      </c>
      <c r="I96" s="366">
        <v>60.223060504582051</v>
      </c>
      <c r="J96" s="366">
        <v>93.462872989439532</v>
      </c>
      <c r="K96" s="366">
        <v>139.53489346722046</v>
      </c>
      <c r="L96" s="366">
        <v>159.884282945759</v>
      </c>
      <c r="M96" s="367">
        <v>215.80416666666667</v>
      </c>
      <c r="N96" s="365">
        <v>7.69</v>
      </c>
      <c r="O96" s="366">
        <v>7.7366666666666672</v>
      </c>
      <c r="P96" s="366">
        <v>7.2533333333333321</v>
      </c>
      <c r="Q96" s="366">
        <v>6.9266666666666659</v>
      </c>
      <c r="R96" s="366">
        <v>6.7366666666666664</v>
      </c>
      <c r="S96" s="366">
        <v>6.9133333333333322</v>
      </c>
      <c r="T96" s="366">
        <v>8.870000000000001</v>
      </c>
      <c r="U96" s="366">
        <v>10.613333333333333</v>
      </c>
      <c r="V96" s="366">
        <v>12.08666666666667</v>
      </c>
      <c r="W96" s="366">
        <v>13.240000000000004</v>
      </c>
      <c r="X96" s="366">
        <v>14.556666666666668</v>
      </c>
      <c r="Y96" s="366">
        <v>15.260000000000003</v>
      </c>
      <c r="Z96" s="366">
        <v>15.809999999999999</v>
      </c>
      <c r="AA96" s="366">
        <v>15.930000000000001</v>
      </c>
      <c r="AB96" s="366">
        <v>15.856666666666667</v>
      </c>
      <c r="AC96" s="366">
        <v>15.17</v>
      </c>
      <c r="AD96" s="366">
        <v>14.583333333333334</v>
      </c>
      <c r="AE96" s="366">
        <v>13.406666666666668</v>
      </c>
      <c r="AF96" s="366">
        <v>12.130000000000003</v>
      </c>
      <c r="AG96" s="366">
        <v>11.013333333333337</v>
      </c>
      <c r="AH96" s="366">
        <v>10.363333333333335</v>
      </c>
      <c r="AI96" s="366">
        <v>9.8900000000000041</v>
      </c>
      <c r="AJ96" s="366">
        <v>9.1566666666666663</v>
      </c>
      <c r="AK96" s="367">
        <v>8.5266666666666673</v>
      </c>
      <c r="AL96" s="365">
        <v>0</v>
      </c>
      <c r="AM96" s="366">
        <v>0</v>
      </c>
      <c r="AN96" s="366">
        <v>0</v>
      </c>
      <c r="AO96" s="366">
        <v>0</v>
      </c>
      <c r="AP96" s="366">
        <v>0</v>
      </c>
      <c r="AQ96" s="366">
        <v>8.9666666666666668</v>
      </c>
      <c r="AR96" s="366">
        <v>160.1</v>
      </c>
      <c r="AS96" s="366">
        <v>304.3</v>
      </c>
      <c r="AT96" s="366">
        <v>427.56666666666666</v>
      </c>
      <c r="AU96" s="366">
        <v>529.33333333333337</v>
      </c>
      <c r="AV96" s="366">
        <v>640.33333333333337</v>
      </c>
      <c r="AW96" s="366">
        <v>709.83333333333337</v>
      </c>
      <c r="AX96" s="366">
        <v>654.70000000000005</v>
      </c>
      <c r="AY96" s="366">
        <v>594.16666666666663</v>
      </c>
      <c r="AZ96" s="366">
        <v>481</v>
      </c>
      <c r="BA96" s="366">
        <v>356.33333333333331</v>
      </c>
      <c r="BB96" s="366">
        <v>219.2</v>
      </c>
      <c r="BC96" s="366">
        <v>90.6</v>
      </c>
      <c r="BD96" s="366">
        <v>2.8666666666666667</v>
      </c>
      <c r="BE96" s="366">
        <v>0</v>
      </c>
      <c r="BF96" s="366">
        <v>0</v>
      </c>
      <c r="BG96" s="366">
        <v>0</v>
      </c>
      <c r="BH96" s="366">
        <v>0</v>
      </c>
      <c r="BI96" s="367">
        <v>0</v>
      </c>
      <c r="BJ96" s="429"/>
    </row>
    <row r="97" spans="1:62" ht="15" x14ac:dyDescent="0.25">
      <c r="A97" s="363">
        <v>2005</v>
      </c>
      <c r="B97" s="364">
        <v>5</v>
      </c>
      <c r="C97" s="365">
        <v>14.083198924731201</v>
      </c>
      <c r="D97" s="367">
        <v>4.2732526881720032</v>
      </c>
      <c r="E97" s="366">
        <v>124.58724719676252</v>
      </c>
      <c r="F97" s="366">
        <v>136.51191058866317</v>
      </c>
      <c r="G97" s="366">
        <v>132.816070335098</v>
      </c>
      <c r="H97" s="366">
        <v>101.91159644849178</v>
      </c>
      <c r="I97" s="366">
        <v>78.611391136516744</v>
      </c>
      <c r="J97" s="366">
        <v>114.80478637969301</v>
      </c>
      <c r="K97" s="366">
        <v>147.21926798131432</v>
      </c>
      <c r="L97" s="366">
        <v>143.68217278007384</v>
      </c>
      <c r="M97" s="367">
        <v>223.84811827956989</v>
      </c>
      <c r="N97" s="365">
        <v>10.706451612903225</v>
      </c>
      <c r="O97" s="366">
        <v>10.564516129032258</v>
      </c>
      <c r="P97" s="366">
        <v>10.480645161290324</v>
      </c>
      <c r="Q97" s="366">
        <v>9.9612903225806448</v>
      </c>
      <c r="R97" s="366">
        <v>9.9</v>
      </c>
      <c r="S97" s="366">
        <v>10.958064516129031</v>
      </c>
      <c r="T97" s="366">
        <v>12.454838709677421</v>
      </c>
      <c r="U97" s="366">
        <v>13.925806451612905</v>
      </c>
      <c r="V97" s="366">
        <v>15.354838709677418</v>
      </c>
      <c r="W97" s="366">
        <v>16.332258064516132</v>
      </c>
      <c r="X97" s="366">
        <v>17.345161290322586</v>
      </c>
      <c r="Y97" s="366">
        <v>17.587096774193547</v>
      </c>
      <c r="Z97" s="366">
        <v>18.170967741935485</v>
      </c>
      <c r="AA97" s="366">
        <v>18.329032258064519</v>
      </c>
      <c r="AB97" s="366">
        <v>18.403225806451612</v>
      </c>
      <c r="AC97" s="366">
        <v>18.012903225806451</v>
      </c>
      <c r="AD97" s="366">
        <v>17.470967741935485</v>
      </c>
      <c r="AE97" s="366">
        <v>16.470967741935485</v>
      </c>
      <c r="AF97" s="366">
        <v>15.022580645161284</v>
      </c>
      <c r="AG97" s="366">
        <v>13.661290322580649</v>
      </c>
      <c r="AH97" s="366">
        <v>12.670967741935485</v>
      </c>
      <c r="AI97" s="366">
        <v>11.97096774193548</v>
      </c>
      <c r="AJ97" s="366">
        <v>11.399999999999995</v>
      </c>
      <c r="AK97" s="367">
        <v>10.841935483870964</v>
      </c>
      <c r="AL97" s="365">
        <v>0</v>
      </c>
      <c r="AM97" s="366">
        <v>0</v>
      </c>
      <c r="AN97" s="366">
        <v>0</v>
      </c>
      <c r="AO97" s="366">
        <v>0</v>
      </c>
      <c r="AP97" s="366">
        <v>0.77419354838709675</v>
      </c>
      <c r="AQ97" s="366">
        <v>88.935483870967744</v>
      </c>
      <c r="AR97" s="366">
        <v>206.74193548387098</v>
      </c>
      <c r="AS97" s="366">
        <v>341</v>
      </c>
      <c r="AT97" s="366">
        <v>455.74193548387098</v>
      </c>
      <c r="AU97" s="366">
        <v>566.64516129032256</v>
      </c>
      <c r="AV97" s="366">
        <v>638.48387096774195</v>
      </c>
      <c r="AW97" s="366">
        <v>600.90322580645159</v>
      </c>
      <c r="AX97" s="366">
        <v>607.09677419354841</v>
      </c>
      <c r="AY97" s="366">
        <v>582.70967741935488</v>
      </c>
      <c r="AZ97" s="366">
        <v>468.25806451612902</v>
      </c>
      <c r="BA97" s="366">
        <v>383.03225806451616</v>
      </c>
      <c r="BB97" s="366">
        <v>257.25806451612902</v>
      </c>
      <c r="BC97" s="366">
        <v>139.25806451612902</v>
      </c>
      <c r="BD97" s="366">
        <v>35.516129032258064</v>
      </c>
      <c r="BE97" s="366">
        <v>0</v>
      </c>
      <c r="BF97" s="366">
        <v>0</v>
      </c>
      <c r="BG97" s="366">
        <v>0</v>
      </c>
      <c r="BH97" s="366">
        <v>0</v>
      </c>
      <c r="BI97" s="367">
        <v>0</v>
      </c>
      <c r="BJ97" s="429"/>
    </row>
    <row r="98" spans="1:62" ht="15" x14ac:dyDescent="0.25">
      <c r="A98" s="363">
        <v>2005</v>
      </c>
      <c r="B98" s="364">
        <v>6</v>
      </c>
      <c r="C98" s="365">
        <v>23.84777777777775</v>
      </c>
      <c r="D98" s="367">
        <v>3.8320833333332978</v>
      </c>
      <c r="E98" s="366">
        <v>125.22168694736239</v>
      </c>
      <c r="F98" s="366">
        <v>148.29444593381007</v>
      </c>
      <c r="G98" s="366">
        <v>153.37165397806055</v>
      </c>
      <c r="H98" s="366">
        <v>120.41040378638627</v>
      </c>
      <c r="I98" s="366">
        <v>91.909716943717186</v>
      </c>
      <c r="J98" s="366">
        <v>138.71959980351909</v>
      </c>
      <c r="K98" s="366">
        <v>172.06837552529379</v>
      </c>
      <c r="L98" s="366">
        <v>156.30500445251832</v>
      </c>
      <c r="M98" s="367">
        <v>271.88472222222219</v>
      </c>
      <c r="N98" s="365">
        <v>19.959999999999997</v>
      </c>
      <c r="O98" s="366">
        <v>19.723333333333336</v>
      </c>
      <c r="P98" s="366">
        <v>19.22666666666667</v>
      </c>
      <c r="Q98" s="366">
        <v>18.680000000000003</v>
      </c>
      <c r="R98" s="366">
        <v>18.869999999999994</v>
      </c>
      <c r="S98" s="366">
        <v>20.523333333333333</v>
      </c>
      <c r="T98" s="366">
        <v>22.52</v>
      </c>
      <c r="U98" s="366">
        <v>24.009999999999994</v>
      </c>
      <c r="V98" s="366">
        <v>25.449999999999992</v>
      </c>
      <c r="W98" s="366">
        <v>26.58</v>
      </c>
      <c r="X98" s="366">
        <v>27.34</v>
      </c>
      <c r="Y98" s="366">
        <v>27.916666666666671</v>
      </c>
      <c r="Z98" s="366">
        <v>28.166666666666661</v>
      </c>
      <c r="AA98" s="366">
        <v>28.016666666666666</v>
      </c>
      <c r="AB98" s="366">
        <v>28.393333333333334</v>
      </c>
      <c r="AC98" s="366">
        <v>28.20333333333333</v>
      </c>
      <c r="AD98" s="366">
        <v>27.57</v>
      </c>
      <c r="AE98" s="366">
        <v>26.219999999999995</v>
      </c>
      <c r="AF98" s="366">
        <v>24.910000000000004</v>
      </c>
      <c r="AG98" s="366">
        <v>23.386666666666667</v>
      </c>
      <c r="AH98" s="366">
        <v>22.533333333333335</v>
      </c>
      <c r="AI98" s="366">
        <v>22.076666666666664</v>
      </c>
      <c r="AJ98" s="366">
        <v>21.813333333333343</v>
      </c>
      <c r="AK98" s="367">
        <v>20.256666666666668</v>
      </c>
      <c r="AL98" s="365">
        <v>0</v>
      </c>
      <c r="AM98" s="366">
        <v>0</v>
      </c>
      <c r="AN98" s="366">
        <v>0</v>
      </c>
      <c r="AO98" s="366">
        <v>0</v>
      </c>
      <c r="AP98" s="366">
        <v>4.8666666666666663</v>
      </c>
      <c r="AQ98" s="366">
        <v>116.23333333333333</v>
      </c>
      <c r="AR98" s="366">
        <v>256.96666666666664</v>
      </c>
      <c r="AS98" s="366">
        <v>397.13333333333333</v>
      </c>
      <c r="AT98" s="366">
        <v>539.86666666666667</v>
      </c>
      <c r="AU98" s="366">
        <v>661.33333333333337</v>
      </c>
      <c r="AV98" s="366">
        <v>762.8</v>
      </c>
      <c r="AW98" s="366">
        <v>742.8</v>
      </c>
      <c r="AX98" s="366">
        <v>673.4</v>
      </c>
      <c r="AY98" s="366">
        <v>659.63333333333333</v>
      </c>
      <c r="AZ98" s="366">
        <v>626.93333333333328</v>
      </c>
      <c r="BA98" s="366">
        <v>490.16666666666669</v>
      </c>
      <c r="BB98" s="366">
        <v>334.76666666666665</v>
      </c>
      <c r="BC98" s="366">
        <v>189.46666666666667</v>
      </c>
      <c r="BD98" s="366">
        <v>68.86666666666666</v>
      </c>
      <c r="BE98" s="366">
        <v>0</v>
      </c>
      <c r="BF98" s="366">
        <v>0</v>
      </c>
      <c r="BG98" s="366">
        <v>0</v>
      </c>
      <c r="BH98" s="366">
        <v>0</v>
      </c>
      <c r="BI98" s="367">
        <v>0</v>
      </c>
      <c r="BJ98" s="429"/>
    </row>
    <row r="99" spans="1:62" ht="15" x14ac:dyDescent="0.25">
      <c r="A99" s="363">
        <v>2005</v>
      </c>
      <c r="B99" s="364">
        <v>7</v>
      </c>
      <c r="C99" s="365">
        <v>24.441666666666649</v>
      </c>
      <c r="D99" s="367">
        <v>3.6395161290322253</v>
      </c>
      <c r="E99" s="366">
        <v>125.81878513204134</v>
      </c>
      <c r="F99" s="366">
        <v>141.81089656081943</v>
      </c>
      <c r="G99" s="366">
        <v>141.48214369248592</v>
      </c>
      <c r="H99" s="366">
        <v>109.59268926931185</v>
      </c>
      <c r="I99" s="366">
        <v>83.641200262572355</v>
      </c>
      <c r="J99" s="366">
        <v>128.35782606291215</v>
      </c>
      <c r="K99" s="366">
        <v>163.69859499389528</v>
      </c>
      <c r="L99" s="366">
        <v>154.32758558287375</v>
      </c>
      <c r="M99" s="367">
        <v>253.81989247311827</v>
      </c>
      <c r="N99" s="365">
        <v>21.180645161290318</v>
      </c>
      <c r="O99" s="366">
        <v>20.825806451612905</v>
      </c>
      <c r="P99" s="366">
        <v>20.303225806451618</v>
      </c>
      <c r="Q99" s="366">
        <v>19.874193548387105</v>
      </c>
      <c r="R99" s="366">
        <v>19.732258064516131</v>
      </c>
      <c r="S99" s="366">
        <v>21.470967741935482</v>
      </c>
      <c r="T99" s="366">
        <v>23.080645161290317</v>
      </c>
      <c r="U99" s="366">
        <v>24.519354838709674</v>
      </c>
      <c r="V99" s="366">
        <v>25.896774193548385</v>
      </c>
      <c r="W99" s="366">
        <v>26.654838709677421</v>
      </c>
      <c r="X99" s="366">
        <v>27.735483870967744</v>
      </c>
      <c r="Y99" s="366">
        <v>28.551612903225813</v>
      </c>
      <c r="Z99" s="366">
        <v>28.380645161290317</v>
      </c>
      <c r="AA99" s="366">
        <v>28.470967741935485</v>
      </c>
      <c r="AB99" s="366">
        <v>28.477419354838712</v>
      </c>
      <c r="AC99" s="366">
        <v>28.248387096774188</v>
      </c>
      <c r="AD99" s="366">
        <v>27.383870967741935</v>
      </c>
      <c r="AE99" s="366">
        <v>26.551612903225806</v>
      </c>
      <c r="AF99" s="366">
        <v>25.416129032258059</v>
      </c>
      <c r="AG99" s="366">
        <v>24.161290322580644</v>
      </c>
      <c r="AH99" s="366">
        <v>23.35806451612903</v>
      </c>
      <c r="AI99" s="366">
        <v>22.719354838709673</v>
      </c>
      <c r="AJ99" s="366">
        <v>21.999999999999996</v>
      </c>
      <c r="AK99" s="367">
        <v>21.606451612903221</v>
      </c>
      <c r="AL99" s="365">
        <v>0</v>
      </c>
      <c r="AM99" s="366">
        <v>0</v>
      </c>
      <c r="AN99" s="366">
        <v>0</v>
      </c>
      <c r="AO99" s="366">
        <v>0</v>
      </c>
      <c r="AP99" s="366">
        <v>0.54838709677419351</v>
      </c>
      <c r="AQ99" s="366">
        <v>87.193548387096769</v>
      </c>
      <c r="AR99" s="366">
        <v>220.93548387096774</v>
      </c>
      <c r="AS99" s="366">
        <v>346.90322580645159</v>
      </c>
      <c r="AT99" s="366">
        <v>500.35483870967744</v>
      </c>
      <c r="AU99" s="366">
        <v>563.70967741935488</v>
      </c>
      <c r="AV99" s="366">
        <v>664.74193548387098</v>
      </c>
      <c r="AW99" s="366">
        <v>743.19354838709683</v>
      </c>
      <c r="AX99" s="366">
        <v>709.90322580645159</v>
      </c>
      <c r="AY99" s="366">
        <v>645</v>
      </c>
      <c r="AZ99" s="366">
        <v>566.22580645161293</v>
      </c>
      <c r="BA99" s="366">
        <v>477.83870967741933</v>
      </c>
      <c r="BB99" s="366">
        <v>318.32258064516128</v>
      </c>
      <c r="BC99" s="366">
        <v>188.03225806451613</v>
      </c>
      <c r="BD99" s="366">
        <v>58.774193548387096</v>
      </c>
      <c r="BE99" s="366">
        <v>0</v>
      </c>
      <c r="BF99" s="366">
        <v>0</v>
      </c>
      <c r="BG99" s="366">
        <v>0</v>
      </c>
      <c r="BH99" s="366">
        <v>0</v>
      </c>
      <c r="BI99" s="367">
        <v>0</v>
      </c>
      <c r="BJ99" s="429"/>
    </row>
    <row r="100" spans="1:62" ht="15" x14ac:dyDescent="0.25">
      <c r="A100" s="363">
        <v>2005</v>
      </c>
      <c r="B100" s="364">
        <v>8</v>
      </c>
      <c r="C100" s="365">
        <v>23.849865591397858</v>
      </c>
      <c r="D100" s="367">
        <v>3.1799731182795443</v>
      </c>
      <c r="E100" s="366">
        <v>135.59585631101939</v>
      </c>
      <c r="F100" s="366">
        <v>134.77729885767749</v>
      </c>
      <c r="G100" s="366">
        <v>118.96353042001081</v>
      </c>
      <c r="H100" s="366">
        <v>85.128862323735092</v>
      </c>
      <c r="I100" s="366">
        <v>65.704510594299933</v>
      </c>
      <c r="J100" s="366">
        <v>106.04448373981822</v>
      </c>
      <c r="K100" s="366">
        <v>147.85016036548799</v>
      </c>
      <c r="L100" s="366">
        <v>154.39860598303355</v>
      </c>
      <c r="M100" s="367">
        <v>212.9758064516129</v>
      </c>
      <c r="N100" s="365">
        <v>21.096774193548384</v>
      </c>
      <c r="O100" s="366">
        <v>20.619354838709675</v>
      </c>
      <c r="P100" s="366">
        <v>19.767741935483869</v>
      </c>
      <c r="Q100" s="366">
        <v>19.558064516129026</v>
      </c>
      <c r="R100" s="366">
        <v>19.467741935483865</v>
      </c>
      <c r="S100" s="366">
        <v>20.422580645161286</v>
      </c>
      <c r="T100" s="366">
        <v>22.151612903225807</v>
      </c>
      <c r="U100" s="366">
        <v>23.645161290322577</v>
      </c>
      <c r="V100" s="366">
        <v>24.816129032258065</v>
      </c>
      <c r="W100" s="366">
        <v>25.845161290322594</v>
      </c>
      <c r="X100" s="366">
        <v>26.609677419354842</v>
      </c>
      <c r="Y100" s="366">
        <v>26.977419354838709</v>
      </c>
      <c r="Z100" s="366">
        <v>27.464516129032262</v>
      </c>
      <c r="AA100" s="366">
        <v>27.690322580645166</v>
      </c>
      <c r="AB100" s="366">
        <v>27.883870967741938</v>
      </c>
      <c r="AC100" s="366">
        <v>27.664516129032254</v>
      </c>
      <c r="AD100" s="366">
        <v>27.180645161290322</v>
      </c>
      <c r="AE100" s="366">
        <v>26.267741935483873</v>
      </c>
      <c r="AF100" s="366">
        <v>24.893548387096768</v>
      </c>
      <c r="AG100" s="366">
        <v>23.819354838709678</v>
      </c>
      <c r="AH100" s="366">
        <v>23.025806451612905</v>
      </c>
      <c r="AI100" s="366">
        <v>22.187096774193552</v>
      </c>
      <c r="AJ100" s="366">
        <v>21.987096774193553</v>
      </c>
      <c r="AK100" s="367">
        <v>21.35483870967742</v>
      </c>
      <c r="AL100" s="365">
        <v>0</v>
      </c>
      <c r="AM100" s="366">
        <v>0</v>
      </c>
      <c r="AN100" s="366">
        <v>0</v>
      </c>
      <c r="AO100" s="366">
        <v>0</v>
      </c>
      <c r="AP100" s="366">
        <v>0</v>
      </c>
      <c r="AQ100" s="366">
        <v>18</v>
      </c>
      <c r="AR100" s="366">
        <v>149</v>
      </c>
      <c r="AS100" s="366">
        <v>296.90322580645159</v>
      </c>
      <c r="AT100" s="366">
        <v>403.16129032258067</v>
      </c>
      <c r="AU100" s="366">
        <v>523.54838709677415</v>
      </c>
      <c r="AV100" s="366">
        <v>557.29032258064512</v>
      </c>
      <c r="AW100" s="366">
        <v>647.29032258064512</v>
      </c>
      <c r="AX100" s="366">
        <v>615.35483870967744</v>
      </c>
      <c r="AY100" s="366">
        <v>564.22580645161293</v>
      </c>
      <c r="AZ100" s="366">
        <v>508.19354838709677</v>
      </c>
      <c r="BA100" s="366">
        <v>405.90322580645159</v>
      </c>
      <c r="BB100" s="366">
        <v>283.12903225806451</v>
      </c>
      <c r="BC100" s="366">
        <v>123.29032258064517</v>
      </c>
      <c r="BD100" s="366">
        <v>16.129032258064516</v>
      </c>
      <c r="BE100" s="366">
        <v>0</v>
      </c>
      <c r="BF100" s="366">
        <v>0</v>
      </c>
      <c r="BG100" s="366">
        <v>0</v>
      </c>
      <c r="BH100" s="366">
        <v>0</v>
      </c>
      <c r="BI100" s="367">
        <v>0</v>
      </c>
      <c r="BJ100" s="429"/>
    </row>
    <row r="101" spans="1:62" ht="15" x14ac:dyDescent="0.25">
      <c r="A101" s="363">
        <v>2005</v>
      </c>
      <c r="B101" s="364">
        <v>9</v>
      </c>
      <c r="C101" s="365">
        <v>20.874166666666625</v>
      </c>
      <c r="D101" s="367">
        <v>3.4215277777777571</v>
      </c>
      <c r="E101" s="366">
        <v>150.23173445063938</v>
      </c>
      <c r="F101" s="366">
        <v>130.61027745223029</v>
      </c>
      <c r="G101" s="366">
        <v>99.289131314901127</v>
      </c>
      <c r="H101" s="366">
        <v>62.350742801262903</v>
      </c>
      <c r="I101" s="366">
        <v>48.237796957019299</v>
      </c>
      <c r="J101" s="366">
        <v>74.444404684212387</v>
      </c>
      <c r="K101" s="366">
        <v>122.27831086856253</v>
      </c>
      <c r="L101" s="366">
        <v>150.79216706060774</v>
      </c>
      <c r="M101" s="367">
        <v>172.67916666666667</v>
      </c>
      <c r="N101" s="365">
        <v>17.926666666666666</v>
      </c>
      <c r="O101" s="366">
        <v>17.47666666666667</v>
      </c>
      <c r="P101" s="366">
        <v>17.053333333333327</v>
      </c>
      <c r="Q101" s="366">
        <v>16.739999999999998</v>
      </c>
      <c r="R101" s="366">
        <v>16.47</v>
      </c>
      <c r="S101" s="366">
        <v>16.453333333333333</v>
      </c>
      <c r="T101" s="366">
        <v>18.196666666666665</v>
      </c>
      <c r="U101" s="366">
        <v>19.993333333333336</v>
      </c>
      <c r="V101" s="366">
        <v>21.889999999999997</v>
      </c>
      <c r="W101" s="366">
        <v>23.056666666666665</v>
      </c>
      <c r="X101" s="366">
        <v>24.226666666666663</v>
      </c>
      <c r="Y101" s="366">
        <v>25.089999999999996</v>
      </c>
      <c r="Z101" s="366">
        <v>25.706666666666667</v>
      </c>
      <c r="AA101" s="366">
        <v>26.113333333333337</v>
      </c>
      <c r="AB101" s="366">
        <v>25.709999999999994</v>
      </c>
      <c r="AC101" s="366">
        <v>25.313333333333333</v>
      </c>
      <c r="AD101" s="366">
        <v>24.413333333333338</v>
      </c>
      <c r="AE101" s="366">
        <v>22.553333333333331</v>
      </c>
      <c r="AF101" s="366">
        <v>20.953333333333333</v>
      </c>
      <c r="AG101" s="366">
        <v>19.976666666666667</v>
      </c>
      <c r="AH101" s="366">
        <v>19.276666666666667</v>
      </c>
      <c r="AI101" s="366">
        <v>19.22666666666667</v>
      </c>
      <c r="AJ101" s="366">
        <v>18.743333333333332</v>
      </c>
      <c r="AK101" s="367">
        <v>18.419999999999998</v>
      </c>
      <c r="AL101" s="365">
        <v>0</v>
      </c>
      <c r="AM101" s="366">
        <v>0</v>
      </c>
      <c r="AN101" s="366">
        <v>0</v>
      </c>
      <c r="AO101" s="366">
        <v>0</v>
      </c>
      <c r="AP101" s="366">
        <v>0</v>
      </c>
      <c r="AQ101" s="366">
        <v>1.0333333333333334</v>
      </c>
      <c r="AR101" s="366">
        <v>99.266666666666666</v>
      </c>
      <c r="AS101" s="366">
        <v>228.03333333333333</v>
      </c>
      <c r="AT101" s="366">
        <v>363.5</v>
      </c>
      <c r="AU101" s="366">
        <v>414.76666666666665</v>
      </c>
      <c r="AV101" s="366">
        <v>526.83333333333337</v>
      </c>
      <c r="AW101" s="366">
        <v>564.56666666666672</v>
      </c>
      <c r="AX101" s="366">
        <v>536.13333333333333</v>
      </c>
      <c r="AY101" s="366">
        <v>511.63333333333333</v>
      </c>
      <c r="AZ101" s="366">
        <v>416</v>
      </c>
      <c r="BA101" s="366">
        <v>289.56666666666666</v>
      </c>
      <c r="BB101" s="366">
        <v>156.56666666666666</v>
      </c>
      <c r="BC101" s="366">
        <v>36.4</v>
      </c>
      <c r="BD101" s="366">
        <v>0</v>
      </c>
      <c r="BE101" s="366">
        <v>0</v>
      </c>
      <c r="BF101" s="366">
        <v>0</v>
      </c>
      <c r="BG101" s="366">
        <v>0</v>
      </c>
      <c r="BH101" s="366">
        <v>0</v>
      </c>
      <c r="BI101" s="367">
        <v>0</v>
      </c>
      <c r="BJ101" s="429"/>
    </row>
    <row r="102" spans="1:62" ht="15" x14ac:dyDescent="0.25">
      <c r="A102" s="363">
        <v>2005</v>
      </c>
      <c r="B102" s="364">
        <v>10</v>
      </c>
      <c r="C102" s="365">
        <v>12.959274193548369</v>
      </c>
      <c r="D102" s="367">
        <v>3.876075268817158</v>
      </c>
      <c r="E102" s="366">
        <v>139.99692210409762</v>
      </c>
      <c r="F102" s="366">
        <v>109.94255476705779</v>
      </c>
      <c r="G102" s="366">
        <v>69.741921886590646</v>
      </c>
      <c r="H102" s="366">
        <v>38.142656673047682</v>
      </c>
      <c r="I102" s="366">
        <v>33.76593060142703</v>
      </c>
      <c r="J102" s="366">
        <v>45.708423543821013</v>
      </c>
      <c r="K102" s="366">
        <v>85.679374255270062</v>
      </c>
      <c r="L102" s="366">
        <v>124.86106561344239</v>
      </c>
      <c r="M102" s="367">
        <v>115.12768817204301</v>
      </c>
      <c r="N102" s="365">
        <v>11.074193548387095</v>
      </c>
      <c r="O102" s="366">
        <v>10.629032258064516</v>
      </c>
      <c r="P102" s="366">
        <v>10.374193548387099</v>
      </c>
      <c r="Q102" s="366">
        <v>10.074193548387097</v>
      </c>
      <c r="R102" s="366">
        <v>9.7645161290322591</v>
      </c>
      <c r="S102" s="366">
        <v>9.4967741935483883</v>
      </c>
      <c r="T102" s="366">
        <v>10.193548387096774</v>
      </c>
      <c r="U102" s="366">
        <v>11.883870967741936</v>
      </c>
      <c r="V102" s="366">
        <v>13.458064516129031</v>
      </c>
      <c r="W102" s="366">
        <v>14.554838709677421</v>
      </c>
      <c r="X102" s="366">
        <v>15.290322580645162</v>
      </c>
      <c r="Y102" s="366">
        <v>15.767741935483871</v>
      </c>
      <c r="Z102" s="366">
        <v>16.545161290322579</v>
      </c>
      <c r="AA102" s="366">
        <v>16.832258064516125</v>
      </c>
      <c r="AB102" s="366">
        <v>16.596774193548384</v>
      </c>
      <c r="AC102" s="366">
        <v>15.916129032258064</v>
      </c>
      <c r="AD102" s="366">
        <v>14.887096774193544</v>
      </c>
      <c r="AE102" s="366">
        <v>13.961290322580643</v>
      </c>
      <c r="AF102" s="366">
        <v>13.290322580645164</v>
      </c>
      <c r="AG102" s="366">
        <v>12.719354838709682</v>
      </c>
      <c r="AH102" s="366">
        <v>12.338709677419361</v>
      </c>
      <c r="AI102" s="366">
        <v>12.058064516129033</v>
      </c>
      <c r="AJ102" s="366">
        <v>11.722580645161285</v>
      </c>
      <c r="AK102" s="367">
        <v>11.593548387096771</v>
      </c>
      <c r="AL102" s="365">
        <v>0</v>
      </c>
      <c r="AM102" s="366">
        <v>0</v>
      </c>
      <c r="AN102" s="366">
        <v>0</v>
      </c>
      <c r="AO102" s="366">
        <v>0</v>
      </c>
      <c r="AP102" s="366">
        <v>0</v>
      </c>
      <c r="AQ102" s="366">
        <v>0</v>
      </c>
      <c r="AR102" s="366">
        <v>14.838709677419354</v>
      </c>
      <c r="AS102" s="366">
        <v>157.67741935483872</v>
      </c>
      <c r="AT102" s="366">
        <v>267.80645161290323</v>
      </c>
      <c r="AU102" s="366">
        <v>346.96774193548384</v>
      </c>
      <c r="AV102" s="366">
        <v>391.74193548387098</v>
      </c>
      <c r="AW102" s="366">
        <v>377.19354838709677</v>
      </c>
      <c r="AX102" s="366">
        <v>404.16129032258067</v>
      </c>
      <c r="AY102" s="366">
        <v>312.51612903225805</v>
      </c>
      <c r="AZ102" s="366">
        <v>274.03225806451616</v>
      </c>
      <c r="BA102" s="366">
        <v>166.09677419354838</v>
      </c>
      <c r="BB102" s="366">
        <v>50.032258064516128</v>
      </c>
      <c r="BC102" s="366">
        <v>0</v>
      </c>
      <c r="BD102" s="366">
        <v>0</v>
      </c>
      <c r="BE102" s="366">
        <v>0</v>
      </c>
      <c r="BF102" s="366">
        <v>0</v>
      </c>
      <c r="BG102" s="366">
        <v>0</v>
      </c>
      <c r="BH102" s="366">
        <v>0</v>
      </c>
      <c r="BI102" s="367">
        <v>0</v>
      </c>
      <c r="BJ102" s="429"/>
    </row>
    <row r="103" spans="1:62" ht="15" x14ac:dyDescent="0.25">
      <c r="A103" s="363">
        <v>2005</v>
      </c>
      <c r="B103" s="364">
        <v>11</v>
      </c>
      <c r="C103" s="365">
        <v>5.6974999999999918</v>
      </c>
      <c r="D103" s="367">
        <v>5.1794444444443952</v>
      </c>
      <c r="E103" s="366">
        <v>128.28779849243503</v>
      </c>
      <c r="F103" s="366">
        <v>92.911444665888567</v>
      </c>
      <c r="G103" s="366">
        <v>47.22658569050347</v>
      </c>
      <c r="H103" s="366">
        <v>25.337116730084087</v>
      </c>
      <c r="I103" s="366">
        <v>24.263289020197398</v>
      </c>
      <c r="J103" s="366">
        <v>28.157911737260665</v>
      </c>
      <c r="K103" s="366">
        <v>59.834549800903673</v>
      </c>
      <c r="L103" s="366">
        <v>108.04521501734334</v>
      </c>
      <c r="M103" s="367">
        <v>80.197222222222223</v>
      </c>
      <c r="N103" s="365">
        <v>5.1866666666666674</v>
      </c>
      <c r="O103" s="366">
        <v>4.9699999999999989</v>
      </c>
      <c r="P103" s="366">
        <v>4.5999999999999988</v>
      </c>
      <c r="Q103" s="366">
        <v>4.1499999999999995</v>
      </c>
      <c r="R103" s="366">
        <v>3.6233333333333326</v>
      </c>
      <c r="S103" s="366">
        <v>3.31</v>
      </c>
      <c r="T103" s="366">
        <v>3.2466666666666666</v>
      </c>
      <c r="U103" s="366">
        <v>4.07</v>
      </c>
      <c r="V103" s="366">
        <v>5.0266666666666664</v>
      </c>
      <c r="W103" s="366">
        <v>6.06</v>
      </c>
      <c r="X103" s="366">
        <v>7.0033333333333339</v>
      </c>
      <c r="Y103" s="366">
        <v>7.6933333333333298</v>
      </c>
      <c r="Z103" s="366">
        <v>8.0966666666666658</v>
      </c>
      <c r="AA103" s="366">
        <v>8.1833333333333353</v>
      </c>
      <c r="AB103" s="366">
        <v>8.1333333333333346</v>
      </c>
      <c r="AC103" s="366">
        <v>7.576666666666668</v>
      </c>
      <c r="AD103" s="366">
        <v>6.7233333333333336</v>
      </c>
      <c r="AE103" s="366">
        <v>6.2433333333333332</v>
      </c>
      <c r="AF103" s="366">
        <v>6.13</v>
      </c>
      <c r="AG103" s="366">
        <v>5.4333333333333327</v>
      </c>
      <c r="AH103" s="366">
        <v>5.39333333333333</v>
      </c>
      <c r="AI103" s="366">
        <v>5.1599999999999975</v>
      </c>
      <c r="AJ103" s="366">
        <v>5.1633333333333313</v>
      </c>
      <c r="AK103" s="367">
        <v>5.5633333333333344</v>
      </c>
      <c r="AL103" s="365">
        <v>0</v>
      </c>
      <c r="AM103" s="366">
        <v>0</v>
      </c>
      <c r="AN103" s="366">
        <v>0</v>
      </c>
      <c r="AO103" s="366">
        <v>0</v>
      </c>
      <c r="AP103" s="366">
        <v>0</v>
      </c>
      <c r="AQ103" s="366">
        <v>0</v>
      </c>
      <c r="AR103" s="366">
        <v>0.1</v>
      </c>
      <c r="AS103" s="366">
        <v>61.033333333333331</v>
      </c>
      <c r="AT103" s="366">
        <v>164.2</v>
      </c>
      <c r="AU103" s="366">
        <v>259.10000000000002</v>
      </c>
      <c r="AV103" s="366">
        <v>327.03333333333336</v>
      </c>
      <c r="AW103" s="366">
        <v>336.2</v>
      </c>
      <c r="AX103" s="366">
        <v>291.8</v>
      </c>
      <c r="AY103" s="366">
        <v>235</v>
      </c>
      <c r="AZ103" s="366">
        <v>175.13333333333333</v>
      </c>
      <c r="BA103" s="366">
        <v>73.566666666666663</v>
      </c>
      <c r="BB103" s="366">
        <v>1.5666666666666667</v>
      </c>
      <c r="BC103" s="366">
        <v>0</v>
      </c>
      <c r="BD103" s="366">
        <v>0</v>
      </c>
      <c r="BE103" s="366">
        <v>0</v>
      </c>
      <c r="BF103" s="366">
        <v>0</v>
      </c>
      <c r="BG103" s="366">
        <v>0</v>
      </c>
      <c r="BH103" s="366">
        <v>0</v>
      </c>
      <c r="BI103" s="367">
        <v>0</v>
      </c>
      <c r="BJ103" s="429"/>
    </row>
    <row r="104" spans="1:62" ht="15" x14ac:dyDescent="0.25">
      <c r="A104" s="368">
        <v>2005</v>
      </c>
      <c r="B104" s="369">
        <v>12</v>
      </c>
      <c r="C104" s="370">
        <v>-4.440671140939604</v>
      </c>
      <c r="D104" s="372">
        <v>4.1687248322147168</v>
      </c>
      <c r="E104" s="371">
        <v>102.20586139129591</v>
      </c>
      <c r="F104" s="371">
        <v>70.138952387906954</v>
      </c>
      <c r="G104" s="371">
        <v>33.243343916877116</v>
      </c>
      <c r="H104" s="371">
        <v>18.474832045032862</v>
      </c>
      <c r="I104" s="371">
        <v>18.147709331849235</v>
      </c>
      <c r="J104" s="371">
        <v>20.350087359078195</v>
      </c>
      <c r="K104" s="371">
        <v>46.872234642449428</v>
      </c>
      <c r="L104" s="371">
        <v>87.680400424398712</v>
      </c>
      <c r="M104" s="372">
        <v>56.563758389261743</v>
      </c>
      <c r="N104" s="370">
        <v>-5.4967741935483865</v>
      </c>
      <c r="O104" s="371">
        <v>-5.4419354838709681</v>
      </c>
      <c r="P104" s="371">
        <v>-5.6290322580645169</v>
      </c>
      <c r="Q104" s="371">
        <v>-5.6741935483870973</v>
      </c>
      <c r="R104" s="371">
        <v>-5.6838709677419379</v>
      </c>
      <c r="S104" s="371">
        <v>-5.5354838709677425</v>
      </c>
      <c r="T104" s="371">
        <v>-5.6548387096774206</v>
      </c>
      <c r="U104" s="371">
        <v>-5.4032258064516139</v>
      </c>
      <c r="V104" s="371">
        <v>-4.7258064516129039</v>
      </c>
      <c r="W104" s="371">
        <v>-3.9741935483870967</v>
      </c>
      <c r="X104" s="371">
        <v>-3.245161290322581</v>
      </c>
      <c r="Y104" s="371">
        <v>-2.7774193548387109</v>
      </c>
      <c r="Z104" s="371">
        <v>-2.4354838709677424</v>
      </c>
      <c r="AA104" s="371">
        <v>-2.3645161290322578</v>
      </c>
      <c r="AB104" s="371">
        <v>-2.6645161290322581</v>
      </c>
      <c r="AC104" s="371">
        <v>-3.2032258064516128</v>
      </c>
      <c r="AD104" s="371">
        <v>-3.641935483870967</v>
      </c>
      <c r="AE104" s="371">
        <v>-3.9322580645161294</v>
      </c>
      <c r="AF104" s="371">
        <v>-4.3322580645161288</v>
      </c>
      <c r="AG104" s="371">
        <v>-4.5677419354838706</v>
      </c>
      <c r="AH104" s="371">
        <v>-4.7838709677419349</v>
      </c>
      <c r="AI104" s="371">
        <v>-4.9290322580645167</v>
      </c>
      <c r="AJ104" s="371">
        <v>-5.2419354838709671</v>
      </c>
      <c r="AK104" s="372">
        <v>-5.2125000000000004</v>
      </c>
      <c r="AL104" s="370">
        <v>0</v>
      </c>
      <c r="AM104" s="371">
        <v>0</v>
      </c>
      <c r="AN104" s="371">
        <v>0</v>
      </c>
      <c r="AO104" s="371">
        <v>0</v>
      </c>
      <c r="AP104" s="371">
        <v>0</v>
      </c>
      <c r="AQ104" s="371">
        <v>0</v>
      </c>
      <c r="AR104" s="371">
        <v>0</v>
      </c>
      <c r="AS104" s="371">
        <v>2.7096774193548385</v>
      </c>
      <c r="AT104" s="371">
        <v>107.87096774193549</v>
      </c>
      <c r="AU104" s="371">
        <v>159.7741935483871</v>
      </c>
      <c r="AV104" s="371">
        <v>219.06451612903226</v>
      </c>
      <c r="AW104" s="371">
        <v>240.12903225806451</v>
      </c>
      <c r="AX104" s="371">
        <v>239.2258064516129</v>
      </c>
      <c r="AY104" s="371">
        <v>182.16129032258064</v>
      </c>
      <c r="AZ104" s="371">
        <v>143.12903225806451</v>
      </c>
      <c r="BA104" s="371">
        <v>65.290322580645167</v>
      </c>
      <c r="BB104" s="371">
        <v>0</v>
      </c>
      <c r="BC104" s="371">
        <v>0</v>
      </c>
      <c r="BD104" s="371">
        <v>0</v>
      </c>
      <c r="BE104" s="371">
        <v>0</v>
      </c>
      <c r="BF104" s="371">
        <v>0</v>
      </c>
      <c r="BG104" s="371">
        <v>0</v>
      </c>
      <c r="BH104" s="371">
        <v>0</v>
      </c>
      <c r="BI104" s="372">
        <v>0</v>
      </c>
      <c r="BJ104" s="429"/>
    </row>
    <row r="105" spans="1:62" ht="15" x14ac:dyDescent="0.25">
      <c r="A105" s="347">
        <v>2006</v>
      </c>
      <c r="B105" s="348">
        <v>1</v>
      </c>
      <c r="C105" s="349">
        <v>2.1628532974428101</v>
      </c>
      <c r="D105" s="351">
        <v>4.3055181695827729</v>
      </c>
      <c r="E105" s="350">
        <v>102.48395794265731</v>
      </c>
      <c r="F105" s="350">
        <v>71.256737406407296</v>
      </c>
      <c r="G105" s="350">
        <v>35.415609881732074</v>
      </c>
      <c r="H105" s="350">
        <v>21.955679533253313</v>
      </c>
      <c r="I105" s="350">
        <v>21.613807905972799</v>
      </c>
      <c r="J105" s="350">
        <v>24.085831773953075</v>
      </c>
      <c r="K105" s="350">
        <v>49.577977981138623</v>
      </c>
      <c r="L105" s="350">
        <v>89.315793172032031</v>
      </c>
      <c r="M105" s="351">
        <v>64.239569313593535</v>
      </c>
      <c r="N105" s="349">
        <v>1.4419354838709681</v>
      </c>
      <c r="O105" s="350">
        <v>1.0580645161290321</v>
      </c>
      <c r="P105" s="350">
        <v>0.77419354838709664</v>
      </c>
      <c r="Q105" s="350">
        <v>0.4580645161290321</v>
      </c>
      <c r="R105" s="350">
        <v>0.51612903225806428</v>
      </c>
      <c r="S105" s="350">
        <v>0.27741935483870961</v>
      </c>
      <c r="T105" s="350">
        <v>0.65806451612903216</v>
      </c>
      <c r="U105" s="350">
        <v>1.3580645161290323</v>
      </c>
      <c r="V105" s="350">
        <v>2.0870967741935496</v>
      </c>
      <c r="W105" s="350">
        <v>2.7903225806451624</v>
      </c>
      <c r="X105" s="350">
        <v>3.4580645161290327</v>
      </c>
      <c r="Y105" s="350">
        <v>3.8096774193548395</v>
      </c>
      <c r="Z105" s="350">
        <v>4.0903225806451617</v>
      </c>
      <c r="AA105" s="350">
        <v>4.0741935483870977</v>
      </c>
      <c r="AB105" s="350">
        <v>3.7612903225806451</v>
      </c>
      <c r="AC105" s="350">
        <v>3.2000000000000011</v>
      </c>
      <c r="AD105" s="350">
        <v>2.8032258064516133</v>
      </c>
      <c r="AE105" s="350">
        <v>2.5290322580645164</v>
      </c>
      <c r="AF105" s="350">
        <v>2.3161290322580648</v>
      </c>
      <c r="AG105" s="350">
        <v>2.4161290322580657</v>
      </c>
      <c r="AH105" s="350">
        <v>2.1612903225806459</v>
      </c>
      <c r="AI105" s="350">
        <v>2.0709677419354851</v>
      </c>
      <c r="AJ105" s="350">
        <v>2.038709677419356</v>
      </c>
      <c r="AK105" s="351">
        <v>1.7466666666666675</v>
      </c>
      <c r="AL105" s="349">
        <v>0</v>
      </c>
      <c r="AM105" s="350">
        <v>0</v>
      </c>
      <c r="AN105" s="350">
        <v>0</v>
      </c>
      <c r="AO105" s="350">
        <v>0</v>
      </c>
      <c r="AP105" s="350">
        <v>0</v>
      </c>
      <c r="AQ105" s="350">
        <v>0</v>
      </c>
      <c r="AR105" s="350">
        <v>0</v>
      </c>
      <c r="AS105" s="350">
        <v>8.806451612903226</v>
      </c>
      <c r="AT105" s="350">
        <v>70.870967741935488</v>
      </c>
      <c r="AU105" s="350">
        <v>162.03225806451613</v>
      </c>
      <c r="AV105" s="350">
        <v>239.96774193548387</v>
      </c>
      <c r="AW105" s="350">
        <v>277.74193548387098</v>
      </c>
      <c r="AX105" s="350">
        <v>268.80645161290323</v>
      </c>
      <c r="AY105" s="350">
        <v>235.38709677419354</v>
      </c>
      <c r="AZ105" s="350">
        <v>172.45161290322579</v>
      </c>
      <c r="BA105" s="350">
        <v>86.58064516129032</v>
      </c>
      <c r="BB105" s="350">
        <v>17.032258064516128</v>
      </c>
      <c r="BC105" s="350">
        <v>0</v>
      </c>
      <c r="BD105" s="350">
        <v>0</v>
      </c>
      <c r="BE105" s="350">
        <v>0</v>
      </c>
      <c r="BF105" s="350">
        <v>0</v>
      </c>
      <c r="BG105" s="350">
        <v>0</v>
      </c>
      <c r="BH105" s="350">
        <v>0</v>
      </c>
      <c r="BI105" s="351">
        <v>0</v>
      </c>
      <c r="BJ105" s="429"/>
    </row>
    <row r="106" spans="1:62" ht="15" x14ac:dyDescent="0.25">
      <c r="A106" s="347">
        <v>2006</v>
      </c>
      <c r="B106" s="348">
        <v>2</v>
      </c>
      <c r="C106" s="352">
        <v>-1.9580357142857132</v>
      </c>
      <c r="D106" s="354">
        <v>4.2633928571428568</v>
      </c>
      <c r="E106" s="353">
        <v>179.1355954642882</v>
      </c>
      <c r="F106" s="353">
        <v>127.32757001185135</v>
      </c>
      <c r="G106" s="353">
        <v>66.971680364519543</v>
      </c>
      <c r="H106" s="353">
        <v>31.590803966511277</v>
      </c>
      <c r="I106" s="353">
        <v>28.194289269004717</v>
      </c>
      <c r="J106" s="353">
        <v>39.796496541823991</v>
      </c>
      <c r="K106" s="353">
        <v>94.420375540501126</v>
      </c>
      <c r="L106" s="353">
        <v>157.9998243111398</v>
      </c>
      <c r="M106" s="354">
        <v>128.42113095238096</v>
      </c>
      <c r="N106" s="352">
        <v>-3.7321428571428568</v>
      </c>
      <c r="O106" s="353">
        <v>-3.9249999999999994</v>
      </c>
      <c r="P106" s="353">
        <v>-4.1892857142857141</v>
      </c>
      <c r="Q106" s="353">
        <v>-4.6178571428571429</v>
      </c>
      <c r="R106" s="353">
        <v>-4.6428571428571432</v>
      </c>
      <c r="S106" s="353">
        <v>-4.6642857142857137</v>
      </c>
      <c r="T106" s="353">
        <v>-3.9392857142857141</v>
      </c>
      <c r="U106" s="353">
        <v>-2.746428571428571</v>
      </c>
      <c r="V106" s="353">
        <v>-1.6392857142857142</v>
      </c>
      <c r="W106" s="353">
        <v>-0.60714285714285732</v>
      </c>
      <c r="X106" s="353">
        <v>0.1678571428571429</v>
      </c>
      <c r="Y106" s="353">
        <v>0.92857142857142871</v>
      </c>
      <c r="Z106" s="353">
        <v>1.0285714285714287</v>
      </c>
      <c r="AA106" s="353">
        <v>1.364285714285715</v>
      </c>
      <c r="AB106" s="353">
        <v>1.0035714285714283</v>
      </c>
      <c r="AC106" s="353">
        <v>0.48928571428571399</v>
      </c>
      <c r="AD106" s="353">
        <v>-0.41785714285714287</v>
      </c>
      <c r="AE106" s="353">
        <v>-1.0250000000000001</v>
      </c>
      <c r="AF106" s="353">
        <v>-1.7571428571428567</v>
      </c>
      <c r="AG106" s="353">
        <v>-2.1607142857142851</v>
      </c>
      <c r="AH106" s="353">
        <v>-2.3607142857142862</v>
      </c>
      <c r="AI106" s="353">
        <v>-2.8464285714285711</v>
      </c>
      <c r="AJ106" s="353">
        <v>-3.2607142857142857</v>
      </c>
      <c r="AK106" s="354">
        <v>-3.4428571428571431</v>
      </c>
      <c r="AL106" s="352">
        <v>0</v>
      </c>
      <c r="AM106" s="353">
        <v>0</v>
      </c>
      <c r="AN106" s="353">
        <v>0</v>
      </c>
      <c r="AO106" s="353">
        <v>0</v>
      </c>
      <c r="AP106" s="353">
        <v>0</v>
      </c>
      <c r="AQ106" s="353">
        <v>0</v>
      </c>
      <c r="AR106" s="353">
        <v>0.17857142857142858</v>
      </c>
      <c r="AS106" s="353">
        <v>53.821428571428569</v>
      </c>
      <c r="AT106" s="353">
        <v>184.21428571428572</v>
      </c>
      <c r="AU106" s="353">
        <v>319.10714285714283</v>
      </c>
      <c r="AV106" s="353">
        <v>426</v>
      </c>
      <c r="AW106" s="353">
        <v>493.21428571428572</v>
      </c>
      <c r="AX106" s="353">
        <v>490.64285714285717</v>
      </c>
      <c r="AY106" s="353">
        <v>447.57142857142856</v>
      </c>
      <c r="AZ106" s="353">
        <v>342.32142857142856</v>
      </c>
      <c r="BA106" s="353">
        <v>223.85714285714286</v>
      </c>
      <c r="BB106" s="353">
        <v>95.642857142857139</v>
      </c>
      <c r="BC106" s="353">
        <v>5.5357142857142856</v>
      </c>
      <c r="BD106" s="353">
        <v>0</v>
      </c>
      <c r="BE106" s="353">
        <v>0</v>
      </c>
      <c r="BF106" s="353">
        <v>0</v>
      </c>
      <c r="BG106" s="353">
        <v>0</v>
      </c>
      <c r="BH106" s="353">
        <v>0</v>
      </c>
      <c r="BI106" s="354">
        <v>0</v>
      </c>
      <c r="BJ106" s="429"/>
    </row>
    <row r="107" spans="1:62" ht="15" x14ac:dyDescent="0.25">
      <c r="A107" s="347">
        <v>2006</v>
      </c>
      <c r="B107" s="348">
        <v>3</v>
      </c>
      <c r="C107" s="352">
        <v>3.6856182795698955</v>
      </c>
      <c r="D107" s="354">
        <v>4.228494623655914</v>
      </c>
      <c r="E107" s="353">
        <v>152.30768541905212</v>
      </c>
      <c r="F107" s="353">
        <v>118.47980507425038</v>
      </c>
      <c r="G107" s="353">
        <v>80.509083973370508</v>
      </c>
      <c r="H107" s="353">
        <v>49.494474008198502</v>
      </c>
      <c r="I107" s="353">
        <v>41.46153341398221</v>
      </c>
      <c r="J107" s="353">
        <v>64.55086192391785</v>
      </c>
      <c r="K107" s="353">
        <v>115.66392647645158</v>
      </c>
      <c r="L107" s="353">
        <v>152.96534942825198</v>
      </c>
      <c r="M107" s="354">
        <v>154.53763440860214</v>
      </c>
      <c r="N107" s="352">
        <v>1.8903225806451616</v>
      </c>
      <c r="O107" s="353">
        <v>1.5709677419354844</v>
      </c>
      <c r="P107" s="353">
        <v>1.4645161290322577</v>
      </c>
      <c r="Q107" s="353">
        <v>1.0709677419354835</v>
      </c>
      <c r="R107" s="353">
        <v>1.0774193548387099</v>
      </c>
      <c r="S107" s="353">
        <v>1.6580645161290322</v>
      </c>
      <c r="T107" s="353">
        <v>2.8903225806451616</v>
      </c>
      <c r="U107" s="353">
        <v>4.0258064516129037</v>
      </c>
      <c r="V107" s="353">
        <v>4.8612903225806461</v>
      </c>
      <c r="W107" s="353">
        <v>5.6032258064516123</v>
      </c>
      <c r="X107" s="353">
        <v>6.0838709677419356</v>
      </c>
      <c r="Y107" s="353">
        <v>6.5064516129032253</v>
      </c>
      <c r="Z107" s="353">
        <v>6.6741935483870964</v>
      </c>
      <c r="AA107" s="353">
        <v>6.4161290322580626</v>
      </c>
      <c r="AB107" s="353">
        <v>5.832258064516127</v>
      </c>
      <c r="AC107" s="353">
        <v>5.3161290322580648</v>
      </c>
      <c r="AD107" s="353">
        <v>4.403225806451613</v>
      </c>
      <c r="AE107" s="353">
        <v>4.0032258064516135</v>
      </c>
      <c r="AF107" s="353">
        <v>3.6774193548387104</v>
      </c>
      <c r="AG107" s="353">
        <v>3.3709677419354849</v>
      </c>
      <c r="AH107" s="353">
        <v>3.1354838709677431</v>
      </c>
      <c r="AI107" s="353">
        <v>2.845161290322582</v>
      </c>
      <c r="AJ107" s="353">
        <v>2.3387096774193554</v>
      </c>
      <c r="AK107" s="354">
        <v>1.7387096774193551</v>
      </c>
      <c r="AL107" s="352">
        <v>0</v>
      </c>
      <c r="AM107" s="353">
        <v>0</v>
      </c>
      <c r="AN107" s="353">
        <v>0</v>
      </c>
      <c r="AO107" s="353">
        <v>0</v>
      </c>
      <c r="AP107" s="353">
        <v>0</v>
      </c>
      <c r="AQ107" s="353">
        <v>0</v>
      </c>
      <c r="AR107" s="353">
        <v>27.70967741935484</v>
      </c>
      <c r="AS107" s="353">
        <v>133.25806451612902</v>
      </c>
      <c r="AT107" s="353">
        <v>256.22580645161293</v>
      </c>
      <c r="AU107" s="353">
        <v>374.45161290322579</v>
      </c>
      <c r="AV107" s="353">
        <v>472.29032258064518</v>
      </c>
      <c r="AW107" s="353">
        <v>534.48387096774195</v>
      </c>
      <c r="AX107" s="353">
        <v>526.16129032258061</v>
      </c>
      <c r="AY107" s="353">
        <v>489.45161290322579</v>
      </c>
      <c r="AZ107" s="353">
        <v>405.12903225806451</v>
      </c>
      <c r="BA107" s="353">
        <v>289.48387096774195</v>
      </c>
      <c r="BB107" s="353">
        <v>159.09677419354838</v>
      </c>
      <c r="BC107" s="353">
        <v>41.161290322580648</v>
      </c>
      <c r="BD107" s="353">
        <v>0</v>
      </c>
      <c r="BE107" s="353">
        <v>0</v>
      </c>
      <c r="BF107" s="353">
        <v>0</v>
      </c>
      <c r="BG107" s="353">
        <v>0</v>
      </c>
      <c r="BH107" s="353">
        <v>0</v>
      </c>
      <c r="BI107" s="354">
        <v>0</v>
      </c>
      <c r="BJ107" s="429"/>
    </row>
    <row r="108" spans="1:62" ht="15" x14ac:dyDescent="0.25">
      <c r="A108" s="347">
        <v>2006</v>
      </c>
      <c r="B108" s="348">
        <v>4</v>
      </c>
      <c r="C108" s="352">
        <v>12.022638888888876</v>
      </c>
      <c r="D108" s="354">
        <v>4.447222222222222</v>
      </c>
      <c r="E108" s="353">
        <v>144.88507572639233</v>
      </c>
      <c r="F108" s="353">
        <v>135.44777385387556</v>
      </c>
      <c r="G108" s="353">
        <v>110.51592605730696</v>
      </c>
      <c r="H108" s="353">
        <v>70.514470004443808</v>
      </c>
      <c r="I108" s="353">
        <v>51.486889971207844</v>
      </c>
      <c r="J108" s="353">
        <v>91.98862919473062</v>
      </c>
      <c r="K108" s="353">
        <v>142.46017247016849</v>
      </c>
      <c r="L108" s="353">
        <v>158.87698469355217</v>
      </c>
      <c r="M108" s="354">
        <v>212.74027777777778</v>
      </c>
      <c r="N108" s="352">
        <v>8.7899999999999974</v>
      </c>
      <c r="O108" s="353">
        <v>8.3766666666666652</v>
      </c>
      <c r="P108" s="353">
        <v>8.0833333333333304</v>
      </c>
      <c r="Q108" s="353">
        <v>7.6099999999999959</v>
      </c>
      <c r="R108" s="353">
        <v>7.9966666666666644</v>
      </c>
      <c r="S108" s="353">
        <v>9.8266666666666644</v>
      </c>
      <c r="T108" s="353">
        <v>11.553333333333333</v>
      </c>
      <c r="U108" s="353">
        <v>12.839999999999998</v>
      </c>
      <c r="V108" s="353">
        <v>14.026666666666664</v>
      </c>
      <c r="W108" s="353">
        <v>14.953333333333331</v>
      </c>
      <c r="X108" s="353">
        <v>15.516666666666667</v>
      </c>
      <c r="Y108" s="353">
        <v>15.913333333333332</v>
      </c>
      <c r="Z108" s="353">
        <v>16.169999999999998</v>
      </c>
      <c r="AA108" s="353">
        <v>16.246666666666666</v>
      </c>
      <c r="AB108" s="353">
        <v>15.869999999999997</v>
      </c>
      <c r="AC108" s="353">
        <v>15.349999999999994</v>
      </c>
      <c r="AD108" s="353">
        <v>14.08</v>
      </c>
      <c r="AE108" s="353">
        <v>12.85</v>
      </c>
      <c r="AF108" s="353">
        <v>11.823333333333331</v>
      </c>
      <c r="AG108" s="353">
        <v>11.153333333333329</v>
      </c>
      <c r="AH108" s="353">
        <v>10.949999999999996</v>
      </c>
      <c r="AI108" s="353">
        <v>10.093333333333332</v>
      </c>
      <c r="AJ108" s="353">
        <v>9.4799999999999969</v>
      </c>
      <c r="AK108" s="354">
        <v>8.9899999999999984</v>
      </c>
      <c r="AL108" s="352">
        <v>0</v>
      </c>
      <c r="AM108" s="353">
        <v>0</v>
      </c>
      <c r="AN108" s="353">
        <v>0</v>
      </c>
      <c r="AO108" s="353">
        <v>0</v>
      </c>
      <c r="AP108" s="353">
        <v>0</v>
      </c>
      <c r="AQ108" s="353">
        <v>17.100000000000001</v>
      </c>
      <c r="AR108" s="353">
        <v>123.4</v>
      </c>
      <c r="AS108" s="353">
        <v>272.03333333333336</v>
      </c>
      <c r="AT108" s="353">
        <v>402.3</v>
      </c>
      <c r="AU108" s="353">
        <v>533.23333333333335</v>
      </c>
      <c r="AV108" s="353">
        <v>630.0333333333333</v>
      </c>
      <c r="AW108" s="353">
        <v>661</v>
      </c>
      <c r="AX108" s="353">
        <v>642.20000000000005</v>
      </c>
      <c r="AY108" s="353">
        <v>597.66666666666663</v>
      </c>
      <c r="AZ108" s="353">
        <v>506.83333333333331</v>
      </c>
      <c r="BA108" s="353">
        <v>368.6</v>
      </c>
      <c r="BB108" s="353">
        <v>239.4</v>
      </c>
      <c r="BC108" s="353">
        <v>103</v>
      </c>
      <c r="BD108" s="353">
        <v>8.9666666666666668</v>
      </c>
      <c r="BE108" s="353">
        <v>0</v>
      </c>
      <c r="BF108" s="353">
        <v>0</v>
      </c>
      <c r="BG108" s="353">
        <v>0</v>
      </c>
      <c r="BH108" s="353">
        <v>0</v>
      </c>
      <c r="BI108" s="354">
        <v>0</v>
      </c>
      <c r="BJ108" s="429"/>
    </row>
    <row r="109" spans="1:62" ht="15" x14ac:dyDescent="0.25">
      <c r="A109" s="347">
        <v>2006</v>
      </c>
      <c r="B109" s="348">
        <v>5</v>
      </c>
      <c r="C109" s="352">
        <v>15.651612903225855</v>
      </c>
      <c r="D109" s="354">
        <v>3.450268817204301</v>
      </c>
      <c r="E109" s="353">
        <v>123.85144826891363</v>
      </c>
      <c r="F109" s="353">
        <v>128.87507288517449</v>
      </c>
      <c r="G109" s="353">
        <v>120.90898093081685</v>
      </c>
      <c r="H109" s="353">
        <v>90.991316040916985</v>
      </c>
      <c r="I109" s="353">
        <v>73.32565036485876</v>
      </c>
      <c r="J109" s="353">
        <v>118.4061311458767</v>
      </c>
      <c r="K109" s="353">
        <v>155.95890955894859</v>
      </c>
      <c r="L109" s="353">
        <v>150.70894753028898</v>
      </c>
      <c r="M109" s="354">
        <v>234.49596774193549</v>
      </c>
      <c r="N109" s="352">
        <v>12.054838709677419</v>
      </c>
      <c r="O109" s="353">
        <v>11.92258064516129</v>
      </c>
      <c r="P109" s="353">
        <v>11.67741935483871</v>
      </c>
      <c r="Q109" s="353">
        <v>11.454838709677418</v>
      </c>
      <c r="R109" s="353">
        <v>12.95806451612903</v>
      </c>
      <c r="S109" s="353">
        <v>14.454838709677416</v>
      </c>
      <c r="T109" s="353">
        <v>15.803225806451609</v>
      </c>
      <c r="U109" s="353">
        <v>16.812903225806448</v>
      </c>
      <c r="V109" s="353">
        <v>17.819354838709675</v>
      </c>
      <c r="W109" s="353">
        <v>18.512903225806454</v>
      </c>
      <c r="X109" s="353">
        <v>18.996774193548386</v>
      </c>
      <c r="Y109" s="353">
        <v>19.187096774193552</v>
      </c>
      <c r="Z109" s="353">
        <v>19.43548387096774</v>
      </c>
      <c r="AA109" s="353">
        <v>19.3</v>
      </c>
      <c r="AB109" s="353">
        <v>19.080645161290324</v>
      </c>
      <c r="AC109" s="353">
        <v>18.629032258064512</v>
      </c>
      <c r="AD109" s="353">
        <v>17.732258064516127</v>
      </c>
      <c r="AE109" s="353">
        <v>16.387096774193544</v>
      </c>
      <c r="AF109" s="353">
        <v>15.377419354838707</v>
      </c>
      <c r="AG109" s="353">
        <v>14.596774193548386</v>
      </c>
      <c r="AH109" s="353">
        <v>14.154838709677417</v>
      </c>
      <c r="AI109" s="353">
        <v>13.6516129032258</v>
      </c>
      <c r="AJ109" s="353">
        <v>13.058064516129027</v>
      </c>
      <c r="AK109" s="354">
        <v>12.580645161290317</v>
      </c>
      <c r="AL109" s="352">
        <v>0</v>
      </c>
      <c r="AM109" s="353">
        <v>0</v>
      </c>
      <c r="AN109" s="353">
        <v>0</v>
      </c>
      <c r="AO109" s="353">
        <v>0</v>
      </c>
      <c r="AP109" s="353">
        <v>2.4193548387096775</v>
      </c>
      <c r="AQ109" s="353">
        <v>62.903225806451616</v>
      </c>
      <c r="AR109" s="353">
        <v>180.54838709677421</v>
      </c>
      <c r="AS109" s="353">
        <v>291.41935483870969</v>
      </c>
      <c r="AT109" s="353">
        <v>412.54838709677421</v>
      </c>
      <c r="AU109" s="353">
        <v>557.61290322580646</v>
      </c>
      <c r="AV109" s="353">
        <v>668.58064516129036</v>
      </c>
      <c r="AW109" s="353">
        <v>733.09677419354841</v>
      </c>
      <c r="AX109" s="353">
        <v>708.70967741935488</v>
      </c>
      <c r="AY109" s="353">
        <v>603.61290322580646</v>
      </c>
      <c r="AZ109" s="353">
        <v>501.96774193548384</v>
      </c>
      <c r="BA109" s="353">
        <v>409.61290322580646</v>
      </c>
      <c r="BB109" s="353">
        <v>289.61290322580646</v>
      </c>
      <c r="BC109" s="353">
        <v>161</v>
      </c>
      <c r="BD109" s="353">
        <v>44.258064516129032</v>
      </c>
      <c r="BE109" s="353">
        <v>0</v>
      </c>
      <c r="BF109" s="353">
        <v>0</v>
      </c>
      <c r="BG109" s="353">
        <v>0</v>
      </c>
      <c r="BH109" s="353">
        <v>0</v>
      </c>
      <c r="BI109" s="354">
        <v>0</v>
      </c>
      <c r="BJ109" s="429"/>
    </row>
    <row r="110" spans="1:62" ht="15" x14ac:dyDescent="0.25">
      <c r="A110" s="347">
        <v>2006</v>
      </c>
      <c r="B110" s="348">
        <v>6</v>
      </c>
      <c r="C110" s="352">
        <v>20.556944444444596</v>
      </c>
      <c r="D110" s="354">
        <v>3.2652777777777779</v>
      </c>
      <c r="E110" s="353">
        <v>121.61729137704818</v>
      </c>
      <c r="F110" s="353">
        <v>136.99853401309934</v>
      </c>
      <c r="G110" s="353">
        <v>139.09138377965968</v>
      </c>
      <c r="H110" s="353">
        <v>109.17846777467354</v>
      </c>
      <c r="I110" s="353">
        <v>87.269945080074393</v>
      </c>
      <c r="J110" s="353">
        <v>142.86142653839926</v>
      </c>
      <c r="K110" s="353">
        <v>180.73792953412979</v>
      </c>
      <c r="L110" s="353">
        <v>162.08854585421355</v>
      </c>
      <c r="M110" s="354">
        <v>275.09444444444443</v>
      </c>
      <c r="N110" s="352">
        <v>16.533333333333331</v>
      </c>
      <c r="O110" s="353">
        <v>16.16333333333333</v>
      </c>
      <c r="P110" s="353">
        <v>16.006666666666661</v>
      </c>
      <c r="Q110" s="353">
        <v>16.099999999999994</v>
      </c>
      <c r="R110" s="353">
        <v>17.599999999999991</v>
      </c>
      <c r="S110" s="353">
        <v>19.056666666666661</v>
      </c>
      <c r="T110" s="353">
        <v>20.63</v>
      </c>
      <c r="U110" s="353">
        <v>21.553333333333335</v>
      </c>
      <c r="V110" s="353">
        <v>22.636666666666674</v>
      </c>
      <c r="W110" s="353">
        <v>23.610000000000007</v>
      </c>
      <c r="X110" s="353">
        <v>24.45333333333334</v>
      </c>
      <c r="Y110" s="353">
        <v>24.600000000000009</v>
      </c>
      <c r="Z110" s="353">
        <v>24.590000000000011</v>
      </c>
      <c r="AA110" s="353">
        <v>24.600000000000009</v>
      </c>
      <c r="AB110" s="353">
        <v>24.410000000000011</v>
      </c>
      <c r="AC110" s="353">
        <v>23.716666666666672</v>
      </c>
      <c r="AD110" s="353">
        <v>22.956666666666663</v>
      </c>
      <c r="AE110" s="353">
        <v>22.036666666666672</v>
      </c>
      <c r="AF110" s="353">
        <v>20.930000000000003</v>
      </c>
      <c r="AG110" s="353">
        <v>19.773333333333337</v>
      </c>
      <c r="AH110" s="353">
        <v>19.123333333333335</v>
      </c>
      <c r="AI110" s="353">
        <v>18.123333333333335</v>
      </c>
      <c r="AJ110" s="353">
        <v>17.216666666666661</v>
      </c>
      <c r="AK110" s="354">
        <v>16.946666666666662</v>
      </c>
      <c r="AL110" s="352">
        <v>0</v>
      </c>
      <c r="AM110" s="353">
        <v>0</v>
      </c>
      <c r="AN110" s="353">
        <v>0</v>
      </c>
      <c r="AO110" s="353">
        <v>0</v>
      </c>
      <c r="AP110" s="353">
        <v>8.6666666666666661</v>
      </c>
      <c r="AQ110" s="353">
        <v>94.066666666666663</v>
      </c>
      <c r="AR110" s="353">
        <v>224</v>
      </c>
      <c r="AS110" s="353">
        <v>363.63333333333333</v>
      </c>
      <c r="AT110" s="353">
        <v>479.96666666666664</v>
      </c>
      <c r="AU110" s="353">
        <v>598.56666666666672</v>
      </c>
      <c r="AV110" s="353">
        <v>710</v>
      </c>
      <c r="AW110" s="353">
        <v>766.0333333333333</v>
      </c>
      <c r="AX110" s="353">
        <v>790.9</v>
      </c>
      <c r="AY110" s="353">
        <v>723.73333333333335</v>
      </c>
      <c r="AZ110" s="353">
        <v>639.93333333333328</v>
      </c>
      <c r="BA110" s="353">
        <v>522.63333333333333</v>
      </c>
      <c r="BB110" s="353">
        <v>377.83333333333331</v>
      </c>
      <c r="BC110" s="353">
        <v>219.16666666666666</v>
      </c>
      <c r="BD110" s="353">
        <v>81.166666666666671</v>
      </c>
      <c r="BE110" s="353">
        <v>1.9666666666666666</v>
      </c>
      <c r="BF110" s="353">
        <v>0</v>
      </c>
      <c r="BG110" s="353">
        <v>0</v>
      </c>
      <c r="BH110" s="353">
        <v>0</v>
      </c>
      <c r="BI110" s="354">
        <v>0</v>
      </c>
      <c r="BJ110" s="429"/>
    </row>
    <row r="111" spans="1:62" ht="15" x14ac:dyDescent="0.25">
      <c r="A111" s="347">
        <v>2006</v>
      </c>
      <c r="B111" s="348">
        <v>7</v>
      </c>
      <c r="C111" s="352">
        <v>25.056720430107713</v>
      </c>
      <c r="D111" s="354">
        <v>2.911290322580645</v>
      </c>
      <c r="E111" s="353">
        <v>125.14852210651556</v>
      </c>
      <c r="F111" s="353">
        <v>136.4642516976397</v>
      </c>
      <c r="G111" s="353">
        <v>133.44017042648582</v>
      </c>
      <c r="H111" s="353">
        <v>101.12224627253964</v>
      </c>
      <c r="I111" s="353">
        <v>79.487314899893718</v>
      </c>
      <c r="J111" s="353">
        <v>138.75751295177704</v>
      </c>
      <c r="K111" s="353">
        <v>181.46346993172003</v>
      </c>
      <c r="L111" s="353">
        <v>166.73582187626405</v>
      </c>
      <c r="M111" s="354">
        <v>272.93413978494624</v>
      </c>
      <c r="N111" s="352">
        <v>21.516129032258068</v>
      </c>
      <c r="O111" s="353">
        <v>21.535483870967742</v>
      </c>
      <c r="P111" s="353">
        <v>21.151612903225807</v>
      </c>
      <c r="Q111" s="353">
        <v>21.254838709677419</v>
      </c>
      <c r="R111" s="353">
        <v>22.045161290322582</v>
      </c>
      <c r="S111" s="353">
        <v>23.345161290322586</v>
      </c>
      <c r="T111" s="353">
        <v>24.632258064516137</v>
      </c>
      <c r="U111" s="353">
        <v>25.738709677419365</v>
      </c>
      <c r="V111" s="353">
        <v>26.648387096774194</v>
      </c>
      <c r="W111" s="353">
        <v>27.377419354838715</v>
      </c>
      <c r="X111" s="353">
        <v>28.006451612903238</v>
      </c>
      <c r="Y111" s="353">
        <v>28.661290322580655</v>
      </c>
      <c r="Z111" s="353">
        <v>28.812903225806462</v>
      </c>
      <c r="AA111" s="353">
        <v>28.806451612903238</v>
      </c>
      <c r="AB111" s="353">
        <v>28.845161290322594</v>
      </c>
      <c r="AC111" s="353">
        <v>28.396774193548399</v>
      </c>
      <c r="AD111" s="353">
        <v>27.609677419354846</v>
      </c>
      <c r="AE111" s="353">
        <v>26.400000000000002</v>
      </c>
      <c r="AF111" s="353">
        <v>25.080645161290331</v>
      </c>
      <c r="AG111" s="353">
        <v>24.464516129032265</v>
      </c>
      <c r="AH111" s="353">
        <v>23.751612903225812</v>
      </c>
      <c r="AI111" s="353">
        <v>22.874193548387101</v>
      </c>
      <c r="AJ111" s="353">
        <v>22.593548387096778</v>
      </c>
      <c r="AK111" s="354">
        <v>21.812903225806458</v>
      </c>
      <c r="AL111" s="352">
        <v>0</v>
      </c>
      <c r="AM111" s="353">
        <v>0</v>
      </c>
      <c r="AN111" s="353">
        <v>0</v>
      </c>
      <c r="AO111" s="353">
        <v>0</v>
      </c>
      <c r="AP111" s="353">
        <v>2.4193548387096775</v>
      </c>
      <c r="AQ111" s="353">
        <v>71.225806451612897</v>
      </c>
      <c r="AR111" s="353">
        <v>206.64516129032259</v>
      </c>
      <c r="AS111" s="353">
        <v>344.09677419354841</v>
      </c>
      <c r="AT111" s="353">
        <v>450.87096774193549</v>
      </c>
      <c r="AU111" s="353">
        <v>587.41935483870964</v>
      </c>
      <c r="AV111" s="353">
        <v>704.70967741935488</v>
      </c>
      <c r="AW111" s="353">
        <v>780.70967741935488</v>
      </c>
      <c r="AX111" s="353">
        <v>799.90322580645159</v>
      </c>
      <c r="AY111" s="353">
        <v>742</v>
      </c>
      <c r="AZ111" s="353">
        <v>633.45161290322585</v>
      </c>
      <c r="BA111" s="353">
        <v>516.80645161290317</v>
      </c>
      <c r="BB111" s="353">
        <v>388.03225806451616</v>
      </c>
      <c r="BC111" s="353">
        <v>236.29032258064515</v>
      </c>
      <c r="BD111" s="353">
        <v>85.354838709677423</v>
      </c>
      <c r="BE111" s="353">
        <v>0.4838709677419355</v>
      </c>
      <c r="BF111" s="353">
        <v>0</v>
      </c>
      <c r="BG111" s="353">
        <v>0</v>
      </c>
      <c r="BH111" s="353">
        <v>0</v>
      </c>
      <c r="BI111" s="354">
        <v>0</v>
      </c>
      <c r="BJ111" s="429"/>
    </row>
    <row r="112" spans="1:62" ht="15" x14ac:dyDescent="0.25">
      <c r="A112" s="347">
        <v>2006</v>
      </c>
      <c r="B112" s="348">
        <v>8</v>
      </c>
      <c r="C112" s="352">
        <v>23.536962365591609</v>
      </c>
      <c r="D112" s="354">
        <v>2.8830645161290325</v>
      </c>
      <c r="E112" s="353">
        <v>136.70829054064382</v>
      </c>
      <c r="F112" s="353">
        <v>135.37116678952685</v>
      </c>
      <c r="G112" s="353">
        <v>117.30123636531154</v>
      </c>
      <c r="H112" s="353">
        <v>81.94909141865557</v>
      </c>
      <c r="I112" s="353">
        <v>62.20887740496805</v>
      </c>
      <c r="J112" s="353">
        <v>103.24216501071595</v>
      </c>
      <c r="K112" s="353">
        <v>146.04714913519658</v>
      </c>
      <c r="L112" s="353">
        <v>154.46856629158452</v>
      </c>
      <c r="M112" s="354">
        <v>222.8763440860215</v>
      </c>
      <c r="N112" s="352">
        <v>20.816129032258072</v>
      </c>
      <c r="O112" s="353">
        <v>20.438709677419361</v>
      </c>
      <c r="P112" s="353">
        <v>20.454838709677425</v>
      </c>
      <c r="Q112" s="353">
        <v>20.032258064516132</v>
      </c>
      <c r="R112" s="353">
        <v>20.606451612903228</v>
      </c>
      <c r="S112" s="353">
        <v>22.119354838709679</v>
      </c>
      <c r="T112" s="353">
        <v>23.483870967741936</v>
      </c>
      <c r="U112" s="353">
        <v>24.622580645161307</v>
      </c>
      <c r="V112" s="353">
        <v>25.451612903225818</v>
      </c>
      <c r="W112" s="353">
        <v>26.05161290322582</v>
      </c>
      <c r="X112" s="353">
        <v>26.787096774193557</v>
      </c>
      <c r="Y112" s="353">
        <v>27.106451612903232</v>
      </c>
      <c r="Z112" s="353">
        <v>27.161290322580655</v>
      </c>
      <c r="AA112" s="353">
        <v>27.035483870967742</v>
      </c>
      <c r="AB112" s="353">
        <v>26.680645161290322</v>
      </c>
      <c r="AC112" s="353">
        <v>26.212903225806464</v>
      </c>
      <c r="AD112" s="353">
        <v>25.251612903225819</v>
      </c>
      <c r="AE112" s="353">
        <v>23.893548387096775</v>
      </c>
      <c r="AF112" s="353">
        <v>23.054838709677423</v>
      </c>
      <c r="AG112" s="353">
        <v>22.461290322580648</v>
      </c>
      <c r="AH112" s="353">
        <v>22.164516129032261</v>
      </c>
      <c r="AI112" s="353">
        <v>21.238709677419358</v>
      </c>
      <c r="AJ112" s="353">
        <v>20.822580645161292</v>
      </c>
      <c r="AK112" s="354">
        <v>20.938709677419361</v>
      </c>
      <c r="AL112" s="352">
        <v>0</v>
      </c>
      <c r="AM112" s="353">
        <v>0</v>
      </c>
      <c r="AN112" s="353">
        <v>0</v>
      </c>
      <c r="AO112" s="353">
        <v>0</v>
      </c>
      <c r="AP112" s="353">
        <v>0</v>
      </c>
      <c r="AQ112" s="353">
        <v>26.677419354838708</v>
      </c>
      <c r="AR112" s="353">
        <v>142.48387096774192</v>
      </c>
      <c r="AS112" s="353">
        <v>273.70967741935482</v>
      </c>
      <c r="AT112" s="353">
        <v>397.77419354838707</v>
      </c>
      <c r="AU112" s="353">
        <v>532.09677419354841</v>
      </c>
      <c r="AV112" s="353">
        <v>660.29032258064512</v>
      </c>
      <c r="AW112" s="353">
        <v>726.09677419354841</v>
      </c>
      <c r="AX112" s="353">
        <v>705.67741935483866</v>
      </c>
      <c r="AY112" s="353">
        <v>596.61290322580646</v>
      </c>
      <c r="AZ112" s="353">
        <v>479.29032258064518</v>
      </c>
      <c r="BA112" s="353">
        <v>374.90322580645159</v>
      </c>
      <c r="BB112" s="353">
        <v>266.09677419354841</v>
      </c>
      <c r="BC112" s="353">
        <v>139.41935483870967</v>
      </c>
      <c r="BD112" s="353">
        <v>27.903225806451612</v>
      </c>
      <c r="BE112" s="353">
        <v>0</v>
      </c>
      <c r="BF112" s="353">
        <v>0</v>
      </c>
      <c r="BG112" s="353">
        <v>0</v>
      </c>
      <c r="BH112" s="353">
        <v>0</v>
      </c>
      <c r="BI112" s="354">
        <v>0</v>
      </c>
      <c r="BJ112" s="429"/>
    </row>
    <row r="113" spans="1:62" ht="15" x14ac:dyDescent="0.25">
      <c r="A113" s="347">
        <v>2006</v>
      </c>
      <c r="B113" s="348">
        <v>9</v>
      </c>
      <c r="C113" s="352">
        <v>16.915277777777877</v>
      </c>
      <c r="D113" s="354">
        <v>3.1680555555555556</v>
      </c>
      <c r="E113" s="353">
        <v>144.09806600434618</v>
      </c>
      <c r="F113" s="353">
        <v>118.16370481901538</v>
      </c>
      <c r="G113" s="353">
        <v>84.830473044406801</v>
      </c>
      <c r="H113" s="353">
        <v>52.329735331298224</v>
      </c>
      <c r="I113" s="353">
        <v>42.180235399210872</v>
      </c>
      <c r="J113" s="353">
        <v>70.414321143832595</v>
      </c>
      <c r="K113" s="353">
        <v>119.59821918839742</v>
      </c>
      <c r="L113" s="353">
        <v>149.03714565166749</v>
      </c>
      <c r="M113" s="354">
        <v>165.06527777777777</v>
      </c>
      <c r="N113" s="352">
        <v>14.473333333333333</v>
      </c>
      <c r="O113" s="353">
        <v>14.17</v>
      </c>
      <c r="P113" s="353">
        <v>13.963333333333333</v>
      </c>
      <c r="Q113" s="353">
        <v>13.603333333333332</v>
      </c>
      <c r="R113" s="353">
        <v>13.44333333333333</v>
      </c>
      <c r="S113" s="353">
        <v>14.81</v>
      </c>
      <c r="T113" s="353">
        <v>16.3</v>
      </c>
      <c r="U113" s="353">
        <v>17.686666666666664</v>
      </c>
      <c r="V113" s="353">
        <v>18.680000000000003</v>
      </c>
      <c r="W113" s="353">
        <v>19.470000000000006</v>
      </c>
      <c r="X113" s="353">
        <v>20.006666666666664</v>
      </c>
      <c r="Y113" s="353">
        <v>20.266666666666662</v>
      </c>
      <c r="Z113" s="353">
        <v>20.696666666666669</v>
      </c>
      <c r="AA113" s="353">
        <v>20.666666666666668</v>
      </c>
      <c r="AB113" s="353">
        <v>20.313333333333333</v>
      </c>
      <c r="AC113" s="353">
        <v>19.40666666666667</v>
      </c>
      <c r="AD113" s="353">
        <v>18.186666666666667</v>
      </c>
      <c r="AE113" s="353">
        <v>16.953333333333333</v>
      </c>
      <c r="AF113" s="353">
        <v>16.52333333333333</v>
      </c>
      <c r="AG113" s="353">
        <v>16.189999999999994</v>
      </c>
      <c r="AH113" s="353">
        <v>15.656666666666663</v>
      </c>
      <c r="AI113" s="353">
        <v>15.066666666666663</v>
      </c>
      <c r="AJ113" s="353">
        <v>14.636666666666667</v>
      </c>
      <c r="AK113" s="354">
        <v>14.796666666666669</v>
      </c>
      <c r="AL113" s="352">
        <v>0</v>
      </c>
      <c r="AM113" s="353">
        <v>0</v>
      </c>
      <c r="AN113" s="353">
        <v>0</v>
      </c>
      <c r="AO113" s="353">
        <v>0</v>
      </c>
      <c r="AP113" s="353">
        <v>0</v>
      </c>
      <c r="AQ113" s="353">
        <v>2.5</v>
      </c>
      <c r="AR113" s="353">
        <v>69.400000000000006</v>
      </c>
      <c r="AS113" s="353">
        <v>176.16666666666666</v>
      </c>
      <c r="AT113" s="353">
        <v>297.13333333333333</v>
      </c>
      <c r="AU113" s="353">
        <v>407.36666666666667</v>
      </c>
      <c r="AV113" s="353">
        <v>498.9</v>
      </c>
      <c r="AW113" s="353">
        <v>570.4</v>
      </c>
      <c r="AX113" s="353">
        <v>567.29999999999995</v>
      </c>
      <c r="AY113" s="353">
        <v>481.96666666666664</v>
      </c>
      <c r="AZ113" s="353">
        <v>388.3</v>
      </c>
      <c r="BA113" s="353">
        <v>287.73333333333335</v>
      </c>
      <c r="BB113" s="353">
        <v>165.96666666666667</v>
      </c>
      <c r="BC113" s="353">
        <v>48.43333333333333</v>
      </c>
      <c r="BD113" s="353">
        <v>0</v>
      </c>
      <c r="BE113" s="353">
        <v>0</v>
      </c>
      <c r="BF113" s="353">
        <v>0</v>
      </c>
      <c r="BG113" s="353">
        <v>0</v>
      </c>
      <c r="BH113" s="353">
        <v>0</v>
      </c>
      <c r="BI113" s="354">
        <v>0</v>
      </c>
      <c r="BJ113" s="429"/>
    </row>
    <row r="114" spans="1:62" ht="15" x14ac:dyDescent="0.25">
      <c r="A114" s="347">
        <v>2006</v>
      </c>
      <c r="B114" s="348">
        <v>10</v>
      </c>
      <c r="C114" s="352">
        <v>9.4383064516128528</v>
      </c>
      <c r="D114" s="354">
        <v>4.1733870967741939</v>
      </c>
      <c r="E114" s="353">
        <v>158.00448857052885</v>
      </c>
      <c r="F114" s="353">
        <v>118.39217650736205</v>
      </c>
      <c r="G114" s="353">
        <v>68.841815560080974</v>
      </c>
      <c r="H114" s="353">
        <v>34.988778292771656</v>
      </c>
      <c r="I114" s="353">
        <v>30.310430261206697</v>
      </c>
      <c r="J114" s="353">
        <v>43.818666514240959</v>
      </c>
      <c r="K114" s="353">
        <v>91.511337425305811</v>
      </c>
      <c r="L114" s="353">
        <v>141.5934282635792</v>
      </c>
      <c r="M114" s="354">
        <v>125.60349462365592</v>
      </c>
      <c r="N114" s="352">
        <v>7.4935483870967703</v>
      </c>
      <c r="O114" s="353">
        <v>7.2322580645161256</v>
      </c>
      <c r="P114" s="353">
        <v>7.0612903225806418</v>
      </c>
      <c r="Q114" s="353">
        <v>6.9322580645161267</v>
      </c>
      <c r="R114" s="353">
        <v>6.4483870967741908</v>
      </c>
      <c r="S114" s="353">
        <v>6.9032258064516094</v>
      </c>
      <c r="T114" s="353">
        <v>8.3806451612903174</v>
      </c>
      <c r="U114" s="353">
        <v>9.7419354838709626</v>
      </c>
      <c r="V114" s="353">
        <v>10.799999999999997</v>
      </c>
      <c r="W114" s="353">
        <v>11.616129032258062</v>
      </c>
      <c r="X114" s="353">
        <v>12.122580645161287</v>
      </c>
      <c r="Y114" s="353">
        <v>12.409677419354839</v>
      </c>
      <c r="Z114" s="353">
        <v>12.58064516129032</v>
      </c>
      <c r="AA114" s="353">
        <v>12.516129032258061</v>
      </c>
      <c r="AB114" s="353">
        <v>12.125806451612899</v>
      </c>
      <c r="AC114" s="353">
        <v>11.125806451612901</v>
      </c>
      <c r="AD114" s="353">
        <v>10.199999999999996</v>
      </c>
      <c r="AE114" s="353">
        <v>9.6290322580645125</v>
      </c>
      <c r="AF114" s="353">
        <v>9.2677419354838655</v>
      </c>
      <c r="AG114" s="353">
        <v>8.8225806451612847</v>
      </c>
      <c r="AH114" s="353">
        <v>8.754838709677415</v>
      </c>
      <c r="AI114" s="353">
        <v>8.4451612903225772</v>
      </c>
      <c r="AJ114" s="353">
        <v>7.9677419354838674</v>
      </c>
      <c r="AK114" s="354">
        <v>7.9419354838709619</v>
      </c>
      <c r="AL114" s="352">
        <v>0</v>
      </c>
      <c r="AM114" s="353">
        <v>0</v>
      </c>
      <c r="AN114" s="353">
        <v>0</v>
      </c>
      <c r="AO114" s="353">
        <v>0</v>
      </c>
      <c r="AP114" s="353">
        <v>0</v>
      </c>
      <c r="AQ114" s="353">
        <v>0</v>
      </c>
      <c r="AR114" s="353">
        <v>24.29032258064516</v>
      </c>
      <c r="AS114" s="353">
        <v>129.48387096774192</v>
      </c>
      <c r="AT114" s="353">
        <v>241.09677419354838</v>
      </c>
      <c r="AU114" s="353">
        <v>355.77419354838707</v>
      </c>
      <c r="AV114" s="353">
        <v>442.67741935483872</v>
      </c>
      <c r="AW114" s="353">
        <v>488.90322580645159</v>
      </c>
      <c r="AX114" s="353">
        <v>462.93548387096774</v>
      </c>
      <c r="AY114" s="353">
        <v>371.19354838709677</v>
      </c>
      <c r="AZ114" s="353">
        <v>276.61290322580646</v>
      </c>
      <c r="BA114" s="353">
        <v>165.48387096774192</v>
      </c>
      <c r="BB114" s="353">
        <v>55.322580645161288</v>
      </c>
      <c r="BC114" s="353">
        <v>0.70967741935483875</v>
      </c>
      <c r="BD114" s="353">
        <v>0</v>
      </c>
      <c r="BE114" s="353">
        <v>0</v>
      </c>
      <c r="BF114" s="353">
        <v>0</v>
      </c>
      <c r="BG114" s="353">
        <v>0</v>
      </c>
      <c r="BH114" s="353">
        <v>0</v>
      </c>
      <c r="BI114" s="354">
        <v>0</v>
      </c>
      <c r="BJ114" s="429"/>
    </row>
    <row r="115" spans="1:62" ht="15" x14ac:dyDescent="0.25">
      <c r="A115" s="347">
        <v>2006</v>
      </c>
      <c r="B115" s="348">
        <v>11</v>
      </c>
      <c r="C115" s="352">
        <v>6.0966666666666365</v>
      </c>
      <c r="D115" s="354">
        <v>3.8986111111111112</v>
      </c>
      <c r="E115" s="353">
        <v>110.4228061513641</v>
      </c>
      <c r="F115" s="353">
        <v>76.515562451927636</v>
      </c>
      <c r="G115" s="353">
        <v>39.349787189516391</v>
      </c>
      <c r="H115" s="353">
        <v>21.606085469245471</v>
      </c>
      <c r="I115" s="353">
        <v>20.772217831251648</v>
      </c>
      <c r="J115" s="353">
        <v>24.858409272677928</v>
      </c>
      <c r="K115" s="353">
        <v>56.012094744313245</v>
      </c>
      <c r="L115" s="353">
        <v>96.951771758093997</v>
      </c>
      <c r="M115" s="354">
        <v>68.926388888888894</v>
      </c>
      <c r="N115" s="352">
        <v>4.5700000000000012</v>
      </c>
      <c r="O115" s="353">
        <v>4.4266666666666667</v>
      </c>
      <c r="P115" s="353">
        <v>4.2900000000000009</v>
      </c>
      <c r="Q115" s="353">
        <v>4.0466666666666677</v>
      </c>
      <c r="R115" s="353">
        <v>3.8966666666666683</v>
      </c>
      <c r="S115" s="353">
        <v>3.7666666666666675</v>
      </c>
      <c r="T115" s="353">
        <v>4.3800000000000008</v>
      </c>
      <c r="U115" s="353">
        <v>5.7233333333333327</v>
      </c>
      <c r="V115" s="353">
        <v>6.89</v>
      </c>
      <c r="W115" s="353">
        <v>7.8599999999999985</v>
      </c>
      <c r="X115" s="353">
        <v>8.4433333333333316</v>
      </c>
      <c r="Y115" s="353">
        <v>9.086666666666666</v>
      </c>
      <c r="Z115" s="353">
        <v>9.336666666666666</v>
      </c>
      <c r="AA115" s="353">
        <v>9.2199999999999989</v>
      </c>
      <c r="AB115" s="353">
        <v>8.6366666666666649</v>
      </c>
      <c r="AC115" s="353">
        <v>7.4066666666666654</v>
      </c>
      <c r="AD115" s="353">
        <v>6.9299999999999988</v>
      </c>
      <c r="AE115" s="353">
        <v>6.1466666666666647</v>
      </c>
      <c r="AF115" s="353">
        <v>5.9299999999999979</v>
      </c>
      <c r="AG115" s="353">
        <v>5.6233333333333322</v>
      </c>
      <c r="AH115" s="353">
        <v>5.1400000000000006</v>
      </c>
      <c r="AI115" s="353">
        <v>4.9500000000000011</v>
      </c>
      <c r="AJ115" s="353">
        <v>4.8066666666666675</v>
      </c>
      <c r="AK115" s="354">
        <v>4.8133333333333335</v>
      </c>
      <c r="AL115" s="352">
        <v>0</v>
      </c>
      <c r="AM115" s="353">
        <v>0</v>
      </c>
      <c r="AN115" s="353">
        <v>0</v>
      </c>
      <c r="AO115" s="353">
        <v>0</v>
      </c>
      <c r="AP115" s="353">
        <v>0</v>
      </c>
      <c r="AQ115" s="353">
        <v>0</v>
      </c>
      <c r="AR115" s="353">
        <v>1.0333333333333334</v>
      </c>
      <c r="AS115" s="353">
        <v>43.533333333333331</v>
      </c>
      <c r="AT115" s="353">
        <v>125.8</v>
      </c>
      <c r="AU115" s="353">
        <v>207.1</v>
      </c>
      <c r="AV115" s="353">
        <v>259.76666666666665</v>
      </c>
      <c r="AW115" s="353">
        <v>283.03333333333336</v>
      </c>
      <c r="AX115" s="353">
        <v>272.3</v>
      </c>
      <c r="AY115" s="353">
        <v>226.03333333333333</v>
      </c>
      <c r="AZ115" s="353">
        <v>156.36666666666667</v>
      </c>
      <c r="BA115" s="353">
        <v>73.5</v>
      </c>
      <c r="BB115" s="353">
        <v>5.7666666666666666</v>
      </c>
      <c r="BC115" s="353">
        <v>0</v>
      </c>
      <c r="BD115" s="353">
        <v>0</v>
      </c>
      <c r="BE115" s="353">
        <v>0</v>
      </c>
      <c r="BF115" s="353">
        <v>0</v>
      </c>
      <c r="BG115" s="353">
        <v>0</v>
      </c>
      <c r="BH115" s="353">
        <v>0</v>
      </c>
      <c r="BI115" s="354">
        <v>0</v>
      </c>
      <c r="BJ115" s="429"/>
    </row>
    <row r="116" spans="1:62" ht="15" x14ac:dyDescent="0.25">
      <c r="A116" s="373">
        <v>2006</v>
      </c>
      <c r="B116" s="374">
        <v>12</v>
      </c>
      <c r="C116" s="355">
        <v>1.1314093959731579</v>
      </c>
      <c r="D116" s="357">
        <v>4.3275167785234903</v>
      </c>
      <c r="E116" s="356">
        <v>113.30006614483898</v>
      </c>
      <c r="F116" s="356">
        <v>75.695219887592899</v>
      </c>
      <c r="G116" s="356">
        <v>32.493390737740896</v>
      </c>
      <c r="H116" s="356">
        <v>16.477413436673615</v>
      </c>
      <c r="I116" s="356">
        <v>16.244654794503571</v>
      </c>
      <c r="J116" s="356">
        <v>18.207941968033808</v>
      </c>
      <c r="K116" s="356">
        <v>48.205790009148515</v>
      </c>
      <c r="L116" s="356">
        <v>96.329222825464882</v>
      </c>
      <c r="M116" s="357">
        <v>59.069798657718124</v>
      </c>
      <c r="N116" s="355">
        <v>-0.109677419354838</v>
      </c>
      <c r="O116" s="356">
        <v>-0.26774193548387037</v>
      </c>
      <c r="P116" s="356">
        <v>-0.57741935483870843</v>
      </c>
      <c r="Q116" s="356">
        <v>-0.85161290322580563</v>
      </c>
      <c r="R116" s="356">
        <v>-0.85806451612903201</v>
      </c>
      <c r="S116" s="356">
        <v>-0.77741935483870961</v>
      </c>
      <c r="T116" s="356">
        <v>-0.55161290322580614</v>
      </c>
      <c r="U116" s="356">
        <v>9.3548387096774613E-2</v>
      </c>
      <c r="V116" s="356">
        <v>1.1129032258064517</v>
      </c>
      <c r="W116" s="356">
        <v>1.8225806451612907</v>
      </c>
      <c r="X116" s="356">
        <v>2.4806451612903229</v>
      </c>
      <c r="Y116" s="356">
        <v>2.9548387096774196</v>
      </c>
      <c r="Z116" s="356">
        <v>3.1064516129032262</v>
      </c>
      <c r="AA116" s="356">
        <v>3.2967741935483876</v>
      </c>
      <c r="AB116" s="356">
        <v>2.8000000000000003</v>
      </c>
      <c r="AC116" s="356">
        <v>2.3548387096774199</v>
      </c>
      <c r="AD116" s="356">
        <v>2.1516129032258067</v>
      </c>
      <c r="AE116" s="356">
        <v>2.1645161290322585</v>
      </c>
      <c r="AF116" s="356">
        <v>1.8290322580645166</v>
      </c>
      <c r="AG116" s="356">
        <v>1.5483870967741939</v>
      </c>
      <c r="AH116" s="356">
        <v>1.306451612903226</v>
      </c>
      <c r="AI116" s="356">
        <v>1.0741935483870966</v>
      </c>
      <c r="AJ116" s="356">
        <v>0.74838709677419391</v>
      </c>
      <c r="AK116" s="357">
        <v>0.3281250000000005</v>
      </c>
      <c r="AL116" s="355">
        <v>0</v>
      </c>
      <c r="AM116" s="356">
        <v>0</v>
      </c>
      <c r="AN116" s="356">
        <v>0</v>
      </c>
      <c r="AO116" s="356">
        <v>0</v>
      </c>
      <c r="AP116" s="356">
        <v>0</v>
      </c>
      <c r="AQ116" s="356">
        <v>0</v>
      </c>
      <c r="AR116" s="356">
        <v>0</v>
      </c>
      <c r="AS116" s="356">
        <v>11.806451612903226</v>
      </c>
      <c r="AT116" s="356">
        <v>82.903225806451616</v>
      </c>
      <c r="AU116" s="356">
        <v>167.64516129032259</v>
      </c>
      <c r="AV116" s="356">
        <v>229.64516129032259</v>
      </c>
      <c r="AW116" s="356">
        <v>262.41935483870969</v>
      </c>
      <c r="AX116" s="356">
        <v>250.74193548387098</v>
      </c>
      <c r="AY116" s="356">
        <v>210.03225806451613</v>
      </c>
      <c r="AZ116" s="356">
        <v>144.16129032258064</v>
      </c>
      <c r="BA116" s="356">
        <v>60.225806451612904</v>
      </c>
      <c r="BB116" s="356">
        <v>0</v>
      </c>
      <c r="BC116" s="356">
        <v>0</v>
      </c>
      <c r="BD116" s="356">
        <v>0</v>
      </c>
      <c r="BE116" s="356">
        <v>0</v>
      </c>
      <c r="BF116" s="356">
        <v>0</v>
      </c>
      <c r="BG116" s="356">
        <v>0</v>
      </c>
      <c r="BH116" s="356">
        <v>0</v>
      </c>
      <c r="BI116" s="357">
        <v>0</v>
      </c>
      <c r="BJ116" s="429"/>
    </row>
    <row r="117" spans="1:62" ht="15" x14ac:dyDescent="0.25">
      <c r="A117" s="358">
        <v>2007</v>
      </c>
      <c r="B117" s="359">
        <v>1</v>
      </c>
      <c r="C117" s="360">
        <v>-2.0746971736204491</v>
      </c>
      <c r="D117" s="362">
        <v>4.8115746971736204</v>
      </c>
      <c r="E117" s="361">
        <v>114.37799966957732</v>
      </c>
      <c r="F117" s="361">
        <v>78.811203205064658</v>
      </c>
      <c r="G117" s="361">
        <v>37.612857779181709</v>
      </c>
      <c r="H117" s="361">
        <v>21.066069762723004</v>
      </c>
      <c r="I117" s="361">
        <v>20.725204218162606</v>
      </c>
      <c r="J117" s="361">
        <v>23.731416669025631</v>
      </c>
      <c r="K117" s="361">
        <v>53.375145859508251</v>
      </c>
      <c r="L117" s="361">
        <v>98.600868417284403</v>
      </c>
      <c r="M117" s="362">
        <v>67.706594885598918</v>
      </c>
      <c r="N117" s="360">
        <v>-2.8806451612903223</v>
      </c>
      <c r="O117" s="361">
        <v>-3.1225806451612907</v>
      </c>
      <c r="P117" s="361">
        <v>-3.2580645161290325</v>
      </c>
      <c r="Q117" s="361">
        <v>-3.4967741935483869</v>
      </c>
      <c r="R117" s="361">
        <v>-3.6225806451612903</v>
      </c>
      <c r="S117" s="361">
        <v>-3.7322580645161287</v>
      </c>
      <c r="T117" s="361">
        <v>-3.7548387096774185</v>
      </c>
      <c r="U117" s="361">
        <v>-2.9451612903225799</v>
      </c>
      <c r="V117" s="361">
        <v>-2.274193548387097</v>
      </c>
      <c r="W117" s="361">
        <v>-1.4870967741935477</v>
      </c>
      <c r="X117" s="361">
        <v>-0.90322580645161199</v>
      </c>
      <c r="Y117" s="361">
        <v>-0.41290322580645106</v>
      </c>
      <c r="Z117" s="361">
        <v>-0.23225806451612838</v>
      </c>
      <c r="AA117" s="361">
        <v>-0.15483870967741889</v>
      </c>
      <c r="AB117" s="361">
        <v>-0.35161290322580624</v>
      </c>
      <c r="AC117" s="361">
        <v>-0.86451612903225772</v>
      </c>
      <c r="AD117" s="361">
        <v>-1.3516129032258062</v>
      </c>
      <c r="AE117" s="361">
        <v>-1.6161290322580644</v>
      </c>
      <c r="AF117" s="361">
        <v>-1.587096774193548</v>
      </c>
      <c r="AG117" s="361">
        <v>-1.7580645161290323</v>
      </c>
      <c r="AH117" s="361">
        <v>-1.9935483870967741</v>
      </c>
      <c r="AI117" s="361">
        <v>-2.4516129032258065</v>
      </c>
      <c r="AJ117" s="361">
        <v>-2.6774193548387095</v>
      </c>
      <c r="AK117" s="362">
        <v>-2.89</v>
      </c>
      <c r="AL117" s="360">
        <v>0</v>
      </c>
      <c r="AM117" s="361">
        <v>0</v>
      </c>
      <c r="AN117" s="361">
        <v>0</v>
      </c>
      <c r="AO117" s="361">
        <v>0</v>
      </c>
      <c r="AP117" s="361">
        <v>0</v>
      </c>
      <c r="AQ117" s="361">
        <v>0</v>
      </c>
      <c r="AR117" s="361">
        <v>0</v>
      </c>
      <c r="AS117" s="361">
        <v>9.8387096774193541</v>
      </c>
      <c r="AT117" s="361">
        <v>79.870967741935488</v>
      </c>
      <c r="AU117" s="361">
        <v>170.32258064516128</v>
      </c>
      <c r="AV117" s="361">
        <v>244.64516129032259</v>
      </c>
      <c r="AW117" s="361">
        <v>289.03225806451616</v>
      </c>
      <c r="AX117" s="361">
        <v>287.25806451612902</v>
      </c>
      <c r="AY117" s="361">
        <v>249.67741935483872</v>
      </c>
      <c r="AZ117" s="361">
        <v>177.70967741935485</v>
      </c>
      <c r="BA117" s="361">
        <v>95.387096774193552</v>
      </c>
      <c r="BB117" s="361">
        <v>19.032258064516128</v>
      </c>
      <c r="BC117" s="361">
        <v>0</v>
      </c>
      <c r="BD117" s="361">
        <v>0</v>
      </c>
      <c r="BE117" s="361">
        <v>0</v>
      </c>
      <c r="BF117" s="361">
        <v>0</v>
      </c>
      <c r="BG117" s="361">
        <v>0</v>
      </c>
      <c r="BH117" s="361">
        <v>0</v>
      </c>
      <c r="BI117" s="362">
        <v>0</v>
      </c>
      <c r="BJ117" s="429"/>
    </row>
    <row r="118" spans="1:62" ht="15" x14ac:dyDescent="0.25">
      <c r="A118" s="363">
        <v>2007</v>
      </c>
      <c r="B118" s="364">
        <v>2</v>
      </c>
      <c r="C118" s="365">
        <v>-7.7232142857143247</v>
      </c>
      <c r="D118" s="367">
        <v>4.9806547619047619</v>
      </c>
      <c r="E118" s="366">
        <v>158.44244535125821</v>
      </c>
      <c r="F118" s="366">
        <v>109.29854482548937</v>
      </c>
      <c r="G118" s="366">
        <v>57.976148838806132</v>
      </c>
      <c r="H118" s="366">
        <v>31.227620604159217</v>
      </c>
      <c r="I118" s="366">
        <v>29.071181531803415</v>
      </c>
      <c r="J118" s="366">
        <v>38.213142059489854</v>
      </c>
      <c r="K118" s="366">
        <v>87.153213899651831</v>
      </c>
      <c r="L118" s="366">
        <v>143.6593010862203</v>
      </c>
      <c r="M118" s="367">
        <v>110.80208333333333</v>
      </c>
      <c r="N118" s="365">
        <v>-8.9964285714285754</v>
      </c>
      <c r="O118" s="366">
        <v>-9.2678571428571477</v>
      </c>
      <c r="P118" s="366">
        <v>-9.5214285714285758</v>
      </c>
      <c r="Q118" s="366">
        <v>-9.5464285714285761</v>
      </c>
      <c r="R118" s="366">
        <v>-9.675000000000006</v>
      </c>
      <c r="S118" s="366">
        <v>-9.6928571428571466</v>
      </c>
      <c r="T118" s="366">
        <v>-9.389285714285716</v>
      </c>
      <c r="U118" s="366">
        <v>-8.6107142857142893</v>
      </c>
      <c r="V118" s="366">
        <v>-7.6000000000000014</v>
      </c>
      <c r="W118" s="366">
        <v>-6.7285714285714304</v>
      </c>
      <c r="X118" s="366">
        <v>-6.0785714285714301</v>
      </c>
      <c r="Y118" s="366">
        <v>-5.6178571428571429</v>
      </c>
      <c r="Z118" s="366">
        <v>-5.4035714285714302</v>
      </c>
      <c r="AA118" s="366">
        <v>-5.3928571428571459</v>
      </c>
      <c r="AB118" s="366">
        <v>-5.5392857142857173</v>
      </c>
      <c r="AC118" s="366">
        <v>-6.150000000000003</v>
      </c>
      <c r="AD118" s="366">
        <v>-6.7785714285714311</v>
      </c>
      <c r="AE118" s="366">
        <v>-7.1571428571428592</v>
      </c>
      <c r="AF118" s="366">
        <v>-7.5071428571428598</v>
      </c>
      <c r="AG118" s="366">
        <v>-7.5714285714285721</v>
      </c>
      <c r="AH118" s="366">
        <v>-7.8285714285714301</v>
      </c>
      <c r="AI118" s="366">
        <v>-8.0678571428571448</v>
      </c>
      <c r="AJ118" s="366">
        <v>-8.4214285714285744</v>
      </c>
      <c r="AK118" s="367">
        <v>-8.8142857142857185</v>
      </c>
      <c r="AL118" s="365">
        <v>0</v>
      </c>
      <c r="AM118" s="366">
        <v>0</v>
      </c>
      <c r="AN118" s="366">
        <v>0</v>
      </c>
      <c r="AO118" s="366">
        <v>0</v>
      </c>
      <c r="AP118" s="366">
        <v>0</v>
      </c>
      <c r="AQ118" s="366">
        <v>0</v>
      </c>
      <c r="AR118" s="366">
        <v>0.17857142857142858</v>
      </c>
      <c r="AS118" s="366">
        <v>41.714285714285715</v>
      </c>
      <c r="AT118" s="366">
        <v>150.64285714285714</v>
      </c>
      <c r="AU118" s="366">
        <v>267.67857142857144</v>
      </c>
      <c r="AV118" s="366">
        <v>360.71428571428572</v>
      </c>
      <c r="AW118" s="366">
        <v>419.82142857142856</v>
      </c>
      <c r="AX118" s="366">
        <v>437.60714285714283</v>
      </c>
      <c r="AY118" s="366">
        <v>393.82142857142856</v>
      </c>
      <c r="AZ118" s="366">
        <v>311.07142857142856</v>
      </c>
      <c r="BA118" s="366">
        <v>198.07142857142858</v>
      </c>
      <c r="BB118" s="366">
        <v>75.607142857142861</v>
      </c>
      <c r="BC118" s="366">
        <v>2.3214285714285716</v>
      </c>
      <c r="BD118" s="366">
        <v>0</v>
      </c>
      <c r="BE118" s="366">
        <v>0</v>
      </c>
      <c r="BF118" s="366">
        <v>0</v>
      </c>
      <c r="BG118" s="366">
        <v>0</v>
      </c>
      <c r="BH118" s="366">
        <v>0</v>
      </c>
      <c r="BI118" s="367">
        <v>0</v>
      </c>
      <c r="BJ118" s="429"/>
    </row>
    <row r="119" spans="1:62" ht="15" x14ac:dyDescent="0.25">
      <c r="A119" s="363">
        <v>2007</v>
      </c>
      <c r="B119" s="364">
        <v>3</v>
      </c>
      <c r="C119" s="365">
        <v>5.9458333333333169</v>
      </c>
      <c r="D119" s="367">
        <v>4.623655913978495</v>
      </c>
      <c r="E119" s="366">
        <v>146.24532441181242</v>
      </c>
      <c r="F119" s="366">
        <v>112.97836540349734</v>
      </c>
      <c r="G119" s="366">
        <v>74.642140853570766</v>
      </c>
      <c r="H119" s="366">
        <v>45.463726839209222</v>
      </c>
      <c r="I119" s="366">
        <v>38.88088103665369</v>
      </c>
      <c r="J119" s="366">
        <v>58.798686390003368</v>
      </c>
      <c r="K119" s="366">
        <v>105.88101902306562</v>
      </c>
      <c r="L119" s="366">
        <v>143.71289773659814</v>
      </c>
      <c r="M119" s="367">
        <v>145.19354838709677</v>
      </c>
      <c r="N119" s="365">
        <v>3.6612903225806455</v>
      </c>
      <c r="O119" s="366">
        <v>3.4096774193548387</v>
      </c>
      <c r="P119" s="366">
        <v>3.2709677419354843</v>
      </c>
      <c r="Q119" s="366">
        <v>3.1548387096774193</v>
      </c>
      <c r="R119" s="366">
        <v>3.1612903225806455</v>
      </c>
      <c r="S119" s="366">
        <v>3.4129032258064513</v>
      </c>
      <c r="T119" s="366">
        <v>4.5354838709677416</v>
      </c>
      <c r="U119" s="366">
        <v>5.9387096774193546</v>
      </c>
      <c r="V119" s="366">
        <v>6.9580645161290313</v>
      </c>
      <c r="W119" s="366">
        <v>7.8967741935483859</v>
      </c>
      <c r="X119" s="366">
        <v>8.5225806451612893</v>
      </c>
      <c r="Y119" s="366">
        <v>8.9354838709677402</v>
      </c>
      <c r="Z119" s="366">
        <v>9.1193548387096772</v>
      </c>
      <c r="AA119" s="366">
        <v>9.187096774193547</v>
      </c>
      <c r="AB119" s="366">
        <v>8.7354838709677427</v>
      </c>
      <c r="AC119" s="366">
        <v>8.17741935483871</v>
      </c>
      <c r="AD119" s="366">
        <v>7.1774193548387082</v>
      </c>
      <c r="AE119" s="366">
        <v>6.3064516129032233</v>
      </c>
      <c r="AF119" s="366">
        <v>5.9548387096774169</v>
      </c>
      <c r="AG119" s="366">
        <v>5.7032258064516119</v>
      </c>
      <c r="AH119" s="366">
        <v>5.4419354838709673</v>
      </c>
      <c r="AI119" s="366">
        <v>5.0999999999999996</v>
      </c>
      <c r="AJ119" s="366">
        <v>4.8645161290322587</v>
      </c>
      <c r="AK119" s="367">
        <v>4.0741935483870968</v>
      </c>
      <c r="AL119" s="365">
        <v>0</v>
      </c>
      <c r="AM119" s="366">
        <v>0</v>
      </c>
      <c r="AN119" s="366">
        <v>0</v>
      </c>
      <c r="AO119" s="366">
        <v>0</v>
      </c>
      <c r="AP119" s="366">
        <v>0</v>
      </c>
      <c r="AQ119" s="366">
        <v>0</v>
      </c>
      <c r="AR119" s="366">
        <v>20.64516129032258</v>
      </c>
      <c r="AS119" s="366">
        <v>112.38709677419355</v>
      </c>
      <c r="AT119" s="366">
        <v>231.35483870967741</v>
      </c>
      <c r="AU119" s="366">
        <v>356.32258064516128</v>
      </c>
      <c r="AV119" s="366">
        <v>454.93548387096774</v>
      </c>
      <c r="AW119" s="366">
        <v>524.61290322580646</v>
      </c>
      <c r="AX119" s="366">
        <v>522.45161290322585</v>
      </c>
      <c r="AY119" s="366">
        <v>460.48387096774195</v>
      </c>
      <c r="AZ119" s="366">
        <v>364.06451612903226</v>
      </c>
      <c r="BA119" s="366">
        <v>259.58064516129031</v>
      </c>
      <c r="BB119" s="366">
        <v>141.7741935483871</v>
      </c>
      <c r="BC119" s="366">
        <v>36.032258064516128</v>
      </c>
      <c r="BD119" s="366">
        <v>0</v>
      </c>
      <c r="BE119" s="366">
        <v>0</v>
      </c>
      <c r="BF119" s="366">
        <v>0</v>
      </c>
      <c r="BG119" s="366">
        <v>0</v>
      </c>
      <c r="BH119" s="366">
        <v>0</v>
      </c>
      <c r="BI119" s="367">
        <v>0</v>
      </c>
      <c r="BJ119" s="429"/>
    </row>
    <row r="120" spans="1:62" ht="15" x14ac:dyDescent="0.25">
      <c r="A120" s="363">
        <v>2007</v>
      </c>
      <c r="B120" s="364">
        <v>4</v>
      </c>
      <c r="C120" s="365">
        <v>8.3209722222222098</v>
      </c>
      <c r="D120" s="367">
        <v>4.8305555555555557</v>
      </c>
      <c r="E120" s="366">
        <v>138.23840966303283</v>
      </c>
      <c r="F120" s="366">
        <v>129.51372933786763</v>
      </c>
      <c r="G120" s="366">
        <v>105.60796432550417</v>
      </c>
      <c r="H120" s="366">
        <v>70.441776902192331</v>
      </c>
      <c r="I120" s="366">
        <v>54.271653014200751</v>
      </c>
      <c r="J120" s="366">
        <v>87.130772701052365</v>
      </c>
      <c r="K120" s="366">
        <v>129.67006238357894</v>
      </c>
      <c r="L120" s="366">
        <v>146.5217715695529</v>
      </c>
      <c r="M120" s="367">
        <v>195.22777777777779</v>
      </c>
      <c r="N120" s="365">
        <v>5.3366666666666651</v>
      </c>
      <c r="O120" s="366">
        <v>4.79</v>
      </c>
      <c r="P120" s="366">
        <v>4.51</v>
      </c>
      <c r="Q120" s="366">
        <v>4.3566666666666665</v>
      </c>
      <c r="R120" s="366">
        <v>4.62</v>
      </c>
      <c r="S120" s="366">
        <v>6.0866666666666669</v>
      </c>
      <c r="T120" s="366">
        <v>7.546666666666666</v>
      </c>
      <c r="U120" s="366">
        <v>9.0066666666666659</v>
      </c>
      <c r="V120" s="366">
        <v>10.173333333333334</v>
      </c>
      <c r="W120" s="366">
        <v>11.113333333333335</v>
      </c>
      <c r="X120" s="366">
        <v>11.696666666666664</v>
      </c>
      <c r="Y120" s="366">
        <v>11.723333333333331</v>
      </c>
      <c r="Z120" s="366">
        <v>12.063333333333333</v>
      </c>
      <c r="AA120" s="366">
        <v>12.016666666666664</v>
      </c>
      <c r="AB120" s="366">
        <v>11.633333333333333</v>
      </c>
      <c r="AC120" s="366">
        <v>11.199999999999998</v>
      </c>
      <c r="AD120" s="366">
        <v>10.333333333333332</v>
      </c>
      <c r="AE120" s="366">
        <v>9.2100000000000009</v>
      </c>
      <c r="AF120" s="366">
        <v>8.4633333333333329</v>
      </c>
      <c r="AG120" s="366">
        <v>7.7433333333333314</v>
      </c>
      <c r="AH120" s="366">
        <v>7.3066666666666675</v>
      </c>
      <c r="AI120" s="366">
        <v>6.626666666666666</v>
      </c>
      <c r="AJ120" s="366">
        <v>6.1866666666666648</v>
      </c>
      <c r="AK120" s="367">
        <v>5.9599999999999982</v>
      </c>
      <c r="AL120" s="365">
        <v>0</v>
      </c>
      <c r="AM120" s="366">
        <v>0</v>
      </c>
      <c r="AN120" s="366">
        <v>0</v>
      </c>
      <c r="AO120" s="366">
        <v>0</v>
      </c>
      <c r="AP120" s="366">
        <v>0</v>
      </c>
      <c r="AQ120" s="366">
        <v>14</v>
      </c>
      <c r="AR120" s="366">
        <v>112.1</v>
      </c>
      <c r="AS120" s="366">
        <v>241.93333333333334</v>
      </c>
      <c r="AT120" s="366">
        <v>373.43333333333334</v>
      </c>
      <c r="AU120" s="366">
        <v>487.43333333333334</v>
      </c>
      <c r="AV120" s="366">
        <v>591.23333333333335</v>
      </c>
      <c r="AW120" s="366">
        <v>637.6</v>
      </c>
      <c r="AX120" s="366">
        <v>622.5</v>
      </c>
      <c r="AY120" s="366">
        <v>527.29999999999995</v>
      </c>
      <c r="AZ120" s="366">
        <v>434.26666666666665</v>
      </c>
      <c r="BA120" s="366">
        <v>331.26666666666665</v>
      </c>
      <c r="BB120" s="366">
        <v>212.26666666666668</v>
      </c>
      <c r="BC120" s="366">
        <v>92.066666666666663</v>
      </c>
      <c r="BD120" s="366">
        <v>8.0666666666666664</v>
      </c>
      <c r="BE120" s="366">
        <v>0</v>
      </c>
      <c r="BF120" s="366">
        <v>0</v>
      </c>
      <c r="BG120" s="366">
        <v>0</v>
      </c>
      <c r="BH120" s="366">
        <v>0</v>
      </c>
      <c r="BI120" s="367">
        <v>0</v>
      </c>
      <c r="BJ120" s="429"/>
    </row>
    <row r="121" spans="1:62" ht="15" x14ac:dyDescent="0.25">
      <c r="A121" s="363">
        <v>2007</v>
      </c>
      <c r="B121" s="364">
        <v>5</v>
      </c>
      <c r="C121" s="365">
        <v>17.82661290322589</v>
      </c>
      <c r="D121" s="367">
        <v>4.260752688172043</v>
      </c>
      <c r="E121" s="366">
        <v>140.17776175922998</v>
      </c>
      <c r="F121" s="366">
        <v>144.0820522556555</v>
      </c>
      <c r="G121" s="366">
        <v>134.13275048015166</v>
      </c>
      <c r="H121" s="366">
        <v>98.970651096118459</v>
      </c>
      <c r="I121" s="366">
        <v>78.568161601737316</v>
      </c>
      <c r="J121" s="366">
        <v>135.16922788335634</v>
      </c>
      <c r="K121" s="366">
        <v>182.34188069328678</v>
      </c>
      <c r="L121" s="366">
        <v>175.80824713872482</v>
      </c>
      <c r="M121" s="367">
        <v>274.48118279569894</v>
      </c>
      <c r="N121" s="365">
        <v>13.774193548387093</v>
      </c>
      <c r="O121" s="366">
        <v>13.35806451612903</v>
      </c>
      <c r="P121" s="366">
        <v>13.125806451612901</v>
      </c>
      <c r="Q121" s="366">
        <v>13.119354838709675</v>
      </c>
      <c r="R121" s="366">
        <v>14.083870967741934</v>
      </c>
      <c r="S121" s="366">
        <v>15.506451612903223</v>
      </c>
      <c r="T121" s="366">
        <v>17.041935483870965</v>
      </c>
      <c r="U121" s="366">
        <v>18.506451612903223</v>
      </c>
      <c r="V121" s="366">
        <v>19.661290322580644</v>
      </c>
      <c r="W121" s="366">
        <v>20.641935483870963</v>
      </c>
      <c r="X121" s="366">
        <v>21.745161290322585</v>
      </c>
      <c r="Y121" s="366">
        <v>22.448387096774198</v>
      </c>
      <c r="Z121" s="366">
        <v>22.741935483870964</v>
      </c>
      <c r="AA121" s="366">
        <v>22.558064516129029</v>
      </c>
      <c r="AB121" s="366">
        <v>22.125806451612906</v>
      </c>
      <c r="AC121" s="366">
        <v>21.303225806451614</v>
      </c>
      <c r="AD121" s="366">
        <v>20.358064516129037</v>
      </c>
      <c r="AE121" s="366">
        <v>19.096774193548388</v>
      </c>
      <c r="AF121" s="366">
        <v>17.970967741935482</v>
      </c>
      <c r="AG121" s="366">
        <v>17.012903225806447</v>
      </c>
      <c r="AH121" s="366">
        <v>16.351612903225803</v>
      </c>
      <c r="AI121" s="366">
        <v>15.783870967741931</v>
      </c>
      <c r="AJ121" s="366">
        <v>15.293548387096774</v>
      </c>
      <c r="AK121" s="367">
        <v>14.229032258064514</v>
      </c>
      <c r="AL121" s="365">
        <v>0</v>
      </c>
      <c r="AM121" s="366">
        <v>0</v>
      </c>
      <c r="AN121" s="366">
        <v>0</v>
      </c>
      <c r="AO121" s="366">
        <v>0</v>
      </c>
      <c r="AP121" s="366">
        <v>2.3870967741935485</v>
      </c>
      <c r="AQ121" s="366">
        <v>66.548387096774192</v>
      </c>
      <c r="AR121" s="366">
        <v>198.2258064516129</v>
      </c>
      <c r="AS121" s="366">
        <v>350.54838709677421</v>
      </c>
      <c r="AT121" s="366">
        <v>478.83870967741933</v>
      </c>
      <c r="AU121" s="366">
        <v>640.22580645161293</v>
      </c>
      <c r="AV121" s="366">
        <v>773.58064516129036</v>
      </c>
      <c r="AW121" s="366">
        <v>828.54838709677415</v>
      </c>
      <c r="AX121" s="366">
        <v>830.09677419354841</v>
      </c>
      <c r="AY121" s="366">
        <v>747.67741935483866</v>
      </c>
      <c r="AZ121" s="366">
        <v>609.45161290322585</v>
      </c>
      <c r="BA121" s="366">
        <v>486.45161290322579</v>
      </c>
      <c r="BB121" s="366">
        <v>341.29032258064518</v>
      </c>
      <c r="BC121" s="366">
        <v>184.25806451612902</v>
      </c>
      <c r="BD121" s="366">
        <v>49.41935483870968</v>
      </c>
      <c r="BE121" s="366">
        <v>0</v>
      </c>
      <c r="BF121" s="366">
        <v>0</v>
      </c>
      <c r="BG121" s="366">
        <v>0</v>
      </c>
      <c r="BH121" s="366">
        <v>0</v>
      </c>
      <c r="BI121" s="367">
        <v>0</v>
      </c>
      <c r="BJ121" s="429"/>
    </row>
    <row r="122" spans="1:62" ht="15" x14ac:dyDescent="0.25">
      <c r="A122" s="363">
        <v>2007</v>
      </c>
      <c r="B122" s="364">
        <v>6</v>
      </c>
      <c r="C122" s="365">
        <v>22.12055555555569</v>
      </c>
      <c r="D122" s="367">
        <v>3.6041666666666665</v>
      </c>
      <c r="E122" s="366">
        <v>127.00030371037997</v>
      </c>
      <c r="F122" s="366">
        <v>142.6061426146268</v>
      </c>
      <c r="G122" s="366">
        <v>143.86563274818926</v>
      </c>
      <c r="H122" s="366">
        <v>111.16740946339881</v>
      </c>
      <c r="I122" s="366">
        <v>88.078182936854546</v>
      </c>
      <c r="J122" s="366">
        <v>146.24656826376551</v>
      </c>
      <c r="K122" s="366">
        <v>186.94146992741145</v>
      </c>
      <c r="L122" s="366">
        <v>168.36122524434307</v>
      </c>
      <c r="M122" s="367">
        <v>294.40694444444443</v>
      </c>
      <c r="N122" s="365">
        <v>18.539999999999996</v>
      </c>
      <c r="O122" s="366">
        <v>18.199999999999996</v>
      </c>
      <c r="P122" s="366">
        <v>18.113333333333333</v>
      </c>
      <c r="Q122" s="366">
        <v>18.139999999999997</v>
      </c>
      <c r="R122" s="366">
        <v>19.526666666666667</v>
      </c>
      <c r="S122" s="366">
        <v>21.09</v>
      </c>
      <c r="T122" s="366">
        <v>22.35</v>
      </c>
      <c r="U122" s="366">
        <v>23.586666666666677</v>
      </c>
      <c r="V122" s="366">
        <v>24.42666666666668</v>
      </c>
      <c r="W122" s="366">
        <v>25.336666666666677</v>
      </c>
      <c r="X122" s="366">
        <v>25.593333333333341</v>
      </c>
      <c r="Y122" s="366">
        <v>25.943333333333335</v>
      </c>
      <c r="Z122" s="366">
        <v>26.046666666666674</v>
      </c>
      <c r="AA122" s="366">
        <v>25.20333333333334</v>
      </c>
      <c r="AB122" s="366">
        <v>25.096666666666671</v>
      </c>
      <c r="AC122" s="366">
        <v>24.800000000000008</v>
      </c>
      <c r="AD122" s="366">
        <v>24.116666666666671</v>
      </c>
      <c r="AE122" s="366">
        <v>22.97333333333334</v>
      </c>
      <c r="AF122" s="366">
        <v>22.136666666666674</v>
      </c>
      <c r="AG122" s="366">
        <v>21.1</v>
      </c>
      <c r="AH122" s="366">
        <v>20.49666666666667</v>
      </c>
      <c r="AI122" s="366">
        <v>19.920000000000005</v>
      </c>
      <c r="AJ122" s="366">
        <v>19.223333333333336</v>
      </c>
      <c r="AK122" s="367">
        <v>18.93333333333333</v>
      </c>
      <c r="AL122" s="365">
        <v>0</v>
      </c>
      <c r="AM122" s="366">
        <v>0</v>
      </c>
      <c r="AN122" s="366">
        <v>0</v>
      </c>
      <c r="AO122" s="366">
        <v>0</v>
      </c>
      <c r="AP122" s="366">
        <v>8.8000000000000007</v>
      </c>
      <c r="AQ122" s="366">
        <v>93.233333333333334</v>
      </c>
      <c r="AR122" s="366">
        <v>230.46666666666667</v>
      </c>
      <c r="AS122" s="366">
        <v>380.76666666666665</v>
      </c>
      <c r="AT122" s="366">
        <v>525.76666666666665</v>
      </c>
      <c r="AU122" s="366">
        <v>677.1</v>
      </c>
      <c r="AV122" s="366">
        <v>777.4666666666667</v>
      </c>
      <c r="AW122" s="366">
        <v>830.23333333333335</v>
      </c>
      <c r="AX122" s="366">
        <v>836.7</v>
      </c>
      <c r="AY122" s="366">
        <v>796.56666666666672</v>
      </c>
      <c r="AZ122" s="366">
        <v>683.33333333333337</v>
      </c>
      <c r="BA122" s="366">
        <v>535.76666666666665</v>
      </c>
      <c r="BB122" s="366">
        <v>375.33333333333331</v>
      </c>
      <c r="BC122" s="366">
        <v>224.96666666666667</v>
      </c>
      <c r="BD122" s="366">
        <v>86.833333333333329</v>
      </c>
      <c r="BE122" s="366">
        <v>2.4333333333333331</v>
      </c>
      <c r="BF122" s="366">
        <v>0</v>
      </c>
      <c r="BG122" s="366">
        <v>0</v>
      </c>
      <c r="BH122" s="366">
        <v>0</v>
      </c>
      <c r="BI122" s="367">
        <v>0</v>
      </c>
      <c r="BJ122" s="429"/>
    </row>
    <row r="123" spans="1:62" ht="15" x14ac:dyDescent="0.25">
      <c r="A123" s="363">
        <v>2007</v>
      </c>
      <c r="B123" s="364">
        <v>7</v>
      </c>
      <c r="C123" s="365">
        <v>23.245295698924927</v>
      </c>
      <c r="D123" s="367">
        <v>3.200268817204301</v>
      </c>
      <c r="E123" s="366">
        <v>131.25011885695849</v>
      </c>
      <c r="F123" s="366">
        <v>145.8153557521353</v>
      </c>
      <c r="G123" s="366">
        <v>142.80522834793976</v>
      </c>
      <c r="H123" s="366">
        <v>106.98276802624829</v>
      </c>
      <c r="I123" s="366">
        <v>82.407424084574075</v>
      </c>
      <c r="J123" s="366">
        <v>143.32211146564734</v>
      </c>
      <c r="K123" s="366">
        <v>187.26870482713454</v>
      </c>
      <c r="L123" s="366">
        <v>172.28017139652795</v>
      </c>
      <c r="M123" s="367">
        <v>290.90053763440858</v>
      </c>
      <c r="N123" s="365">
        <v>19.596774193548388</v>
      </c>
      <c r="O123" s="366">
        <v>19.216129032258067</v>
      </c>
      <c r="P123" s="366">
        <v>18.86774193548387</v>
      </c>
      <c r="Q123" s="366">
        <v>18.78709677419355</v>
      </c>
      <c r="R123" s="366">
        <v>19.870967741935484</v>
      </c>
      <c r="S123" s="366">
        <v>21.377419354838715</v>
      </c>
      <c r="T123" s="366">
        <v>22.70645161290323</v>
      </c>
      <c r="U123" s="366">
        <v>24.151612903225814</v>
      </c>
      <c r="V123" s="366">
        <v>25.296774193548391</v>
      </c>
      <c r="W123" s="366">
        <v>26.354838709677431</v>
      </c>
      <c r="X123" s="366">
        <v>27.103225806451626</v>
      </c>
      <c r="Y123" s="366">
        <v>27.254838709677429</v>
      </c>
      <c r="Z123" s="366">
        <v>27.577419354838725</v>
      </c>
      <c r="AA123" s="366">
        <v>27.238709677419362</v>
      </c>
      <c r="AB123" s="366">
        <v>26.683870967741946</v>
      </c>
      <c r="AC123" s="366">
        <v>26.338709677419367</v>
      </c>
      <c r="AD123" s="366">
        <v>25.770967741935486</v>
      </c>
      <c r="AE123" s="366">
        <v>24.667741935483871</v>
      </c>
      <c r="AF123" s="366">
        <v>23.396774193548392</v>
      </c>
      <c r="AG123" s="366">
        <v>22.658064516129031</v>
      </c>
      <c r="AH123" s="366">
        <v>21.664516129032254</v>
      </c>
      <c r="AI123" s="366">
        <v>20.851612903225806</v>
      </c>
      <c r="AJ123" s="366">
        <v>20.448387096774194</v>
      </c>
      <c r="AK123" s="367">
        <v>20.00645161290322</v>
      </c>
      <c r="AL123" s="365">
        <v>0</v>
      </c>
      <c r="AM123" s="366">
        <v>0</v>
      </c>
      <c r="AN123" s="366">
        <v>0</v>
      </c>
      <c r="AO123" s="366">
        <v>0</v>
      </c>
      <c r="AP123" s="366">
        <v>2.774193548387097</v>
      </c>
      <c r="AQ123" s="366">
        <v>76.903225806451616</v>
      </c>
      <c r="AR123" s="366">
        <v>217.32258064516128</v>
      </c>
      <c r="AS123" s="366">
        <v>354.45161290322579</v>
      </c>
      <c r="AT123" s="366">
        <v>510.22580645161293</v>
      </c>
      <c r="AU123" s="366">
        <v>663.25806451612902</v>
      </c>
      <c r="AV123" s="366">
        <v>781.83870967741939</v>
      </c>
      <c r="AW123" s="366">
        <v>857.22580645161293</v>
      </c>
      <c r="AX123" s="366">
        <v>836.09677419354841</v>
      </c>
      <c r="AY123" s="366">
        <v>768.19354838709683</v>
      </c>
      <c r="AZ123" s="366">
        <v>649.48387096774195</v>
      </c>
      <c r="BA123" s="366">
        <v>536.25806451612902</v>
      </c>
      <c r="BB123" s="366">
        <v>395.83870967741933</v>
      </c>
      <c r="BC123" s="366">
        <v>243.19354838709677</v>
      </c>
      <c r="BD123" s="366">
        <v>88.032258064516128</v>
      </c>
      <c r="BE123" s="366">
        <v>0.5161290322580645</v>
      </c>
      <c r="BF123" s="366">
        <v>0</v>
      </c>
      <c r="BG123" s="366">
        <v>0</v>
      </c>
      <c r="BH123" s="366">
        <v>0</v>
      </c>
      <c r="BI123" s="367">
        <v>0</v>
      </c>
      <c r="BJ123" s="429"/>
    </row>
    <row r="124" spans="1:62" ht="15" x14ac:dyDescent="0.25">
      <c r="A124" s="363">
        <v>2007</v>
      </c>
      <c r="B124" s="364">
        <v>8</v>
      </c>
      <c r="C124" s="365">
        <v>23.791666666666863</v>
      </c>
      <c r="D124" s="367">
        <v>2.745967741935484</v>
      </c>
      <c r="E124" s="366">
        <v>137.85909357070821</v>
      </c>
      <c r="F124" s="366">
        <v>133.53190922348151</v>
      </c>
      <c r="G124" s="366">
        <v>114.182363121046</v>
      </c>
      <c r="H124" s="366">
        <v>79.19346646040961</v>
      </c>
      <c r="I124" s="366">
        <v>60.752695401472188</v>
      </c>
      <c r="J124" s="366">
        <v>107.674560748774</v>
      </c>
      <c r="K124" s="366">
        <v>154.41522587725905</v>
      </c>
      <c r="L124" s="366">
        <v>161.72087172252242</v>
      </c>
      <c r="M124" s="367">
        <v>225.66129032258064</v>
      </c>
      <c r="N124" s="365">
        <v>21.296774193548387</v>
      </c>
      <c r="O124" s="366">
        <v>20.809677419354845</v>
      </c>
      <c r="P124" s="366">
        <v>20.541935483870969</v>
      </c>
      <c r="Q124" s="366">
        <v>20.261290322580646</v>
      </c>
      <c r="R124" s="366">
        <v>20.538709677419359</v>
      </c>
      <c r="S124" s="366">
        <v>21.970967741935485</v>
      </c>
      <c r="T124" s="366">
        <v>23.338709677419363</v>
      </c>
      <c r="U124" s="366">
        <v>24.470967741935496</v>
      </c>
      <c r="V124" s="366">
        <v>25.509677419354848</v>
      </c>
      <c r="W124" s="366">
        <v>26.403225806451612</v>
      </c>
      <c r="X124" s="366">
        <v>26.99354838709678</v>
      </c>
      <c r="Y124" s="366">
        <v>27.322580645161299</v>
      </c>
      <c r="Z124" s="366">
        <v>27.435483870967747</v>
      </c>
      <c r="AA124" s="366">
        <v>26.929032258064517</v>
      </c>
      <c r="AB124" s="366">
        <v>26.761290322580649</v>
      </c>
      <c r="AC124" s="366">
        <v>26.300000000000008</v>
      </c>
      <c r="AD124" s="366">
        <v>25.364516129032268</v>
      </c>
      <c r="AE124" s="366">
        <v>24.267741935483876</v>
      </c>
      <c r="AF124" s="366">
        <v>23.500000000000011</v>
      </c>
      <c r="AG124" s="366">
        <v>23.029032258064525</v>
      </c>
      <c r="AH124" s="366">
        <v>22.445161290322595</v>
      </c>
      <c r="AI124" s="366">
        <v>22.296774193548394</v>
      </c>
      <c r="AJ124" s="366">
        <v>21.654838709677424</v>
      </c>
      <c r="AK124" s="367">
        <v>21.558064516129033</v>
      </c>
      <c r="AL124" s="365">
        <v>0</v>
      </c>
      <c r="AM124" s="366">
        <v>0</v>
      </c>
      <c r="AN124" s="366">
        <v>0</v>
      </c>
      <c r="AO124" s="366">
        <v>0</v>
      </c>
      <c r="AP124" s="366">
        <v>0</v>
      </c>
      <c r="AQ124" s="366">
        <v>25.387096774193548</v>
      </c>
      <c r="AR124" s="366">
        <v>140.16129032258064</v>
      </c>
      <c r="AS124" s="366">
        <v>266.74193548387098</v>
      </c>
      <c r="AT124" s="366">
        <v>379.29032258064518</v>
      </c>
      <c r="AU124" s="366">
        <v>515.51612903225805</v>
      </c>
      <c r="AV124" s="366">
        <v>657.61290322580646</v>
      </c>
      <c r="AW124" s="366">
        <v>733.06451612903231</v>
      </c>
      <c r="AX124" s="366">
        <v>724.83870967741939</v>
      </c>
      <c r="AY124" s="366">
        <v>586.45161290322585</v>
      </c>
      <c r="AZ124" s="366">
        <v>486.64516129032256</v>
      </c>
      <c r="BA124" s="366">
        <v>414.74193548387098</v>
      </c>
      <c r="BB124" s="366">
        <v>302.74193548387098</v>
      </c>
      <c r="BC124" s="366">
        <v>153.41935483870967</v>
      </c>
      <c r="BD124" s="366">
        <v>29.258064516129032</v>
      </c>
      <c r="BE124" s="366">
        <v>0</v>
      </c>
      <c r="BF124" s="366">
        <v>0</v>
      </c>
      <c r="BG124" s="366">
        <v>0</v>
      </c>
      <c r="BH124" s="366">
        <v>0</v>
      </c>
      <c r="BI124" s="367">
        <v>0</v>
      </c>
      <c r="BJ124" s="429"/>
    </row>
    <row r="125" spans="1:62" ht="15" x14ac:dyDescent="0.25">
      <c r="A125" s="363">
        <v>2007</v>
      </c>
      <c r="B125" s="364">
        <v>9</v>
      </c>
      <c r="C125" s="365">
        <v>20.180416666666822</v>
      </c>
      <c r="D125" s="367">
        <v>3.6291666666666669</v>
      </c>
      <c r="E125" s="366">
        <v>186.91907383747113</v>
      </c>
      <c r="F125" s="366">
        <v>151.40917816693801</v>
      </c>
      <c r="G125" s="366">
        <v>107.00869149179249</v>
      </c>
      <c r="H125" s="366">
        <v>59.966561086655346</v>
      </c>
      <c r="I125" s="366">
        <v>44.473491238447764</v>
      </c>
      <c r="J125" s="366">
        <v>83.937333884727522</v>
      </c>
      <c r="K125" s="366">
        <v>154.45850115058403</v>
      </c>
      <c r="L125" s="366">
        <v>194.25524954245282</v>
      </c>
      <c r="M125" s="367">
        <v>214.65277777777777</v>
      </c>
      <c r="N125" s="365">
        <v>16.596666666666664</v>
      </c>
      <c r="O125" s="366">
        <v>16.236666666666665</v>
      </c>
      <c r="P125" s="366">
        <v>15.763333333333332</v>
      </c>
      <c r="Q125" s="366">
        <v>15.513333333333328</v>
      </c>
      <c r="R125" s="366">
        <v>15.499999999999998</v>
      </c>
      <c r="S125" s="366">
        <v>16.93333333333333</v>
      </c>
      <c r="T125" s="366">
        <v>18.913333333333338</v>
      </c>
      <c r="U125" s="366">
        <v>20.546666666666674</v>
      </c>
      <c r="V125" s="366">
        <v>22.200000000000003</v>
      </c>
      <c r="W125" s="366">
        <v>23.510000000000005</v>
      </c>
      <c r="X125" s="366">
        <v>24.186666666666678</v>
      </c>
      <c r="Y125" s="366">
        <v>25.166666666666675</v>
      </c>
      <c r="Z125" s="366">
        <v>25.323333333333341</v>
      </c>
      <c r="AA125" s="366">
        <v>25.113333333333344</v>
      </c>
      <c r="AB125" s="366">
        <v>24.720000000000006</v>
      </c>
      <c r="AC125" s="366">
        <v>23.683333333333341</v>
      </c>
      <c r="AD125" s="366">
        <v>22.04333333333334</v>
      </c>
      <c r="AE125" s="366">
        <v>20.863333333333337</v>
      </c>
      <c r="AF125" s="366">
        <v>20.24666666666667</v>
      </c>
      <c r="AG125" s="366">
        <v>19.570000000000004</v>
      </c>
      <c r="AH125" s="366">
        <v>18.883333333333336</v>
      </c>
      <c r="AI125" s="366">
        <v>18.153333333333332</v>
      </c>
      <c r="AJ125" s="366">
        <v>17.516666666666662</v>
      </c>
      <c r="AK125" s="367">
        <v>17.146666666666661</v>
      </c>
      <c r="AL125" s="365">
        <v>0</v>
      </c>
      <c r="AM125" s="366">
        <v>0</v>
      </c>
      <c r="AN125" s="366">
        <v>0</v>
      </c>
      <c r="AO125" s="366">
        <v>0</v>
      </c>
      <c r="AP125" s="366">
        <v>0</v>
      </c>
      <c r="AQ125" s="366">
        <v>3.4</v>
      </c>
      <c r="AR125" s="366">
        <v>90.4</v>
      </c>
      <c r="AS125" s="366">
        <v>247.4</v>
      </c>
      <c r="AT125" s="366">
        <v>409.16666666666669</v>
      </c>
      <c r="AU125" s="366">
        <v>543.20000000000005</v>
      </c>
      <c r="AV125" s="366">
        <v>646.1</v>
      </c>
      <c r="AW125" s="366">
        <v>716.16666666666663</v>
      </c>
      <c r="AX125" s="366">
        <v>713.4</v>
      </c>
      <c r="AY125" s="366">
        <v>637.43333333333328</v>
      </c>
      <c r="AZ125" s="366">
        <v>515.33333333333337</v>
      </c>
      <c r="BA125" s="366">
        <v>368.33333333333331</v>
      </c>
      <c r="BB125" s="366">
        <v>206.13333333333333</v>
      </c>
      <c r="BC125" s="366">
        <v>55.2</v>
      </c>
      <c r="BD125" s="366">
        <v>0</v>
      </c>
      <c r="BE125" s="366">
        <v>0</v>
      </c>
      <c r="BF125" s="366">
        <v>0</v>
      </c>
      <c r="BG125" s="366">
        <v>0</v>
      </c>
      <c r="BH125" s="366">
        <v>0</v>
      </c>
      <c r="BI125" s="367">
        <v>0</v>
      </c>
      <c r="BJ125" s="429"/>
    </row>
    <row r="126" spans="1:62" ht="15" x14ac:dyDescent="0.25">
      <c r="A126" s="363">
        <v>2007</v>
      </c>
      <c r="B126" s="364">
        <v>10</v>
      </c>
      <c r="C126" s="365">
        <v>15.12217741935496</v>
      </c>
      <c r="D126" s="367">
        <v>4.123655913978495</v>
      </c>
      <c r="E126" s="366">
        <v>148.40519610571394</v>
      </c>
      <c r="F126" s="366">
        <v>110.96807999768023</v>
      </c>
      <c r="G126" s="366">
        <v>65.992017543910464</v>
      </c>
      <c r="H126" s="366">
        <v>34.19517280573281</v>
      </c>
      <c r="I126" s="366">
        <v>30.193596335127662</v>
      </c>
      <c r="J126" s="366">
        <v>43.012242782670732</v>
      </c>
      <c r="K126" s="366">
        <v>88.552248604189714</v>
      </c>
      <c r="L126" s="366">
        <v>134.00007899343845</v>
      </c>
      <c r="M126" s="367">
        <v>117.04435483870968</v>
      </c>
      <c r="N126" s="365">
        <v>12.880645161290317</v>
      </c>
      <c r="O126" s="366">
        <v>12.403225806451609</v>
      </c>
      <c r="P126" s="366">
        <v>12.222580645161285</v>
      </c>
      <c r="Q126" s="366">
        <v>11.903225806451609</v>
      </c>
      <c r="R126" s="366">
        <v>11.774193548387091</v>
      </c>
      <c r="S126" s="366">
        <v>12.238709677419351</v>
      </c>
      <c r="T126" s="366">
        <v>13.493548387096771</v>
      </c>
      <c r="U126" s="366">
        <v>14.906451612903224</v>
      </c>
      <c r="V126" s="366">
        <v>16.367741935483867</v>
      </c>
      <c r="W126" s="366">
        <v>17.29677419354838</v>
      </c>
      <c r="X126" s="366">
        <v>18.20967741935484</v>
      </c>
      <c r="Y126" s="366">
        <v>18.845161290322586</v>
      </c>
      <c r="Z126" s="366">
        <v>19.219354838709684</v>
      </c>
      <c r="AA126" s="366">
        <v>19.138709677419364</v>
      </c>
      <c r="AB126" s="366">
        <v>18.583870967741941</v>
      </c>
      <c r="AC126" s="366">
        <v>17.674193548387098</v>
      </c>
      <c r="AD126" s="366">
        <v>16.112903225806448</v>
      </c>
      <c r="AE126" s="366">
        <v>15.638709677419357</v>
      </c>
      <c r="AF126" s="366">
        <v>15.20967741935484</v>
      </c>
      <c r="AG126" s="366">
        <v>14.587096774193549</v>
      </c>
      <c r="AH126" s="366">
        <v>14.196774193548386</v>
      </c>
      <c r="AI126" s="366">
        <v>13.619354838709675</v>
      </c>
      <c r="AJ126" s="366">
        <v>13.248387096774191</v>
      </c>
      <c r="AK126" s="367">
        <v>13.161290322580642</v>
      </c>
      <c r="AL126" s="365">
        <v>0</v>
      </c>
      <c r="AM126" s="366">
        <v>0</v>
      </c>
      <c r="AN126" s="366">
        <v>0</v>
      </c>
      <c r="AO126" s="366">
        <v>0</v>
      </c>
      <c r="AP126" s="366">
        <v>0</v>
      </c>
      <c r="AQ126" s="366">
        <v>0</v>
      </c>
      <c r="AR126" s="366">
        <v>21.677419354838708</v>
      </c>
      <c r="AS126" s="366">
        <v>123.2258064516129</v>
      </c>
      <c r="AT126" s="366">
        <v>239.32258064516128</v>
      </c>
      <c r="AU126" s="366">
        <v>337.19354838709677</v>
      </c>
      <c r="AV126" s="366">
        <v>405.09677419354841</v>
      </c>
      <c r="AW126" s="366">
        <v>429.16129032258067</v>
      </c>
      <c r="AX126" s="366">
        <v>418.67741935483872</v>
      </c>
      <c r="AY126" s="366">
        <v>358.09677419354841</v>
      </c>
      <c r="AZ126" s="366">
        <v>260.51612903225805</v>
      </c>
      <c r="BA126" s="366">
        <v>161.51612903225808</v>
      </c>
      <c r="BB126" s="366">
        <v>54.322580645161288</v>
      </c>
      <c r="BC126" s="366">
        <v>0.25806451612903225</v>
      </c>
      <c r="BD126" s="366">
        <v>0</v>
      </c>
      <c r="BE126" s="366">
        <v>0</v>
      </c>
      <c r="BF126" s="366">
        <v>0</v>
      </c>
      <c r="BG126" s="366">
        <v>0</v>
      </c>
      <c r="BH126" s="366">
        <v>0</v>
      </c>
      <c r="BI126" s="367">
        <v>0</v>
      </c>
      <c r="BJ126" s="429"/>
    </row>
    <row r="127" spans="1:62" ht="15" x14ac:dyDescent="0.25">
      <c r="A127" s="363">
        <v>2007</v>
      </c>
      <c r="B127" s="364">
        <v>11</v>
      </c>
      <c r="C127" s="365">
        <v>4.3040277777777405</v>
      </c>
      <c r="D127" s="367">
        <v>4.2444444444444445</v>
      </c>
      <c r="E127" s="366">
        <v>134.96223945561522</v>
      </c>
      <c r="F127" s="366">
        <v>93.858190138741605</v>
      </c>
      <c r="G127" s="366">
        <v>45.128049125926225</v>
      </c>
      <c r="H127" s="366">
        <v>21.722248400997362</v>
      </c>
      <c r="I127" s="366">
        <v>20.673363716691185</v>
      </c>
      <c r="J127" s="366">
        <v>25.250260589393523</v>
      </c>
      <c r="K127" s="366">
        <v>62.509481221908139</v>
      </c>
      <c r="L127" s="366">
        <v>115.0394177086213</v>
      </c>
      <c r="M127" s="367">
        <v>80.923611111111114</v>
      </c>
      <c r="N127" s="365">
        <v>2.87</v>
      </c>
      <c r="O127" s="366">
        <v>2.6433333333333335</v>
      </c>
      <c r="P127" s="366">
        <v>2.3533333333333331</v>
      </c>
      <c r="Q127" s="366">
        <v>2.183333333333334</v>
      </c>
      <c r="R127" s="366">
        <v>2.0100000000000002</v>
      </c>
      <c r="S127" s="366">
        <v>1.8666666666666671</v>
      </c>
      <c r="T127" s="366">
        <v>2.8766666666666669</v>
      </c>
      <c r="U127" s="366">
        <v>4.133333333333332</v>
      </c>
      <c r="V127" s="366">
        <v>5.2866666666666653</v>
      </c>
      <c r="W127" s="366">
        <v>5.9699999999999962</v>
      </c>
      <c r="X127" s="366">
        <v>6.4933333333333287</v>
      </c>
      <c r="Y127" s="366">
        <v>6.8599999999999977</v>
      </c>
      <c r="Z127" s="366">
        <v>7.1133333333333297</v>
      </c>
      <c r="AA127" s="366">
        <v>6.876666666666666</v>
      </c>
      <c r="AB127" s="366">
        <v>6.4999999999999982</v>
      </c>
      <c r="AC127" s="366">
        <v>5.66</v>
      </c>
      <c r="AD127" s="366">
        <v>5.0633333333333308</v>
      </c>
      <c r="AE127" s="366">
        <v>4.8533333333333326</v>
      </c>
      <c r="AF127" s="366">
        <v>4.3666666666666645</v>
      </c>
      <c r="AG127" s="366">
        <v>4.0200000000000005</v>
      </c>
      <c r="AH127" s="366">
        <v>3.65</v>
      </c>
      <c r="AI127" s="366">
        <v>3.4200000000000004</v>
      </c>
      <c r="AJ127" s="366">
        <v>3.0866666666666673</v>
      </c>
      <c r="AK127" s="367">
        <v>3.1400000000000015</v>
      </c>
      <c r="AL127" s="365">
        <v>0</v>
      </c>
      <c r="AM127" s="366">
        <v>0</v>
      </c>
      <c r="AN127" s="366">
        <v>0</v>
      </c>
      <c r="AO127" s="366">
        <v>0</v>
      </c>
      <c r="AP127" s="366">
        <v>0</v>
      </c>
      <c r="AQ127" s="366">
        <v>0</v>
      </c>
      <c r="AR127" s="366">
        <v>1.0333333333333334</v>
      </c>
      <c r="AS127" s="366">
        <v>53.466666666666669</v>
      </c>
      <c r="AT127" s="366">
        <v>155.16666666666666</v>
      </c>
      <c r="AU127" s="366">
        <v>243.8</v>
      </c>
      <c r="AV127" s="366">
        <v>307.39999999999998</v>
      </c>
      <c r="AW127" s="366">
        <v>333.6</v>
      </c>
      <c r="AX127" s="366">
        <v>317.56666666666666</v>
      </c>
      <c r="AY127" s="366">
        <v>262.7</v>
      </c>
      <c r="AZ127" s="366">
        <v>177.86666666666667</v>
      </c>
      <c r="BA127" s="366">
        <v>82.5</v>
      </c>
      <c r="BB127" s="366">
        <v>7.0666666666666664</v>
      </c>
      <c r="BC127" s="366">
        <v>0</v>
      </c>
      <c r="BD127" s="366">
        <v>0</v>
      </c>
      <c r="BE127" s="366">
        <v>0</v>
      </c>
      <c r="BF127" s="366">
        <v>0</v>
      </c>
      <c r="BG127" s="366">
        <v>0</v>
      </c>
      <c r="BH127" s="366">
        <v>0</v>
      </c>
      <c r="BI127" s="367">
        <v>0</v>
      </c>
      <c r="BJ127" s="429"/>
    </row>
    <row r="128" spans="1:62" ht="15" x14ac:dyDescent="0.25">
      <c r="A128" s="368">
        <v>2007</v>
      </c>
      <c r="B128" s="369">
        <v>12</v>
      </c>
      <c r="C128" s="370">
        <v>-2.1548993288590541</v>
      </c>
      <c r="D128" s="372">
        <v>3.908724832214765</v>
      </c>
      <c r="E128" s="371">
        <v>83.065250096180051</v>
      </c>
      <c r="F128" s="371">
        <v>58.271917859537488</v>
      </c>
      <c r="G128" s="371">
        <v>27.80266470832315</v>
      </c>
      <c r="H128" s="371">
        <v>17.842485585309763</v>
      </c>
      <c r="I128" s="371">
        <v>17.636460637523676</v>
      </c>
      <c r="J128" s="371">
        <v>18.796949451590432</v>
      </c>
      <c r="K128" s="371">
        <v>37.34920131064159</v>
      </c>
      <c r="L128" s="371">
        <v>70.958360168122994</v>
      </c>
      <c r="M128" s="372">
        <v>49.893959731543625</v>
      </c>
      <c r="N128" s="370">
        <v>-2.7967741935483867</v>
      </c>
      <c r="O128" s="371">
        <v>-2.9387096774193546</v>
      </c>
      <c r="P128" s="371">
        <v>-3.3193548387096774</v>
      </c>
      <c r="Q128" s="371">
        <v>-3.4645161290322584</v>
      </c>
      <c r="R128" s="371">
        <v>-3.6419354838709674</v>
      </c>
      <c r="S128" s="371">
        <v>-3.819354838709677</v>
      </c>
      <c r="T128" s="371">
        <v>-3.6999999999999993</v>
      </c>
      <c r="U128" s="371">
        <v>-3.0612903225806454</v>
      </c>
      <c r="V128" s="371">
        <v>-2.3032258064516125</v>
      </c>
      <c r="W128" s="371">
        <v>-1.5999999999999992</v>
      </c>
      <c r="X128" s="371">
        <v>-0.69354838709677358</v>
      </c>
      <c r="Y128" s="371">
        <v>-0.86129032258064531</v>
      </c>
      <c r="Z128" s="371">
        <v>-0.60000000000000031</v>
      </c>
      <c r="AA128" s="371">
        <v>-0.64838709677419359</v>
      </c>
      <c r="AB128" s="371">
        <v>-0.90645161290322585</v>
      </c>
      <c r="AC128" s="371">
        <v>-1.2741935483870961</v>
      </c>
      <c r="AD128" s="371">
        <v>-1.5322580645161279</v>
      </c>
      <c r="AE128" s="371">
        <v>-1.6870967741935474</v>
      </c>
      <c r="AF128" s="371">
        <v>-1.8548387096774186</v>
      </c>
      <c r="AG128" s="371">
        <v>-1.8451612903225798</v>
      </c>
      <c r="AH128" s="371">
        <v>-1.9387096774193544</v>
      </c>
      <c r="AI128" s="371">
        <v>-2.1645161290322572</v>
      </c>
      <c r="AJ128" s="371">
        <v>-2.3258064516129022</v>
      </c>
      <c r="AK128" s="372">
        <v>-2.7218749999999998</v>
      </c>
      <c r="AL128" s="370">
        <v>0</v>
      </c>
      <c r="AM128" s="371">
        <v>0</v>
      </c>
      <c r="AN128" s="371">
        <v>0</v>
      </c>
      <c r="AO128" s="371">
        <v>0</v>
      </c>
      <c r="AP128" s="371">
        <v>0</v>
      </c>
      <c r="AQ128" s="371">
        <v>0</v>
      </c>
      <c r="AR128" s="371">
        <v>0</v>
      </c>
      <c r="AS128" s="371">
        <v>9.9677419354838701</v>
      </c>
      <c r="AT128" s="371">
        <v>67.387096774193552</v>
      </c>
      <c r="AU128" s="371">
        <v>142.16129032258064</v>
      </c>
      <c r="AV128" s="371">
        <v>198.03225806451613</v>
      </c>
      <c r="AW128" s="371">
        <v>229.67741935483872</v>
      </c>
      <c r="AX128" s="371">
        <v>217.90322580645162</v>
      </c>
      <c r="AY128" s="371">
        <v>177.09677419354838</v>
      </c>
      <c r="AZ128" s="371">
        <v>112.29032258064517</v>
      </c>
      <c r="BA128" s="371">
        <v>44.548387096774192</v>
      </c>
      <c r="BB128" s="371">
        <v>0</v>
      </c>
      <c r="BC128" s="371">
        <v>0</v>
      </c>
      <c r="BD128" s="371">
        <v>0</v>
      </c>
      <c r="BE128" s="371">
        <v>0</v>
      </c>
      <c r="BF128" s="371">
        <v>0</v>
      </c>
      <c r="BG128" s="371">
        <v>0</v>
      </c>
      <c r="BH128" s="371">
        <v>0</v>
      </c>
      <c r="BI128" s="372">
        <v>0</v>
      </c>
      <c r="BJ128" s="429"/>
    </row>
    <row r="129" spans="1:62" ht="15" x14ac:dyDescent="0.25">
      <c r="A129" s="375">
        <v>2008</v>
      </c>
      <c r="B129" s="376">
        <v>1</v>
      </c>
      <c r="C129" s="349">
        <v>-4.2732166890982706</v>
      </c>
      <c r="D129" s="351">
        <v>4.818304172274563</v>
      </c>
      <c r="E129" s="350">
        <v>120.21578560600508</v>
      </c>
      <c r="F129" s="350">
        <v>82.053894196686485</v>
      </c>
      <c r="G129" s="350">
        <v>38.172647932308415</v>
      </c>
      <c r="H129" s="350">
        <v>20.835183204292278</v>
      </c>
      <c r="I129" s="350">
        <v>20.445368143588531</v>
      </c>
      <c r="J129" s="350">
        <v>23.543999625994452</v>
      </c>
      <c r="K129" s="350">
        <v>55.220174128450296</v>
      </c>
      <c r="L129" s="350">
        <v>103.58359910928392</v>
      </c>
      <c r="M129" s="351">
        <v>70.061911170928667</v>
      </c>
      <c r="N129" s="349">
        <v>-5.8677419354838731</v>
      </c>
      <c r="O129" s="350">
        <v>-6.2129032258064534</v>
      </c>
      <c r="P129" s="350">
        <v>-6.2967741935483881</v>
      </c>
      <c r="Q129" s="350">
        <v>-6.2</v>
      </c>
      <c r="R129" s="350">
        <v>-6.2258064516129039</v>
      </c>
      <c r="S129" s="350">
        <v>-6.0612903225806454</v>
      </c>
      <c r="T129" s="350">
        <v>-5.796774193548389</v>
      </c>
      <c r="U129" s="350">
        <v>-5.0741935483870986</v>
      </c>
      <c r="V129" s="350">
        <v>-4.0258064516129028</v>
      </c>
      <c r="W129" s="350">
        <v>-2.9548387096774196</v>
      </c>
      <c r="X129" s="350">
        <v>-2.0580645161290314</v>
      </c>
      <c r="Y129" s="350">
        <v>-1.4999999999999991</v>
      </c>
      <c r="Z129" s="350">
        <v>-1.2709677419354837</v>
      </c>
      <c r="AA129" s="350">
        <v>-1.3548387096774188</v>
      </c>
      <c r="AB129" s="350">
        <v>-1.7290322580645159</v>
      </c>
      <c r="AC129" s="350">
        <v>-2.6709677419354843</v>
      </c>
      <c r="AD129" s="350">
        <v>-3.2709677419354839</v>
      </c>
      <c r="AE129" s="350">
        <v>-3.8903225806451611</v>
      </c>
      <c r="AF129" s="350">
        <v>-4.3580645161290326</v>
      </c>
      <c r="AG129" s="350">
        <v>-4.6935483870967749</v>
      </c>
      <c r="AH129" s="350">
        <v>-4.9193548387096779</v>
      </c>
      <c r="AI129" s="350">
        <v>-5.0870967741935491</v>
      </c>
      <c r="AJ129" s="350">
        <v>-5.3516129032258073</v>
      </c>
      <c r="AK129" s="351">
        <v>-5.7333333333333343</v>
      </c>
      <c r="AL129" s="349">
        <v>0</v>
      </c>
      <c r="AM129" s="350">
        <v>0</v>
      </c>
      <c r="AN129" s="350">
        <v>0</v>
      </c>
      <c r="AO129" s="350">
        <v>0</v>
      </c>
      <c r="AP129" s="350">
        <v>0</v>
      </c>
      <c r="AQ129" s="350">
        <v>0</v>
      </c>
      <c r="AR129" s="350">
        <v>0</v>
      </c>
      <c r="AS129" s="350">
        <v>10.32258064516129</v>
      </c>
      <c r="AT129" s="350">
        <v>85.870967741935488</v>
      </c>
      <c r="AU129" s="350">
        <v>180.80645161290323</v>
      </c>
      <c r="AV129" s="350">
        <v>255.58064516129033</v>
      </c>
      <c r="AW129" s="350">
        <v>302.83870967741933</v>
      </c>
      <c r="AX129" s="350">
        <v>301.09677419354841</v>
      </c>
      <c r="AY129" s="350">
        <v>253.70967741935485</v>
      </c>
      <c r="AZ129" s="350">
        <v>178.67741935483872</v>
      </c>
      <c r="BA129" s="350">
        <v>93.032258064516128</v>
      </c>
      <c r="BB129" s="350">
        <v>17.29032258064516</v>
      </c>
      <c r="BC129" s="350">
        <v>0</v>
      </c>
      <c r="BD129" s="350">
        <v>0</v>
      </c>
      <c r="BE129" s="350">
        <v>0</v>
      </c>
      <c r="BF129" s="350">
        <v>0</v>
      </c>
      <c r="BG129" s="350">
        <v>0</v>
      </c>
      <c r="BH129" s="350">
        <v>0</v>
      </c>
      <c r="BI129" s="351">
        <v>0</v>
      </c>
      <c r="BJ129" s="429"/>
    </row>
    <row r="130" spans="1:62" ht="15" x14ac:dyDescent="0.25">
      <c r="A130" s="347">
        <v>2008</v>
      </c>
      <c r="B130" s="348">
        <v>2</v>
      </c>
      <c r="C130" s="352">
        <v>-5.0989583333333552</v>
      </c>
      <c r="D130" s="354">
        <v>4.1815476190476186</v>
      </c>
      <c r="E130" s="353">
        <v>139.67970743884351</v>
      </c>
      <c r="F130" s="353">
        <v>100.9699816281374</v>
      </c>
      <c r="G130" s="353">
        <v>57.146331360693139</v>
      </c>
      <c r="H130" s="353">
        <v>33.059152144659173</v>
      </c>
      <c r="I130" s="353">
        <v>30.70756574881603</v>
      </c>
      <c r="J130" s="353">
        <v>38.642337443383276</v>
      </c>
      <c r="K130" s="353">
        <v>78.290096337618365</v>
      </c>
      <c r="L130" s="353">
        <v>125.41192206550068</v>
      </c>
      <c r="M130" s="354">
        <v>105.24702380952381</v>
      </c>
      <c r="N130" s="352">
        <v>-5.757142857142858</v>
      </c>
      <c r="O130" s="353">
        <v>-5.9392857142857149</v>
      </c>
      <c r="P130" s="353">
        <v>-6.3142857142857158</v>
      </c>
      <c r="Q130" s="353">
        <v>-6.510714285714287</v>
      </c>
      <c r="R130" s="353">
        <v>-6.7071428571428582</v>
      </c>
      <c r="S130" s="353">
        <v>-6.8464285714285742</v>
      </c>
      <c r="T130" s="353">
        <v>-6.6142857142857148</v>
      </c>
      <c r="U130" s="353">
        <v>-5.9535714285714301</v>
      </c>
      <c r="V130" s="353">
        <v>-5.2000000000000011</v>
      </c>
      <c r="W130" s="353">
        <v>-4.617857142857142</v>
      </c>
      <c r="X130" s="353">
        <v>-4.0392857142857128</v>
      </c>
      <c r="Y130" s="353">
        <v>-3.6999999999999993</v>
      </c>
      <c r="Z130" s="353">
        <v>-3.4857142857142853</v>
      </c>
      <c r="AA130" s="353">
        <v>-3.4928571428571429</v>
      </c>
      <c r="AB130" s="353">
        <v>-3.5035714285714286</v>
      </c>
      <c r="AC130" s="353">
        <v>-3.85</v>
      </c>
      <c r="AD130" s="353">
        <v>-4.3714285714285719</v>
      </c>
      <c r="AE130" s="353">
        <v>-4.6249999999999991</v>
      </c>
      <c r="AF130" s="353">
        <v>-4.6714285714285708</v>
      </c>
      <c r="AG130" s="353">
        <v>-4.9785714285714295</v>
      </c>
      <c r="AH130" s="353">
        <v>-5.0214285714285722</v>
      </c>
      <c r="AI130" s="353">
        <v>-5.2142857142857144</v>
      </c>
      <c r="AJ130" s="353">
        <v>-5.4464285714285712</v>
      </c>
      <c r="AK130" s="354">
        <v>-5.5142857142857151</v>
      </c>
      <c r="AL130" s="352">
        <v>0</v>
      </c>
      <c r="AM130" s="353">
        <v>0</v>
      </c>
      <c r="AN130" s="353">
        <v>0</v>
      </c>
      <c r="AO130" s="353">
        <v>0</v>
      </c>
      <c r="AP130" s="353">
        <v>0</v>
      </c>
      <c r="AQ130" s="353">
        <v>0</v>
      </c>
      <c r="AR130" s="353">
        <v>0.21428571428571427</v>
      </c>
      <c r="AS130" s="353">
        <v>42.5</v>
      </c>
      <c r="AT130" s="353">
        <v>147.75</v>
      </c>
      <c r="AU130" s="353">
        <v>257.21428571428572</v>
      </c>
      <c r="AV130" s="353">
        <v>346.32142857142856</v>
      </c>
      <c r="AW130" s="353">
        <v>404.10714285714283</v>
      </c>
      <c r="AX130" s="353">
        <v>410.82142857142856</v>
      </c>
      <c r="AY130" s="353">
        <v>373.53571428571428</v>
      </c>
      <c r="AZ130" s="353">
        <v>287.96428571428572</v>
      </c>
      <c r="BA130" s="353">
        <v>180.07142857142858</v>
      </c>
      <c r="BB130" s="353">
        <v>71.75</v>
      </c>
      <c r="BC130" s="353">
        <v>3.6785714285714284</v>
      </c>
      <c r="BD130" s="353">
        <v>0</v>
      </c>
      <c r="BE130" s="353">
        <v>0</v>
      </c>
      <c r="BF130" s="353">
        <v>0</v>
      </c>
      <c r="BG130" s="353">
        <v>0</v>
      </c>
      <c r="BH130" s="353">
        <v>0</v>
      </c>
      <c r="BI130" s="354">
        <v>0</v>
      </c>
      <c r="BJ130" s="429"/>
    </row>
    <row r="131" spans="1:62" ht="15" x14ac:dyDescent="0.25">
      <c r="A131" s="347">
        <v>2008</v>
      </c>
      <c r="B131" s="348">
        <v>3</v>
      </c>
      <c r="C131" s="352">
        <v>1.4654569892473142</v>
      </c>
      <c r="D131" s="354">
        <v>4.139784946236559</v>
      </c>
      <c r="E131" s="353">
        <v>148.92605943729674</v>
      </c>
      <c r="F131" s="353">
        <v>115.81572447697312</v>
      </c>
      <c r="G131" s="353">
        <v>76.417592464820288</v>
      </c>
      <c r="H131" s="353">
        <v>44.523533808812239</v>
      </c>
      <c r="I131" s="353">
        <v>37.128062127999975</v>
      </c>
      <c r="J131" s="353">
        <v>58.69969764232485</v>
      </c>
      <c r="K131" s="353">
        <v>107.96140089412694</v>
      </c>
      <c r="L131" s="353">
        <v>146.10503571545257</v>
      </c>
      <c r="M131" s="354">
        <v>149.64112903225808</v>
      </c>
      <c r="N131" s="352">
        <v>-0.21612903225806462</v>
      </c>
      <c r="O131" s="353">
        <v>-0.48709677419354835</v>
      </c>
      <c r="P131" s="353">
        <v>-0.77419354838709631</v>
      </c>
      <c r="Q131" s="353">
        <v>-1.1387096774193541</v>
      </c>
      <c r="R131" s="353">
        <v>-1.1999999999999988</v>
      </c>
      <c r="S131" s="353">
        <v>-0.77741935483870905</v>
      </c>
      <c r="T131" s="353">
        <v>-9.032258064516123E-2</v>
      </c>
      <c r="U131" s="353">
        <v>1</v>
      </c>
      <c r="V131" s="353">
        <v>1.8612903225806454</v>
      </c>
      <c r="W131" s="353">
        <v>2.6258064516129034</v>
      </c>
      <c r="X131" s="353">
        <v>3.1290322580645165</v>
      </c>
      <c r="Y131" s="353">
        <v>3.7064516129032259</v>
      </c>
      <c r="Z131" s="353">
        <v>4.2354838709677427</v>
      </c>
      <c r="AA131" s="353">
        <v>4.3451612903225811</v>
      </c>
      <c r="AB131" s="353">
        <v>4.1483870967741945</v>
      </c>
      <c r="AC131" s="353">
        <v>3.6516129032258062</v>
      </c>
      <c r="AD131" s="353">
        <v>2.7258064516129044</v>
      </c>
      <c r="AE131" s="353">
        <v>2.1419354838709679</v>
      </c>
      <c r="AF131" s="353">
        <v>1.7225806451612906</v>
      </c>
      <c r="AG131" s="353">
        <v>1.5838709677419354</v>
      </c>
      <c r="AH131" s="353">
        <v>1.2903225806451613</v>
      </c>
      <c r="AI131" s="353">
        <v>0.98387096774193539</v>
      </c>
      <c r="AJ131" s="353">
        <v>0.78709677419354818</v>
      </c>
      <c r="AK131" s="354">
        <v>-8.3870967741935698E-2</v>
      </c>
      <c r="AL131" s="352">
        <v>0</v>
      </c>
      <c r="AM131" s="353">
        <v>0</v>
      </c>
      <c r="AN131" s="353">
        <v>0</v>
      </c>
      <c r="AO131" s="353">
        <v>0</v>
      </c>
      <c r="AP131" s="353">
        <v>0</v>
      </c>
      <c r="AQ131" s="353">
        <v>0</v>
      </c>
      <c r="AR131" s="353">
        <v>25.35483870967742</v>
      </c>
      <c r="AS131" s="353">
        <v>123.93548387096774</v>
      </c>
      <c r="AT131" s="353">
        <v>247.93548387096774</v>
      </c>
      <c r="AU131" s="353">
        <v>368.22580645161293</v>
      </c>
      <c r="AV131" s="353">
        <v>461.83870967741933</v>
      </c>
      <c r="AW131" s="353">
        <v>516.12903225806451</v>
      </c>
      <c r="AX131" s="353">
        <v>510.48387096774195</v>
      </c>
      <c r="AY131" s="353">
        <v>486.80645161290323</v>
      </c>
      <c r="AZ131" s="353">
        <v>390</v>
      </c>
      <c r="BA131" s="353">
        <v>274.48387096774195</v>
      </c>
      <c r="BB131" s="353">
        <v>148.90322580645162</v>
      </c>
      <c r="BC131" s="353">
        <v>37.29032258064516</v>
      </c>
      <c r="BD131" s="353">
        <v>0</v>
      </c>
      <c r="BE131" s="353">
        <v>0</v>
      </c>
      <c r="BF131" s="353">
        <v>0</v>
      </c>
      <c r="BG131" s="353">
        <v>0</v>
      </c>
      <c r="BH131" s="353">
        <v>0</v>
      </c>
      <c r="BI131" s="354">
        <v>0</v>
      </c>
      <c r="BJ131" s="429"/>
    </row>
    <row r="132" spans="1:62" ht="15" x14ac:dyDescent="0.25">
      <c r="A132" s="347">
        <v>2008</v>
      </c>
      <c r="B132" s="348">
        <v>4</v>
      </c>
      <c r="C132" s="352">
        <v>9.6170833333332961</v>
      </c>
      <c r="D132" s="354">
        <v>4.458333333333333</v>
      </c>
      <c r="E132" s="353">
        <v>145.87936317635925</v>
      </c>
      <c r="F132" s="353">
        <v>130.02292380981851</v>
      </c>
      <c r="G132" s="353">
        <v>106.34095514209606</v>
      </c>
      <c r="H132" s="353">
        <v>71.745222420424781</v>
      </c>
      <c r="I132" s="353">
        <v>55.094732181630832</v>
      </c>
      <c r="J132" s="353">
        <v>95.035928291395777</v>
      </c>
      <c r="K132" s="353">
        <v>147.61766400882749</v>
      </c>
      <c r="L132" s="353">
        <v>164.84453252604388</v>
      </c>
      <c r="M132" s="354">
        <v>211.84583333333333</v>
      </c>
      <c r="N132" s="352">
        <v>6.7866666666666635</v>
      </c>
      <c r="O132" s="353">
        <v>6.5833333333333304</v>
      </c>
      <c r="P132" s="353">
        <v>6.2433333333333332</v>
      </c>
      <c r="Q132" s="353">
        <v>5.8966666666666656</v>
      </c>
      <c r="R132" s="353">
        <v>6.3199999999999994</v>
      </c>
      <c r="S132" s="353">
        <v>7.6433333333333318</v>
      </c>
      <c r="T132" s="353">
        <v>8.8233333333333306</v>
      </c>
      <c r="U132" s="353">
        <v>9.990000000000002</v>
      </c>
      <c r="V132" s="353">
        <v>11.04</v>
      </c>
      <c r="W132" s="353">
        <v>12.153333333333332</v>
      </c>
      <c r="X132" s="353">
        <v>12.856666666666662</v>
      </c>
      <c r="Y132" s="353">
        <v>13.439999999999996</v>
      </c>
      <c r="Z132" s="353">
        <v>13.566666666666663</v>
      </c>
      <c r="AA132" s="353">
        <v>13.379999999999995</v>
      </c>
      <c r="AB132" s="353">
        <v>13.08333333333333</v>
      </c>
      <c r="AC132" s="353">
        <v>12.556666666666663</v>
      </c>
      <c r="AD132" s="353">
        <v>11.546666666666663</v>
      </c>
      <c r="AE132" s="353">
        <v>10.270000000000001</v>
      </c>
      <c r="AF132" s="353">
        <v>9.4366666666666674</v>
      </c>
      <c r="AG132" s="353">
        <v>8.5233333333333317</v>
      </c>
      <c r="AH132" s="353">
        <v>8.129999999999999</v>
      </c>
      <c r="AI132" s="353">
        <v>7.8599999999999977</v>
      </c>
      <c r="AJ132" s="353">
        <v>7.476666666666663</v>
      </c>
      <c r="AK132" s="354">
        <v>7.2033333333333305</v>
      </c>
      <c r="AL132" s="352">
        <v>0</v>
      </c>
      <c r="AM132" s="353">
        <v>0</v>
      </c>
      <c r="AN132" s="353">
        <v>0</v>
      </c>
      <c r="AO132" s="353">
        <v>0</v>
      </c>
      <c r="AP132" s="353">
        <v>0</v>
      </c>
      <c r="AQ132" s="353">
        <v>19.033333333333335</v>
      </c>
      <c r="AR132" s="353">
        <v>118.66666666666667</v>
      </c>
      <c r="AS132" s="353">
        <v>239.13333333333333</v>
      </c>
      <c r="AT132" s="353">
        <v>377.33333333333331</v>
      </c>
      <c r="AU132" s="353">
        <v>495.66666666666669</v>
      </c>
      <c r="AV132" s="353">
        <v>591.9666666666667</v>
      </c>
      <c r="AW132" s="353">
        <v>665.4666666666667</v>
      </c>
      <c r="AX132" s="353">
        <v>673.5333333333333</v>
      </c>
      <c r="AY132" s="353">
        <v>641.20000000000005</v>
      </c>
      <c r="AZ132" s="353">
        <v>539.5333333333333</v>
      </c>
      <c r="BA132" s="353">
        <v>381</v>
      </c>
      <c r="BB132" s="353">
        <v>232.76666666666668</v>
      </c>
      <c r="BC132" s="353">
        <v>99.36666666666666</v>
      </c>
      <c r="BD132" s="353">
        <v>9.6333333333333329</v>
      </c>
      <c r="BE132" s="353">
        <v>0</v>
      </c>
      <c r="BF132" s="353">
        <v>0</v>
      </c>
      <c r="BG132" s="353">
        <v>0</v>
      </c>
      <c r="BH132" s="353">
        <v>0</v>
      </c>
      <c r="BI132" s="354">
        <v>0</v>
      </c>
      <c r="BJ132" s="429"/>
    </row>
    <row r="133" spans="1:62" ht="15" x14ac:dyDescent="0.25">
      <c r="A133" s="347">
        <v>2008</v>
      </c>
      <c r="B133" s="348">
        <v>5</v>
      </c>
      <c r="C133" s="352">
        <v>13.737768817204325</v>
      </c>
      <c r="D133" s="354">
        <v>4.2446236559139781</v>
      </c>
      <c r="E133" s="353">
        <v>125.51878590175849</v>
      </c>
      <c r="F133" s="353">
        <v>136.15689005151972</v>
      </c>
      <c r="G133" s="353">
        <v>130.99047509470404</v>
      </c>
      <c r="H133" s="353">
        <v>97.917468624633727</v>
      </c>
      <c r="I133" s="353">
        <v>73.644105118627536</v>
      </c>
      <c r="J133" s="353">
        <v>112.68921045207732</v>
      </c>
      <c r="K133" s="353">
        <v>148.95783854815738</v>
      </c>
      <c r="L133" s="353">
        <v>146.50250316986717</v>
      </c>
      <c r="M133" s="354">
        <v>236.06586021505376</v>
      </c>
      <c r="N133" s="352">
        <v>10.064516129032256</v>
      </c>
      <c r="O133" s="353">
        <v>9.8709677419354804</v>
      </c>
      <c r="P133" s="353">
        <v>9.4967741935483847</v>
      </c>
      <c r="Q133" s="353">
        <v>9.4290322580645132</v>
      </c>
      <c r="R133" s="353">
        <v>10.506451612903225</v>
      </c>
      <c r="S133" s="353">
        <v>12.06774193548387</v>
      </c>
      <c r="T133" s="353">
        <v>13.554838709677417</v>
      </c>
      <c r="U133" s="353">
        <v>14.499999999999996</v>
      </c>
      <c r="V133" s="353">
        <v>15.267741935483867</v>
      </c>
      <c r="W133" s="353">
        <v>16.112903225806448</v>
      </c>
      <c r="X133" s="353">
        <v>16.906451612903222</v>
      </c>
      <c r="Y133" s="353">
        <v>17.525806451612901</v>
      </c>
      <c r="Z133" s="353">
        <v>17.919354838709673</v>
      </c>
      <c r="AA133" s="353">
        <v>17.880645161290321</v>
      </c>
      <c r="AB133" s="353">
        <v>17.71290322580645</v>
      </c>
      <c r="AC133" s="353">
        <v>17.29354838709677</v>
      </c>
      <c r="AD133" s="353">
        <v>16.470967741935482</v>
      </c>
      <c r="AE133" s="353">
        <v>15.180645161290318</v>
      </c>
      <c r="AF133" s="353">
        <v>13.845161290322581</v>
      </c>
      <c r="AG133" s="353">
        <v>13.174193548387095</v>
      </c>
      <c r="AH133" s="353">
        <v>12.087096774193547</v>
      </c>
      <c r="AI133" s="353">
        <v>11.461290322580643</v>
      </c>
      <c r="AJ133" s="353">
        <v>10.964516129032255</v>
      </c>
      <c r="AK133" s="354">
        <v>10.412903225806449</v>
      </c>
      <c r="AL133" s="352">
        <v>0</v>
      </c>
      <c r="AM133" s="353">
        <v>0</v>
      </c>
      <c r="AN133" s="353">
        <v>0</v>
      </c>
      <c r="AO133" s="353">
        <v>0</v>
      </c>
      <c r="AP133" s="353">
        <v>2.838709677419355</v>
      </c>
      <c r="AQ133" s="353">
        <v>70.387096774193552</v>
      </c>
      <c r="AR133" s="353">
        <v>207.25806451612902</v>
      </c>
      <c r="AS133" s="353">
        <v>359.45161290322579</v>
      </c>
      <c r="AT133" s="353">
        <v>474.06451612903226</v>
      </c>
      <c r="AU133" s="353">
        <v>563.06451612903231</v>
      </c>
      <c r="AV133" s="353">
        <v>633.90322580645159</v>
      </c>
      <c r="AW133" s="353">
        <v>680.77419354838707</v>
      </c>
      <c r="AX133" s="353">
        <v>686</v>
      </c>
      <c r="AY133" s="353">
        <v>664.29032258064512</v>
      </c>
      <c r="AZ133" s="353">
        <v>529.58064516129036</v>
      </c>
      <c r="BA133" s="353">
        <v>372.96774193548384</v>
      </c>
      <c r="BB133" s="353">
        <v>245.06451612903226</v>
      </c>
      <c r="BC133" s="353">
        <v>135.19354838709677</v>
      </c>
      <c r="BD133" s="353">
        <v>40.741935483870968</v>
      </c>
      <c r="BE133" s="353">
        <v>0</v>
      </c>
      <c r="BF133" s="353">
        <v>0</v>
      </c>
      <c r="BG133" s="353">
        <v>0</v>
      </c>
      <c r="BH133" s="353">
        <v>0</v>
      </c>
      <c r="BI133" s="354">
        <v>0</v>
      </c>
      <c r="BJ133" s="429"/>
    </row>
    <row r="134" spans="1:62" ht="15" x14ac:dyDescent="0.25">
      <c r="A134" s="347">
        <v>2008</v>
      </c>
      <c r="B134" s="348">
        <v>6</v>
      </c>
      <c r="C134" s="352">
        <v>21.552222222222365</v>
      </c>
      <c r="D134" s="354">
        <v>3.8222222222222224</v>
      </c>
      <c r="E134" s="353">
        <v>122.17248262822105</v>
      </c>
      <c r="F134" s="353">
        <v>141.68383290199401</v>
      </c>
      <c r="G134" s="353">
        <v>143.95830279548471</v>
      </c>
      <c r="H134" s="353">
        <v>112.45889815218145</v>
      </c>
      <c r="I134" s="353">
        <v>87.788549429467594</v>
      </c>
      <c r="J134" s="353">
        <v>132.12469046955067</v>
      </c>
      <c r="K134" s="353">
        <v>163.74276412397867</v>
      </c>
      <c r="L134" s="353">
        <v>149.9189270314418</v>
      </c>
      <c r="M134" s="354">
        <v>261.09166666666664</v>
      </c>
      <c r="N134" s="352">
        <v>17.920000000000002</v>
      </c>
      <c r="O134" s="353">
        <v>17.50333333333333</v>
      </c>
      <c r="P134" s="353">
        <v>17.269999999999996</v>
      </c>
      <c r="Q134" s="353">
        <v>17.306666666666668</v>
      </c>
      <c r="R134" s="353">
        <v>18.606666666666669</v>
      </c>
      <c r="S134" s="353">
        <v>19.806666666666668</v>
      </c>
      <c r="T134" s="353">
        <v>21.15</v>
      </c>
      <c r="U134" s="353">
        <v>22.326666666666672</v>
      </c>
      <c r="V134" s="353">
        <v>23.259999999999998</v>
      </c>
      <c r="W134" s="353">
        <v>24.240000000000006</v>
      </c>
      <c r="X134" s="353">
        <v>24.650000000000002</v>
      </c>
      <c r="Y134" s="353">
        <v>25.273333333333337</v>
      </c>
      <c r="Z134" s="353">
        <v>25.65333333333334</v>
      </c>
      <c r="AA134" s="353">
        <v>25.683333333333341</v>
      </c>
      <c r="AB134" s="353">
        <v>25.216666666666672</v>
      </c>
      <c r="AC134" s="353">
        <v>24.613333333333337</v>
      </c>
      <c r="AD134" s="353">
        <v>23.983333333333338</v>
      </c>
      <c r="AE134" s="353">
        <v>23.116666666666671</v>
      </c>
      <c r="AF134" s="353">
        <v>21.716666666666665</v>
      </c>
      <c r="AG134" s="353">
        <v>20.84</v>
      </c>
      <c r="AH134" s="353">
        <v>20.193333333333332</v>
      </c>
      <c r="AI134" s="353">
        <v>19.563333333333336</v>
      </c>
      <c r="AJ134" s="353">
        <v>19.080000000000002</v>
      </c>
      <c r="AK134" s="354">
        <v>18.280000000000005</v>
      </c>
      <c r="AL134" s="352">
        <v>0</v>
      </c>
      <c r="AM134" s="353">
        <v>0</v>
      </c>
      <c r="AN134" s="353">
        <v>0</v>
      </c>
      <c r="AO134" s="353">
        <v>0</v>
      </c>
      <c r="AP134" s="353">
        <v>8.3666666666666671</v>
      </c>
      <c r="AQ134" s="353">
        <v>89.666666666666671</v>
      </c>
      <c r="AR134" s="353">
        <v>229.93333333333334</v>
      </c>
      <c r="AS134" s="353">
        <v>380.53333333333336</v>
      </c>
      <c r="AT134" s="353">
        <v>523.66666666666663</v>
      </c>
      <c r="AU134" s="353">
        <v>627.56666666666672</v>
      </c>
      <c r="AV134" s="353">
        <v>731.63333333333333</v>
      </c>
      <c r="AW134" s="353">
        <v>753.1</v>
      </c>
      <c r="AX134" s="353">
        <v>705.33333333333337</v>
      </c>
      <c r="AY134" s="353">
        <v>654.63333333333333</v>
      </c>
      <c r="AZ134" s="353">
        <v>559.56666666666672</v>
      </c>
      <c r="BA134" s="353">
        <v>425.53333333333336</v>
      </c>
      <c r="BB134" s="353">
        <v>295.96666666666664</v>
      </c>
      <c r="BC134" s="353">
        <v>194.03333333333333</v>
      </c>
      <c r="BD134" s="353">
        <v>83.8</v>
      </c>
      <c r="BE134" s="353">
        <v>2.8666666666666667</v>
      </c>
      <c r="BF134" s="353">
        <v>0</v>
      </c>
      <c r="BG134" s="353">
        <v>0</v>
      </c>
      <c r="BH134" s="353">
        <v>0</v>
      </c>
      <c r="BI134" s="354">
        <v>0</v>
      </c>
      <c r="BJ134" s="429"/>
    </row>
    <row r="135" spans="1:62" ht="15" x14ac:dyDescent="0.25">
      <c r="A135" s="347">
        <v>2008</v>
      </c>
      <c r="B135" s="348">
        <v>7</v>
      </c>
      <c r="C135" s="352">
        <v>23.541935483871121</v>
      </c>
      <c r="D135" s="354">
        <v>3.3454301075268815</v>
      </c>
      <c r="E135" s="353">
        <v>136.47745222454563</v>
      </c>
      <c r="F135" s="353">
        <v>150.3843358149322</v>
      </c>
      <c r="G135" s="353">
        <v>147.3728499149625</v>
      </c>
      <c r="H135" s="353">
        <v>110.80966307450683</v>
      </c>
      <c r="I135" s="353">
        <v>85.01773237718983</v>
      </c>
      <c r="J135" s="353">
        <v>150.3807911744895</v>
      </c>
      <c r="K135" s="353">
        <v>197.89069720078444</v>
      </c>
      <c r="L135" s="353">
        <v>182.20663122107976</v>
      </c>
      <c r="M135" s="354">
        <v>302.8293010752688</v>
      </c>
      <c r="N135" s="352">
        <v>19.71612903225807</v>
      </c>
      <c r="O135" s="353">
        <v>19.532258064516128</v>
      </c>
      <c r="P135" s="353">
        <v>19.119354838709675</v>
      </c>
      <c r="Q135" s="353">
        <v>19.035483870967742</v>
      </c>
      <c r="R135" s="353">
        <v>20.032258064516135</v>
      </c>
      <c r="S135" s="353">
        <v>21.593548387096774</v>
      </c>
      <c r="T135" s="353">
        <v>23.116129032258073</v>
      </c>
      <c r="U135" s="353">
        <v>24.354838709677431</v>
      </c>
      <c r="V135" s="353">
        <v>25.574193548387097</v>
      </c>
      <c r="W135" s="353">
        <v>26.561290322580657</v>
      </c>
      <c r="X135" s="353">
        <v>27.177419354838715</v>
      </c>
      <c r="Y135" s="353">
        <v>27.603225806451618</v>
      </c>
      <c r="Z135" s="353">
        <v>27.464516129032265</v>
      </c>
      <c r="AA135" s="353">
        <v>27.587096774193558</v>
      </c>
      <c r="AB135" s="353">
        <v>27.396774193548396</v>
      </c>
      <c r="AC135" s="353">
        <v>26.887096774193555</v>
      </c>
      <c r="AD135" s="353">
        <v>26.235483870967752</v>
      </c>
      <c r="AE135" s="353">
        <v>24.983870967741939</v>
      </c>
      <c r="AF135" s="353">
        <v>23.7741935483871</v>
      </c>
      <c r="AG135" s="353">
        <v>22.819354838709682</v>
      </c>
      <c r="AH135" s="353">
        <v>22.000000000000004</v>
      </c>
      <c r="AI135" s="353">
        <v>21.322580645161295</v>
      </c>
      <c r="AJ135" s="353">
        <v>20.887096774193548</v>
      </c>
      <c r="AK135" s="354">
        <v>20.232258064516135</v>
      </c>
      <c r="AL135" s="352">
        <v>0</v>
      </c>
      <c r="AM135" s="353">
        <v>0</v>
      </c>
      <c r="AN135" s="353">
        <v>0</v>
      </c>
      <c r="AO135" s="353">
        <v>0</v>
      </c>
      <c r="AP135" s="353">
        <v>2.3870967741935485</v>
      </c>
      <c r="AQ135" s="353">
        <v>74.064516129032256</v>
      </c>
      <c r="AR135" s="353">
        <v>222.03225806451613</v>
      </c>
      <c r="AS135" s="353">
        <v>391.03225806451616</v>
      </c>
      <c r="AT135" s="353">
        <v>533.32258064516134</v>
      </c>
      <c r="AU135" s="353">
        <v>649.87096774193549</v>
      </c>
      <c r="AV135" s="353">
        <v>759</v>
      </c>
      <c r="AW135" s="353">
        <v>869.67741935483866</v>
      </c>
      <c r="AX135" s="353">
        <v>884.58064516129036</v>
      </c>
      <c r="AY135" s="353">
        <v>818.87096774193549</v>
      </c>
      <c r="AZ135" s="353">
        <v>710.74193548387098</v>
      </c>
      <c r="BA135" s="353">
        <v>588.29032258064512</v>
      </c>
      <c r="BB135" s="353">
        <v>426.09677419354841</v>
      </c>
      <c r="BC135" s="353">
        <v>249.41935483870967</v>
      </c>
      <c r="BD135" s="353">
        <v>87.774193548387103</v>
      </c>
      <c r="BE135" s="353">
        <v>0.74193548387096775</v>
      </c>
      <c r="BF135" s="353">
        <v>0</v>
      </c>
      <c r="BG135" s="353">
        <v>0</v>
      </c>
      <c r="BH135" s="353">
        <v>0</v>
      </c>
      <c r="BI135" s="354">
        <v>0</v>
      </c>
      <c r="BJ135" s="429"/>
    </row>
    <row r="136" spans="1:62" ht="15" x14ac:dyDescent="0.25">
      <c r="A136" s="347">
        <v>2008</v>
      </c>
      <c r="B136" s="348">
        <v>8</v>
      </c>
      <c r="C136" s="352">
        <v>22.620430107527017</v>
      </c>
      <c r="D136" s="354">
        <v>3.0591397849462365</v>
      </c>
      <c r="E136" s="353">
        <v>163.08310716099845</v>
      </c>
      <c r="F136" s="353">
        <v>164.04098730222537</v>
      </c>
      <c r="G136" s="353">
        <v>141.90562904729887</v>
      </c>
      <c r="H136" s="353">
        <v>92.807016130822049</v>
      </c>
      <c r="I136" s="353">
        <v>64.182392249365108</v>
      </c>
      <c r="J136" s="353">
        <v>118.86078038813753</v>
      </c>
      <c r="K136" s="353">
        <v>176.62868790713335</v>
      </c>
      <c r="L136" s="353">
        <v>186.83008397808305</v>
      </c>
      <c r="M136" s="354">
        <v>274.10349462365593</v>
      </c>
      <c r="N136" s="352">
        <v>19.361290322580643</v>
      </c>
      <c r="O136" s="353">
        <v>19.032258064516132</v>
      </c>
      <c r="P136" s="353">
        <v>18.70967741935484</v>
      </c>
      <c r="Q136" s="353">
        <v>18.487096774193546</v>
      </c>
      <c r="R136" s="353">
        <v>18.938709677419357</v>
      </c>
      <c r="S136" s="353">
        <v>20.500000000000004</v>
      </c>
      <c r="T136" s="353">
        <v>21.980645161290326</v>
      </c>
      <c r="U136" s="353">
        <v>23.358064516129041</v>
      </c>
      <c r="V136" s="353">
        <v>24.596774193548399</v>
      </c>
      <c r="W136" s="353">
        <v>25.354838709677423</v>
      </c>
      <c r="X136" s="353">
        <v>25.941935483870978</v>
      </c>
      <c r="Y136" s="353">
        <v>26.364516129032257</v>
      </c>
      <c r="Z136" s="353">
        <v>26.667741935483871</v>
      </c>
      <c r="AA136" s="353">
        <v>26.748387096774199</v>
      </c>
      <c r="AB136" s="353">
        <v>26.290322580645171</v>
      </c>
      <c r="AC136" s="353">
        <v>25.693548387096786</v>
      </c>
      <c r="AD136" s="353">
        <v>24.703225806451623</v>
      </c>
      <c r="AE136" s="353">
        <v>23.525806451612905</v>
      </c>
      <c r="AF136" s="353">
        <v>22.512903225806454</v>
      </c>
      <c r="AG136" s="353">
        <v>22.090322580645161</v>
      </c>
      <c r="AH136" s="353">
        <v>21.254838709677411</v>
      </c>
      <c r="AI136" s="353">
        <v>20.664516129032258</v>
      </c>
      <c r="AJ136" s="353">
        <v>20.245161290322581</v>
      </c>
      <c r="AK136" s="354">
        <v>19.867741935483874</v>
      </c>
      <c r="AL136" s="352">
        <v>0</v>
      </c>
      <c r="AM136" s="353">
        <v>0</v>
      </c>
      <c r="AN136" s="353">
        <v>0</v>
      </c>
      <c r="AO136" s="353">
        <v>0</v>
      </c>
      <c r="AP136" s="353">
        <v>0</v>
      </c>
      <c r="AQ136" s="353">
        <v>30.64516129032258</v>
      </c>
      <c r="AR136" s="353">
        <v>173.96774193548387</v>
      </c>
      <c r="AS136" s="353">
        <v>359.12903225806451</v>
      </c>
      <c r="AT136" s="353">
        <v>532.25806451612902</v>
      </c>
      <c r="AU136" s="353">
        <v>674.0322580645161</v>
      </c>
      <c r="AV136" s="353">
        <v>773.06451612903231</v>
      </c>
      <c r="AW136" s="353">
        <v>832.09677419354841</v>
      </c>
      <c r="AX136" s="353">
        <v>831.19354838709683</v>
      </c>
      <c r="AY136" s="353">
        <v>741.48387096774195</v>
      </c>
      <c r="AZ136" s="353">
        <v>619.61290322580646</v>
      </c>
      <c r="BA136" s="353">
        <v>482.93548387096774</v>
      </c>
      <c r="BB136" s="353">
        <v>334.19354838709677</v>
      </c>
      <c r="BC136" s="353">
        <v>164.54838709677421</v>
      </c>
      <c r="BD136" s="353">
        <v>29.322580645161292</v>
      </c>
      <c r="BE136" s="353">
        <v>0</v>
      </c>
      <c r="BF136" s="353">
        <v>0</v>
      </c>
      <c r="BG136" s="353">
        <v>0</v>
      </c>
      <c r="BH136" s="353">
        <v>0</v>
      </c>
      <c r="BI136" s="354">
        <v>0</v>
      </c>
      <c r="BJ136" s="429"/>
    </row>
    <row r="137" spans="1:62" ht="15" x14ac:dyDescent="0.25">
      <c r="A137" s="347">
        <v>2008</v>
      </c>
      <c r="B137" s="348">
        <v>9</v>
      </c>
      <c r="C137" s="352">
        <v>18.891111111111222</v>
      </c>
      <c r="D137" s="354">
        <v>2.7555555555555555</v>
      </c>
      <c r="E137" s="353">
        <v>150.40387635412878</v>
      </c>
      <c r="F137" s="353">
        <v>123.71266260067763</v>
      </c>
      <c r="G137" s="353">
        <v>88.658613596527132</v>
      </c>
      <c r="H137" s="353">
        <v>51.607752253071048</v>
      </c>
      <c r="I137" s="353">
        <v>39.788618712547972</v>
      </c>
      <c r="J137" s="353">
        <v>68.997560153502079</v>
      </c>
      <c r="K137" s="353">
        <v>122.2592505527787</v>
      </c>
      <c r="L137" s="353">
        <v>153.64627598000155</v>
      </c>
      <c r="M137" s="354">
        <v>169.08472222222221</v>
      </c>
      <c r="N137" s="352">
        <v>16.133333333333333</v>
      </c>
      <c r="O137" s="353">
        <v>15.823333333333331</v>
      </c>
      <c r="P137" s="353">
        <v>15.60333333333333</v>
      </c>
      <c r="Q137" s="353">
        <v>15.323333333333332</v>
      </c>
      <c r="R137" s="353">
        <v>15.233333333333329</v>
      </c>
      <c r="S137" s="353">
        <v>16.529999999999994</v>
      </c>
      <c r="T137" s="353">
        <v>18.050000000000004</v>
      </c>
      <c r="U137" s="353">
        <v>19.703333333333333</v>
      </c>
      <c r="V137" s="353">
        <v>20.93</v>
      </c>
      <c r="W137" s="353">
        <v>21.746666666666663</v>
      </c>
      <c r="X137" s="353">
        <v>22.29666666666667</v>
      </c>
      <c r="Y137" s="353">
        <v>22.59</v>
      </c>
      <c r="Z137" s="353">
        <v>22.686666666666667</v>
      </c>
      <c r="AA137" s="353">
        <v>22.649999999999995</v>
      </c>
      <c r="AB137" s="353">
        <v>22.356666666666666</v>
      </c>
      <c r="AC137" s="353">
        <v>21.550000000000004</v>
      </c>
      <c r="AD137" s="353">
        <v>20.286666666666672</v>
      </c>
      <c r="AE137" s="353">
        <v>19.260000000000005</v>
      </c>
      <c r="AF137" s="353">
        <v>18.623333333333335</v>
      </c>
      <c r="AG137" s="353">
        <v>18.25</v>
      </c>
      <c r="AH137" s="353">
        <v>17.683333333333334</v>
      </c>
      <c r="AI137" s="353">
        <v>17.043333333333329</v>
      </c>
      <c r="AJ137" s="353">
        <v>16.483333333333331</v>
      </c>
      <c r="AK137" s="354">
        <v>16.549999999999997</v>
      </c>
      <c r="AL137" s="352">
        <v>0</v>
      </c>
      <c r="AM137" s="353">
        <v>0</v>
      </c>
      <c r="AN137" s="353">
        <v>0</v>
      </c>
      <c r="AO137" s="353">
        <v>0</v>
      </c>
      <c r="AP137" s="353">
        <v>0</v>
      </c>
      <c r="AQ137" s="353">
        <v>2.6</v>
      </c>
      <c r="AR137" s="353">
        <v>71.36666666666666</v>
      </c>
      <c r="AS137" s="353">
        <v>200.03333333333333</v>
      </c>
      <c r="AT137" s="353">
        <v>330.2</v>
      </c>
      <c r="AU137" s="353">
        <v>448.3</v>
      </c>
      <c r="AV137" s="353">
        <v>524.83333333333337</v>
      </c>
      <c r="AW137" s="353">
        <v>552.5</v>
      </c>
      <c r="AX137" s="353">
        <v>549.66666666666663</v>
      </c>
      <c r="AY137" s="353">
        <v>489</v>
      </c>
      <c r="AZ137" s="353">
        <v>401.23333333333335</v>
      </c>
      <c r="BA137" s="353">
        <v>288.5</v>
      </c>
      <c r="BB137" s="353">
        <v>158.73333333333332</v>
      </c>
      <c r="BC137" s="353">
        <v>41.06666666666667</v>
      </c>
      <c r="BD137" s="353">
        <v>0</v>
      </c>
      <c r="BE137" s="353">
        <v>0</v>
      </c>
      <c r="BF137" s="353">
        <v>0</v>
      </c>
      <c r="BG137" s="353">
        <v>0</v>
      </c>
      <c r="BH137" s="353">
        <v>0</v>
      </c>
      <c r="BI137" s="354">
        <v>0</v>
      </c>
      <c r="BJ137" s="429"/>
    </row>
    <row r="138" spans="1:62" ht="15" x14ac:dyDescent="0.25">
      <c r="A138" s="347">
        <v>2008</v>
      </c>
      <c r="B138" s="348">
        <v>10</v>
      </c>
      <c r="C138" s="352">
        <v>11.589516129032246</v>
      </c>
      <c r="D138" s="354">
        <v>3.588709677419355</v>
      </c>
      <c r="E138" s="353">
        <v>156.08101246090584</v>
      </c>
      <c r="F138" s="353">
        <v>116.52258870277656</v>
      </c>
      <c r="G138" s="353">
        <v>68.008077282319206</v>
      </c>
      <c r="H138" s="353">
        <v>34.009213991699959</v>
      </c>
      <c r="I138" s="353">
        <v>29.87824166096739</v>
      </c>
      <c r="J138" s="353">
        <v>43.941116715321499</v>
      </c>
      <c r="K138" s="353">
        <v>92.025913345859706</v>
      </c>
      <c r="L138" s="353">
        <v>140.5093896297868</v>
      </c>
      <c r="M138" s="354">
        <v>121.68010752688173</v>
      </c>
      <c r="N138" s="352">
        <v>9.0516129032258057</v>
      </c>
      <c r="O138" s="353">
        <v>8.890322580645158</v>
      </c>
      <c r="P138" s="353">
        <v>8.4290322580645132</v>
      </c>
      <c r="Q138" s="353">
        <v>8.3419354838709658</v>
      </c>
      <c r="R138" s="353">
        <v>8.0129032258064488</v>
      </c>
      <c r="S138" s="353">
        <v>8.7096774193548345</v>
      </c>
      <c r="T138" s="353">
        <v>10.28064516129032</v>
      </c>
      <c r="U138" s="353">
        <v>11.90322580645161</v>
      </c>
      <c r="V138" s="353">
        <v>13.19032258064516</v>
      </c>
      <c r="W138" s="353">
        <v>14.193548387096772</v>
      </c>
      <c r="X138" s="353">
        <v>14.590322580645161</v>
      </c>
      <c r="Y138" s="353">
        <v>14.970967741935484</v>
      </c>
      <c r="Z138" s="353">
        <v>15.251612903225801</v>
      </c>
      <c r="AA138" s="353">
        <v>15.299999999999997</v>
      </c>
      <c r="AB138" s="353">
        <v>14.761290322580642</v>
      </c>
      <c r="AC138" s="353">
        <v>13.677419354838706</v>
      </c>
      <c r="AD138" s="353">
        <v>12.641935483870967</v>
      </c>
      <c r="AE138" s="353">
        <v>12.190322580645159</v>
      </c>
      <c r="AF138" s="353">
        <v>11.738709677419354</v>
      </c>
      <c r="AG138" s="353">
        <v>11.370967741935482</v>
      </c>
      <c r="AH138" s="353">
        <v>10.835483870967739</v>
      </c>
      <c r="AI138" s="353">
        <v>10.3258064516129</v>
      </c>
      <c r="AJ138" s="353">
        <v>10.038709677419352</v>
      </c>
      <c r="AK138" s="354">
        <v>9.4516129032258025</v>
      </c>
      <c r="AL138" s="352">
        <v>0</v>
      </c>
      <c r="AM138" s="353">
        <v>0</v>
      </c>
      <c r="AN138" s="353">
        <v>0</v>
      </c>
      <c r="AO138" s="353">
        <v>0</v>
      </c>
      <c r="AP138" s="353">
        <v>0</v>
      </c>
      <c r="AQ138" s="353">
        <v>0</v>
      </c>
      <c r="AR138" s="353">
        <v>21.870967741935484</v>
      </c>
      <c r="AS138" s="353">
        <v>129.32258064516128</v>
      </c>
      <c r="AT138" s="353">
        <v>257.06451612903226</v>
      </c>
      <c r="AU138" s="353">
        <v>359.41935483870969</v>
      </c>
      <c r="AV138" s="353">
        <v>421.16129032258067</v>
      </c>
      <c r="AW138" s="353">
        <v>436.58064516129031</v>
      </c>
      <c r="AX138" s="353">
        <v>422.06451612903226</v>
      </c>
      <c r="AY138" s="353">
        <v>368.41935483870969</v>
      </c>
      <c r="AZ138" s="353">
        <v>275.32258064516128</v>
      </c>
      <c r="BA138" s="353">
        <v>171.41935483870967</v>
      </c>
      <c r="BB138" s="353">
        <v>57.161290322580648</v>
      </c>
      <c r="BC138" s="353">
        <v>0.5161290322580645</v>
      </c>
      <c r="BD138" s="353">
        <v>0</v>
      </c>
      <c r="BE138" s="353">
        <v>0</v>
      </c>
      <c r="BF138" s="353">
        <v>0</v>
      </c>
      <c r="BG138" s="353">
        <v>0</v>
      </c>
      <c r="BH138" s="353">
        <v>0</v>
      </c>
      <c r="BI138" s="354">
        <v>0</v>
      </c>
      <c r="BJ138" s="429"/>
    </row>
    <row r="139" spans="1:62" ht="15" x14ac:dyDescent="0.25">
      <c r="A139" s="347">
        <v>2008</v>
      </c>
      <c r="B139" s="348">
        <v>11</v>
      </c>
      <c r="C139" s="352">
        <v>4.1061111111110478</v>
      </c>
      <c r="D139" s="354">
        <v>4.1736111111111107</v>
      </c>
      <c r="E139" s="353">
        <v>136.66247337015687</v>
      </c>
      <c r="F139" s="353">
        <v>93.889722419408059</v>
      </c>
      <c r="G139" s="353">
        <v>44.737869507018743</v>
      </c>
      <c r="H139" s="353">
        <v>22.20429737788433</v>
      </c>
      <c r="I139" s="353">
        <v>21.315920697438511</v>
      </c>
      <c r="J139" s="353">
        <v>25.427318408491015</v>
      </c>
      <c r="K139" s="353">
        <v>63.366913850524924</v>
      </c>
      <c r="L139" s="353">
        <v>117.1406535054128</v>
      </c>
      <c r="M139" s="354">
        <v>80.452777777777783</v>
      </c>
      <c r="N139" s="352">
        <v>2.7633333333333341</v>
      </c>
      <c r="O139" s="353">
        <v>2.5366666666666666</v>
      </c>
      <c r="P139" s="353">
        <v>2.3199999999999998</v>
      </c>
      <c r="Q139" s="353">
        <v>1.9200000000000004</v>
      </c>
      <c r="R139" s="353">
        <v>1.6433333333333331</v>
      </c>
      <c r="S139" s="353">
        <v>1.763333333333333</v>
      </c>
      <c r="T139" s="353">
        <v>2.4466666666666668</v>
      </c>
      <c r="U139" s="353">
        <v>3.7699999999999991</v>
      </c>
      <c r="V139" s="353">
        <v>4.8166666666666638</v>
      </c>
      <c r="W139" s="353">
        <v>5.7399999999999975</v>
      </c>
      <c r="X139" s="353">
        <v>6.4899999999999967</v>
      </c>
      <c r="Y139" s="353">
        <v>6.8066666666666613</v>
      </c>
      <c r="Z139" s="353">
        <v>6.9566666666666626</v>
      </c>
      <c r="AA139" s="353">
        <v>6.8466666666666613</v>
      </c>
      <c r="AB139" s="353">
        <v>6.2999999999999963</v>
      </c>
      <c r="AC139" s="353">
        <v>5.3266666666666636</v>
      </c>
      <c r="AD139" s="353">
        <v>4.9333333333333291</v>
      </c>
      <c r="AE139" s="353">
        <v>4.4933333333333332</v>
      </c>
      <c r="AF139" s="353">
        <v>4.1400000000000006</v>
      </c>
      <c r="AG139" s="353">
        <v>3.9066666666666672</v>
      </c>
      <c r="AH139" s="353">
        <v>3.5233333333333343</v>
      </c>
      <c r="AI139" s="353">
        <v>3.1566666666666672</v>
      </c>
      <c r="AJ139" s="353">
        <v>2.9366666666666674</v>
      </c>
      <c r="AK139" s="354">
        <v>3.0100000000000002</v>
      </c>
      <c r="AL139" s="352">
        <v>0</v>
      </c>
      <c r="AM139" s="353">
        <v>0</v>
      </c>
      <c r="AN139" s="353">
        <v>0</v>
      </c>
      <c r="AO139" s="353">
        <v>0</v>
      </c>
      <c r="AP139" s="353">
        <v>0</v>
      </c>
      <c r="AQ139" s="353">
        <v>0</v>
      </c>
      <c r="AR139" s="353">
        <v>0.46666666666666667</v>
      </c>
      <c r="AS139" s="353">
        <v>47.533333333333331</v>
      </c>
      <c r="AT139" s="353">
        <v>152.9</v>
      </c>
      <c r="AU139" s="353">
        <v>243.96666666666667</v>
      </c>
      <c r="AV139" s="353">
        <v>307.39999999999998</v>
      </c>
      <c r="AW139" s="353">
        <v>334.5</v>
      </c>
      <c r="AX139" s="353">
        <v>319.26666666666665</v>
      </c>
      <c r="AY139" s="353">
        <v>266.89999999999998</v>
      </c>
      <c r="AZ139" s="353">
        <v>174.73333333333332</v>
      </c>
      <c r="BA139" s="353">
        <v>78.2</v>
      </c>
      <c r="BB139" s="353">
        <v>5</v>
      </c>
      <c r="BC139" s="353">
        <v>0</v>
      </c>
      <c r="BD139" s="353">
        <v>0</v>
      </c>
      <c r="BE139" s="353">
        <v>0</v>
      </c>
      <c r="BF139" s="353">
        <v>0</v>
      </c>
      <c r="BG139" s="353">
        <v>0</v>
      </c>
      <c r="BH139" s="353">
        <v>0</v>
      </c>
      <c r="BI139" s="354">
        <v>0</v>
      </c>
      <c r="BJ139" s="429"/>
    </row>
    <row r="140" spans="1:62" ht="15" x14ac:dyDescent="0.25">
      <c r="A140" s="373">
        <v>2008</v>
      </c>
      <c r="B140" s="374">
        <v>12</v>
      </c>
      <c r="C140" s="355">
        <v>-4.8657718120805695</v>
      </c>
      <c r="D140" s="357">
        <v>5.0040268456375836</v>
      </c>
      <c r="E140" s="356">
        <v>122.45566710295158</v>
      </c>
      <c r="F140" s="356">
        <v>82.096524983405857</v>
      </c>
      <c r="G140" s="356">
        <v>33.95960736029383</v>
      </c>
      <c r="H140" s="356">
        <v>16.56994297485323</v>
      </c>
      <c r="I140" s="356">
        <v>16.336257866435783</v>
      </c>
      <c r="J140" s="356">
        <v>18.210087202921848</v>
      </c>
      <c r="K140" s="356">
        <v>49.714707841251922</v>
      </c>
      <c r="L140" s="356">
        <v>102.84951539504647</v>
      </c>
      <c r="M140" s="357">
        <v>62.593288590604026</v>
      </c>
      <c r="N140" s="355">
        <v>-5.6451612903225827</v>
      </c>
      <c r="O140" s="356">
        <v>-5.9548387096774213</v>
      </c>
      <c r="P140" s="356">
        <v>-6.2096774193548407</v>
      </c>
      <c r="Q140" s="356">
        <v>-6.3709677419354858</v>
      </c>
      <c r="R140" s="356">
        <v>-6.5387096774193569</v>
      </c>
      <c r="S140" s="356">
        <v>-6.716129032258066</v>
      </c>
      <c r="T140" s="356">
        <v>-6.4935483870967774</v>
      </c>
      <c r="U140" s="356">
        <v>-5.8903225806451625</v>
      </c>
      <c r="V140" s="356">
        <v>-5.1193548387096808</v>
      </c>
      <c r="W140" s="356">
        <v>-4.3677419354838722</v>
      </c>
      <c r="X140" s="356">
        <v>-3.8129032258064508</v>
      </c>
      <c r="Y140" s="356">
        <v>-3.325806451612904</v>
      </c>
      <c r="Z140" s="356">
        <v>-3.2774193548387105</v>
      </c>
      <c r="AA140" s="356">
        <v>-3.3290322580645162</v>
      </c>
      <c r="AB140" s="356">
        <v>-3.5612903225806458</v>
      </c>
      <c r="AC140" s="356">
        <v>-4.0806451612903221</v>
      </c>
      <c r="AD140" s="356">
        <v>-4.1387096774193548</v>
      </c>
      <c r="AE140" s="356">
        <v>-4.1387096774193548</v>
      </c>
      <c r="AF140" s="356">
        <v>-4.2516129032258076</v>
      </c>
      <c r="AG140" s="356">
        <v>-4.2774193548387105</v>
      </c>
      <c r="AH140" s="356">
        <v>-4.2838709677419358</v>
      </c>
      <c r="AI140" s="356">
        <v>-4.5258064516129046</v>
      </c>
      <c r="AJ140" s="356">
        <v>-5.1161290322580664</v>
      </c>
      <c r="AK140" s="357">
        <v>-5.3375000000000012</v>
      </c>
      <c r="AL140" s="355">
        <v>0</v>
      </c>
      <c r="AM140" s="356">
        <v>0</v>
      </c>
      <c r="AN140" s="356">
        <v>0</v>
      </c>
      <c r="AO140" s="356">
        <v>0</v>
      </c>
      <c r="AP140" s="356">
        <v>0</v>
      </c>
      <c r="AQ140" s="356">
        <v>0</v>
      </c>
      <c r="AR140" s="356">
        <v>0</v>
      </c>
      <c r="AS140" s="356">
        <v>11.870967741935484</v>
      </c>
      <c r="AT140" s="356">
        <v>88.645161290322577</v>
      </c>
      <c r="AU140" s="356">
        <v>180.03225806451613</v>
      </c>
      <c r="AV140" s="356">
        <v>247.74193548387098</v>
      </c>
      <c r="AW140" s="356">
        <v>281.54838709677421</v>
      </c>
      <c r="AX140" s="356">
        <v>267.51612903225805</v>
      </c>
      <c r="AY140" s="356">
        <v>225.35483870967741</v>
      </c>
      <c r="AZ140" s="356">
        <v>144.09677419354838</v>
      </c>
      <c r="BA140" s="356">
        <v>57.12903225806452</v>
      </c>
      <c r="BB140" s="356">
        <v>0.32258064516129031</v>
      </c>
      <c r="BC140" s="356">
        <v>0</v>
      </c>
      <c r="BD140" s="356">
        <v>0</v>
      </c>
      <c r="BE140" s="356">
        <v>0</v>
      </c>
      <c r="BF140" s="356">
        <v>0</v>
      </c>
      <c r="BG140" s="356">
        <v>0</v>
      </c>
      <c r="BH140" s="356">
        <v>0</v>
      </c>
      <c r="BI140" s="357">
        <v>0</v>
      </c>
      <c r="BJ140" s="429"/>
    </row>
    <row r="141" spans="1:62" ht="15" x14ac:dyDescent="0.25">
      <c r="A141" s="358">
        <v>2009</v>
      </c>
      <c r="B141" s="359">
        <v>1</v>
      </c>
      <c r="C141" s="360">
        <v>-8.5460296096904713</v>
      </c>
      <c r="D141" s="362">
        <v>3.9878869448183041</v>
      </c>
      <c r="E141" s="361">
        <v>140.16984188412513</v>
      </c>
      <c r="F141" s="361">
        <v>92.977318258893789</v>
      </c>
      <c r="G141" s="361">
        <v>41.38494935426305</v>
      </c>
      <c r="H141" s="361">
        <v>22.397009759950691</v>
      </c>
      <c r="I141" s="361">
        <v>21.995902310099162</v>
      </c>
      <c r="J141" s="361">
        <v>25.692567934888743</v>
      </c>
      <c r="K141" s="361">
        <v>64.436504098854584</v>
      </c>
      <c r="L141" s="361">
        <v>122.44221540616657</v>
      </c>
      <c r="M141" s="362">
        <v>80.45222072678331</v>
      </c>
      <c r="N141" s="360">
        <v>-9.732258064516131</v>
      </c>
      <c r="O141" s="361">
        <v>-9.9193548387096779</v>
      </c>
      <c r="P141" s="361">
        <v>-10.067741935483872</v>
      </c>
      <c r="Q141" s="361">
        <v>-10.151612903225809</v>
      </c>
      <c r="R141" s="361">
        <v>-10.212903225806452</v>
      </c>
      <c r="S141" s="361">
        <v>-10.116129032258065</v>
      </c>
      <c r="T141" s="361">
        <v>-9.8967741935483868</v>
      </c>
      <c r="U141" s="361">
        <v>-9.3870967741935516</v>
      </c>
      <c r="V141" s="361">
        <v>-8.554838709677421</v>
      </c>
      <c r="W141" s="361">
        <v>-7.593548387096777</v>
      </c>
      <c r="X141" s="361">
        <v>-6.8870967741935507</v>
      </c>
      <c r="Y141" s="361">
        <v>-6.4419354838709708</v>
      </c>
      <c r="Z141" s="361">
        <v>-6.1774193548387126</v>
      </c>
      <c r="AA141" s="361">
        <v>-6.0870967741935509</v>
      </c>
      <c r="AB141" s="361">
        <v>-6.3322580645161315</v>
      </c>
      <c r="AC141" s="361">
        <v>-6.9419354838709708</v>
      </c>
      <c r="AD141" s="361">
        <v>-7.6161290322580681</v>
      </c>
      <c r="AE141" s="361">
        <v>-8.1129032258064555</v>
      </c>
      <c r="AF141" s="361">
        <v>-8.3806451612903246</v>
      </c>
      <c r="AG141" s="361">
        <v>-8.8096774193548395</v>
      </c>
      <c r="AH141" s="361">
        <v>-9.1000000000000014</v>
      </c>
      <c r="AI141" s="361">
        <v>-9.2580645161290338</v>
      </c>
      <c r="AJ141" s="361">
        <v>-9.4580645161290331</v>
      </c>
      <c r="AK141" s="362">
        <v>-9.913333333333334</v>
      </c>
      <c r="AL141" s="360">
        <v>0</v>
      </c>
      <c r="AM141" s="361">
        <v>0</v>
      </c>
      <c r="AN141" s="361">
        <v>0</v>
      </c>
      <c r="AO141" s="361">
        <v>0</v>
      </c>
      <c r="AP141" s="361">
        <v>0</v>
      </c>
      <c r="AQ141" s="361">
        <v>0</v>
      </c>
      <c r="AR141" s="361">
        <v>0</v>
      </c>
      <c r="AS141" s="361">
        <v>11</v>
      </c>
      <c r="AT141" s="361">
        <v>90.903225806451616</v>
      </c>
      <c r="AU141" s="361">
        <v>193.19354838709677</v>
      </c>
      <c r="AV141" s="361">
        <v>281.09677419354841</v>
      </c>
      <c r="AW141" s="361">
        <v>343.35483870967744</v>
      </c>
      <c r="AX141" s="361">
        <v>351.29032258064518</v>
      </c>
      <c r="AY141" s="361">
        <v>310.61290322580646</v>
      </c>
      <c r="AZ141" s="361">
        <v>214.90322580645162</v>
      </c>
      <c r="BA141" s="361">
        <v>110.38709677419355</v>
      </c>
      <c r="BB141" s="361">
        <v>21.516129032258064</v>
      </c>
      <c r="BC141" s="361">
        <v>0</v>
      </c>
      <c r="BD141" s="361">
        <v>0</v>
      </c>
      <c r="BE141" s="361">
        <v>0</v>
      </c>
      <c r="BF141" s="361">
        <v>0</v>
      </c>
      <c r="BG141" s="361">
        <v>0</v>
      </c>
      <c r="BH141" s="361">
        <v>0</v>
      </c>
      <c r="BI141" s="362">
        <v>0</v>
      </c>
      <c r="BJ141" s="429"/>
    </row>
    <row r="142" spans="1:62" ht="15" x14ac:dyDescent="0.25">
      <c r="A142" s="363">
        <v>2009</v>
      </c>
      <c r="B142" s="364">
        <v>2</v>
      </c>
      <c r="C142" s="365">
        <v>-1.8433035714285644</v>
      </c>
      <c r="D142" s="367">
        <v>4.6086309523809526</v>
      </c>
      <c r="E142" s="366">
        <v>163.26245274098673</v>
      </c>
      <c r="F142" s="366">
        <v>117.05474677569261</v>
      </c>
      <c r="G142" s="366">
        <v>62.779304251683101</v>
      </c>
      <c r="H142" s="366">
        <v>32.028545190421156</v>
      </c>
      <c r="I142" s="366">
        <v>29.358866208881945</v>
      </c>
      <c r="J142" s="366">
        <v>37.779154910825866</v>
      </c>
      <c r="K142" s="366">
        <v>84.864426431760094</v>
      </c>
      <c r="L142" s="366">
        <v>142.6676861481057</v>
      </c>
      <c r="M142" s="367">
        <v>116.79017857142857</v>
      </c>
      <c r="N142" s="365">
        <v>-3.3321428571428564</v>
      </c>
      <c r="O142" s="366">
        <v>-3.6714285714285708</v>
      </c>
      <c r="P142" s="366">
        <v>-4.1285714285714281</v>
      </c>
      <c r="Q142" s="366">
        <v>-4.4249999999999989</v>
      </c>
      <c r="R142" s="366">
        <v>-4.5071428571428571</v>
      </c>
      <c r="S142" s="366">
        <v>-4.5499999999999989</v>
      </c>
      <c r="T142" s="366">
        <v>-3.9</v>
      </c>
      <c r="U142" s="366">
        <v>-2.6857142857142846</v>
      </c>
      <c r="V142" s="366">
        <v>-1.4607142857142856</v>
      </c>
      <c r="W142" s="366">
        <v>-0.61071428571428577</v>
      </c>
      <c r="X142" s="366">
        <v>6.0714285714285721E-2</v>
      </c>
      <c r="Y142" s="366">
        <v>0.64642857142857124</v>
      </c>
      <c r="Z142" s="366">
        <v>1.1750000000000007</v>
      </c>
      <c r="AA142" s="366">
        <v>1.2250000000000003</v>
      </c>
      <c r="AB142" s="366">
        <v>1.114285714285715</v>
      </c>
      <c r="AC142" s="366">
        <v>0.51071428571428557</v>
      </c>
      <c r="AD142" s="366">
        <v>-0.31785714285714317</v>
      </c>
      <c r="AE142" s="366">
        <v>-1.0321428571428577</v>
      </c>
      <c r="AF142" s="366">
        <v>-1.4392857142857149</v>
      </c>
      <c r="AG142" s="366">
        <v>-1.8214285714285716</v>
      </c>
      <c r="AH142" s="366">
        <v>-2.4714285714285711</v>
      </c>
      <c r="AI142" s="366">
        <v>-2.5571428571428569</v>
      </c>
      <c r="AJ142" s="366">
        <v>-2.8821428571428558</v>
      </c>
      <c r="AK142" s="367">
        <v>-3.1785714285714275</v>
      </c>
      <c r="AL142" s="365">
        <v>0</v>
      </c>
      <c r="AM142" s="366">
        <v>0</v>
      </c>
      <c r="AN142" s="366">
        <v>0</v>
      </c>
      <c r="AO142" s="366">
        <v>0</v>
      </c>
      <c r="AP142" s="366">
        <v>0</v>
      </c>
      <c r="AQ142" s="366">
        <v>0</v>
      </c>
      <c r="AR142" s="366">
        <v>0.17857142857142858</v>
      </c>
      <c r="AS142" s="366">
        <v>46.25</v>
      </c>
      <c r="AT142" s="366">
        <v>164.32142857142858</v>
      </c>
      <c r="AU142" s="366">
        <v>291.64285714285717</v>
      </c>
      <c r="AV142" s="366">
        <v>392</v>
      </c>
      <c r="AW142" s="366">
        <v>438.85714285714283</v>
      </c>
      <c r="AX142" s="366">
        <v>458.14285714285717</v>
      </c>
      <c r="AY142" s="366">
        <v>424.60714285714283</v>
      </c>
      <c r="AZ142" s="366">
        <v>321.57142857142856</v>
      </c>
      <c r="BA142" s="366">
        <v>188.5</v>
      </c>
      <c r="BB142" s="366">
        <v>73.071428571428569</v>
      </c>
      <c r="BC142" s="366">
        <v>3.8214285714285716</v>
      </c>
      <c r="BD142" s="366">
        <v>0</v>
      </c>
      <c r="BE142" s="366">
        <v>0</v>
      </c>
      <c r="BF142" s="366">
        <v>0</v>
      </c>
      <c r="BG142" s="366">
        <v>0</v>
      </c>
      <c r="BH142" s="366">
        <v>0</v>
      </c>
      <c r="BI142" s="367">
        <v>0</v>
      </c>
      <c r="BJ142" s="429"/>
    </row>
    <row r="143" spans="1:62" ht="15" x14ac:dyDescent="0.25">
      <c r="A143" s="363">
        <v>2009</v>
      </c>
      <c r="B143" s="364">
        <v>3</v>
      </c>
      <c r="C143" s="365">
        <v>4.2661290322580401</v>
      </c>
      <c r="D143" s="367">
        <v>4.311827956989247</v>
      </c>
      <c r="E143" s="366">
        <v>156.02707791401579</v>
      </c>
      <c r="F143" s="366">
        <v>123.40778685827964</v>
      </c>
      <c r="G143" s="366">
        <v>81.25207963649467</v>
      </c>
      <c r="H143" s="366">
        <v>45.100205537665218</v>
      </c>
      <c r="I143" s="366">
        <v>36.425032488549775</v>
      </c>
      <c r="J143" s="366">
        <v>58.47347751463208</v>
      </c>
      <c r="K143" s="366">
        <v>109.49651901162957</v>
      </c>
      <c r="L143" s="366">
        <v>149.84835461349465</v>
      </c>
      <c r="M143" s="367">
        <v>154.58198924731184</v>
      </c>
      <c r="N143" s="365">
        <v>1.9709677419354841</v>
      </c>
      <c r="O143" s="366">
        <v>1.5935483870967742</v>
      </c>
      <c r="P143" s="366">
        <v>1.4870967741935486</v>
      </c>
      <c r="Q143" s="366">
        <v>1.3354838709677421</v>
      </c>
      <c r="R143" s="366">
        <v>0.9096774193548387</v>
      </c>
      <c r="S143" s="366">
        <v>1.551612903225807</v>
      </c>
      <c r="T143" s="366">
        <v>2.5612903225806458</v>
      </c>
      <c r="U143" s="366">
        <v>3.7967741935483876</v>
      </c>
      <c r="V143" s="366">
        <v>5.0258064516129028</v>
      </c>
      <c r="W143" s="366">
        <v>6.2258064516129012</v>
      </c>
      <c r="X143" s="366">
        <v>7.1612903225806432</v>
      </c>
      <c r="Y143" s="366">
        <v>7.5935483870967717</v>
      </c>
      <c r="Z143" s="366">
        <v>8.0387096774193516</v>
      </c>
      <c r="AA143" s="366">
        <v>8.2419354838709662</v>
      </c>
      <c r="AB143" s="366">
        <v>8.0419354838709651</v>
      </c>
      <c r="AC143" s="366">
        <v>7.1258064516129025</v>
      </c>
      <c r="AD143" s="366">
        <v>5.9548387096774169</v>
      </c>
      <c r="AE143" s="366">
        <v>4.9258064516129014</v>
      </c>
      <c r="AF143" s="366">
        <v>4.2354838709677427</v>
      </c>
      <c r="AG143" s="366">
        <v>3.6741935483870969</v>
      </c>
      <c r="AH143" s="366">
        <v>3.2870967741935488</v>
      </c>
      <c r="AI143" s="366">
        <v>2.9870967741935486</v>
      </c>
      <c r="AJ143" s="366">
        <v>2.5290322580645164</v>
      </c>
      <c r="AK143" s="367">
        <v>2.1322580645161286</v>
      </c>
      <c r="AL143" s="365">
        <v>0</v>
      </c>
      <c r="AM143" s="366">
        <v>0</v>
      </c>
      <c r="AN143" s="366">
        <v>0</v>
      </c>
      <c r="AO143" s="366">
        <v>0</v>
      </c>
      <c r="AP143" s="366">
        <v>0</v>
      </c>
      <c r="AQ143" s="366">
        <v>0</v>
      </c>
      <c r="AR143" s="366">
        <v>26.967741935483872</v>
      </c>
      <c r="AS143" s="366">
        <v>135.7741935483871</v>
      </c>
      <c r="AT143" s="366">
        <v>267.67741935483872</v>
      </c>
      <c r="AU143" s="366">
        <v>393.06451612903226</v>
      </c>
      <c r="AV143" s="366">
        <v>489.32258064516128</v>
      </c>
      <c r="AW143" s="366">
        <v>535.32258064516134</v>
      </c>
      <c r="AX143" s="366">
        <v>538.12903225806451</v>
      </c>
      <c r="AY143" s="366">
        <v>488.58064516129031</v>
      </c>
      <c r="AZ143" s="366">
        <v>385.41935483870969</v>
      </c>
      <c r="BA143" s="366">
        <v>267.61290322580646</v>
      </c>
      <c r="BB143" s="366">
        <v>144.67741935483872</v>
      </c>
      <c r="BC143" s="366">
        <v>37.41935483870968</v>
      </c>
      <c r="BD143" s="366">
        <v>0</v>
      </c>
      <c r="BE143" s="366">
        <v>0</v>
      </c>
      <c r="BF143" s="366">
        <v>0</v>
      </c>
      <c r="BG143" s="366">
        <v>0</v>
      </c>
      <c r="BH143" s="366">
        <v>0</v>
      </c>
      <c r="BI143" s="367">
        <v>0</v>
      </c>
      <c r="BJ143" s="429"/>
    </row>
    <row r="144" spans="1:62" ht="15" x14ac:dyDescent="0.25">
      <c r="A144" s="363">
        <v>2009</v>
      </c>
      <c r="B144" s="364">
        <v>4</v>
      </c>
      <c r="C144" s="365">
        <v>8.6833333333332909</v>
      </c>
      <c r="D144" s="367">
        <v>4.6319444444444446</v>
      </c>
      <c r="E144" s="366">
        <v>133.43368451089529</v>
      </c>
      <c r="F144" s="366">
        <v>125.34658870307761</v>
      </c>
      <c r="G144" s="366">
        <v>103.77864091884902</v>
      </c>
      <c r="H144" s="366">
        <v>68.307612430588563</v>
      </c>
      <c r="I144" s="366">
        <v>51.281046508089922</v>
      </c>
      <c r="J144" s="366">
        <v>82.081205674829974</v>
      </c>
      <c r="K144" s="366">
        <v>124.82362986100676</v>
      </c>
      <c r="L144" s="366">
        <v>140.99770410722755</v>
      </c>
      <c r="M144" s="367">
        <v>186.7236111111111</v>
      </c>
      <c r="N144" s="365">
        <v>6.1533333333333333</v>
      </c>
      <c r="O144" s="366">
        <v>5.6866666666666674</v>
      </c>
      <c r="P144" s="366">
        <v>5.4699999999999989</v>
      </c>
      <c r="Q144" s="366">
        <v>4.9999999999999991</v>
      </c>
      <c r="R144" s="366">
        <v>5.1366666666666658</v>
      </c>
      <c r="S144" s="366">
        <v>6.5699999999999985</v>
      </c>
      <c r="T144" s="366">
        <v>7.6866666666666648</v>
      </c>
      <c r="U144" s="366">
        <v>8.9233333333333338</v>
      </c>
      <c r="V144" s="366">
        <v>9.9766666666666666</v>
      </c>
      <c r="W144" s="366">
        <v>10.849999999999998</v>
      </c>
      <c r="X144" s="366">
        <v>11.489999999999998</v>
      </c>
      <c r="Y144" s="366">
        <v>11.979999999999999</v>
      </c>
      <c r="Z144" s="366">
        <v>12.386666666666665</v>
      </c>
      <c r="AA144" s="366">
        <v>12.233333333333331</v>
      </c>
      <c r="AB144" s="366">
        <v>11.929999999999998</v>
      </c>
      <c r="AC144" s="366">
        <v>11.43</v>
      </c>
      <c r="AD144" s="366">
        <v>10.433333333333332</v>
      </c>
      <c r="AE144" s="366">
        <v>9.4833333333333307</v>
      </c>
      <c r="AF144" s="366">
        <v>8.7466666666666644</v>
      </c>
      <c r="AG144" s="366">
        <v>8.2533333333333303</v>
      </c>
      <c r="AH144" s="366">
        <v>7.8133333333333308</v>
      </c>
      <c r="AI144" s="366">
        <v>7.4399999999999968</v>
      </c>
      <c r="AJ144" s="366">
        <v>7.0199999999999978</v>
      </c>
      <c r="AK144" s="367">
        <v>6.3066666666666666</v>
      </c>
      <c r="AL144" s="365">
        <v>0</v>
      </c>
      <c r="AM144" s="366">
        <v>0</v>
      </c>
      <c r="AN144" s="366">
        <v>0</v>
      </c>
      <c r="AO144" s="366">
        <v>0</v>
      </c>
      <c r="AP144" s="366">
        <v>0</v>
      </c>
      <c r="AQ144" s="366">
        <v>13.833333333333334</v>
      </c>
      <c r="AR144" s="366">
        <v>106.5</v>
      </c>
      <c r="AS144" s="366">
        <v>244.83333333333334</v>
      </c>
      <c r="AT144" s="366">
        <v>376.16666666666669</v>
      </c>
      <c r="AU144" s="366">
        <v>486.26666666666665</v>
      </c>
      <c r="AV144" s="366">
        <v>555</v>
      </c>
      <c r="AW144" s="366">
        <v>574.76666666666665</v>
      </c>
      <c r="AX144" s="366">
        <v>568.79999999999995</v>
      </c>
      <c r="AY144" s="366">
        <v>528.66666666666663</v>
      </c>
      <c r="AZ144" s="366">
        <v>425.93333333333334</v>
      </c>
      <c r="BA144" s="366">
        <v>315</v>
      </c>
      <c r="BB144" s="366">
        <v>195.36666666666667</v>
      </c>
      <c r="BC144" s="366">
        <v>83.166666666666671</v>
      </c>
      <c r="BD144" s="366">
        <v>7.0666666666666664</v>
      </c>
      <c r="BE144" s="366">
        <v>0</v>
      </c>
      <c r="BF144" s="366">
        <v>0</v>
      </c>
      <c r="BG144" s="366">
        <v>0</v>
      </c>
      <c r="BH144" s="366">
        <v>0</v>
      </c>
      <c r="BI144" s="367">
        <v>0</v>
      </c>
      <c r="BJ144" s="429"/>
    </row>
    <row r="145" spans="1:62" ht="15" x14ac:dyDescent="0.25">
      <c r="A145" s="363">
        <v>2009</v>
      </c>
      <c r="B145" s="364">
        <v>5</v>
      </c>
      <c r="C145" s="365">
        <v>15.431182795698994</v>
      </c>
      <c r="D145" s="367">
        <v>3.693548387096774</v>
      </c>
      <c r="E145" s="366">
        <v>124.58906073867539</v>
      </c>
      <c r="F145" s="366">
        <v>129.18055290968857</v>
      </c>
      <c r="G145" s="366">
        <v>121.79309880174152</v>
      </c>
      <c r="H145" s="366">
        <v>90.372537615018786</v>
      </c>
      <c r="I145" s="366">
        <v>71.995898879498114</v>
      </c>
      <c r="J145" s="366">
        <v>126.71167164754803</v>
      </c>
      <c r="K145" s="366">
        <v>170.29527542503578</v>
      </c>
      <c r="L145" s="366">
        <v>161.13734893134583</v>
      </c>
      <c r="M145" s="367">
        <v>246.55913978494624</v>
      </c>
      <c r="N145" s="365">
        <v>11.883870967741933</v>
      </c>
      <c r="O145" s="366">
        <v>11.332258064516125</v>
      </c>
      <c r="P145" s="366">
        <v>11.19354838709677</v>
      </c>
      <c r="Q145" s="366">
        <v>11.022580645161288</v>
      </c>
      <c r="R145" s="366">
        <v>12.009677419354837</v>
      </c>
      <c r="S145" s="366">
        <v>13.548387096774194</v>
      </c>
      <c r="T145" s="366">
        <v>15.270967741935483</v>
      </c>
      <c r="U145" s="366">
        <v>16.70967741935484</v>
      </c>
      <c r="V145" s="366">
        <v>17.735483870967741</v>
      </c>
      <c r="W145" s="366">
        <v>18.477419354838709</v>
      </c>
      <c r="X145" s="366">
        <v>19.135483870967743</v>
      </c>
      <c r="Y145" s="366">
        <v>19.687096774193552</v>
      </c>
      <c r="Z145" s="366">
        <v>19.829032258064522</v>
      </c>
      <c r="AA145" s="366">
        <v>19.8</v>
      </c>
      <c r="AB145" s="366">
        <v>19.429032258064517</v>
      </c>
      <c r="AC145" s="366">
        <v>18.529032258064507</v>
      </c>
      <c r="AD145" s="366">
        <v>17.616129032258065</v>
      </c>
      <c r="AE145" s="366">
        <v>16.203225806451609</v>
      </c>
      <c r="AF145" s="366">
        <v>14.883870967741935</v>
      </c>
      <c r="AG145" s="366">
        <v>14.180645161290322</v>
      </c>
      <c r="AH145" s="366">
        <v>13.764516129032254</v>
      </c>
      <c r="AI145" s="366">
        <v>13.174193548387095</v>
      </c>
      <c r="AJ145" s="366">
        <v>12.648387096774188</v>
      </c>
      <c r="AK145" s="367">
        <v>12.283870967741935</v>
      </c>
      <c r="AL145" s="365">
        <v>0</v>
      </c>
      <c r="AM145" s="366">
        <v>0</v>
      </c>
      <c r="AN145" s="366">
        <v>0</v>
      </c>
      <c r="AO145" s="366">
        <v>0</v>
      </c>
      <c r="AP145" s="366">
        <v>2.4516129032258065</v>
      </c>
      <c r="AQ145" s="366">
        <v>63.161290322580648</v>
      </c>
      <c r="AR145" s="366">
        <v>176.35483870967741</v>
      </c>
      <c r="AS145" s="366">
        <v>310.41935483870969</v>
      </c>
      <c r="AT145" s="366">
        <v>441.12903225806451</v>
      </c>
      <c r="AU145" s="366">
        <v>553.22580645161293</v>
      </c>
      <c r="AV145" s="366">
        <v>646.70967741935488</v>
      </c>
      <c r="AW145" s="366">
        <v>713</v>
      </c>
      <c r="AX145" s="366">
        <v>717.83870967741939</v>
      </c>
      <c r="AY145" s="366">
        <v>669.80645161290317</v>
      </c>
      <c r="AZ145" s="366">
        <v>590.67741935483866</v>
      </c>
      <c r="BA145" s="366">
        <v>474.87096774193549</v>
      </c>
      <c r="BB145" s="366">
        <v>333.35483870967744</v>
      </c>
      <c r="BC145" s="366">
        <v>177.58064516129033</v>
      </c>
      <c r="BD145" s="366">
        <v>46.838709677419352</v>
      </c>
      <c r="BE145" s="366">
        <v>0</v>
      </c>
      <c r="BF145" s="366">
        <v>0</v>
      </c>
      <c r="BG145" s="366">
        <v>0</v>
      </c>
      <c r="BH145" s="366">
        <v>0</v>
      </c>
      <c r="BI145" s="367">
        <v>0</v>
      </c>
      <c r="BJ145" s="429"/>
    </row>
    <row r="146" spans="1:62" ht="15" x14ac:dyDescent="0.25">
      <c r="A146" s="363">
        <v>2009</v>
      </c>
      <c r="B146" s="364">
        <v>6</v>
      </c>
      <c r="C146" s="365">
        <v>19.90611111111124</v>
      </c>
      <c r="D146" s="367">
        <v>3.1625000000000001</v>
      </c>
      <c r="E146" s="366">
        <v>120.54247858021273</v>
      </c>
      <c r="F146" s="366">
        <v>134.86646361621183</v>
      </c>
      <c r="G146" s="366">
        <v>135.68151954838299</v>
      </c>
      <c r="H146" s="366">
        <v>106.92547003001771</v>
      </c>
      <c r="I146" s="366">
        <v>87.53388803707432</v>
      </c>
      <c r="J146" s="366">
        <v>140.54382248549683</v>
      </c>
      <c r="K146" s="366">
        <v>175.6675715393323</v>
      </c>
      <c r="L146" s="366">
        <v>157.68758745263145</v>
      </c>
      <c r="M146" s="367">
        <v>265.00416666666666</v>
      </c>
      <c r="N146" s="365">
        <v>16.829999999999998</v>
      </c>
      <c r="O146" s="366">
        <v>16.556666666666665</v>
      </c>
      <c r="P146" s="366">
        <v>16.276666666666664</v>
      </c>
      <c r="Q146" s="366">
        <v>16.323333333333334</v>
      </c>
      <c r="R146" s="366">
        <v>17.20333333333333</v>
      </c>
      <c r="S146" s="366">
        <v>18.29</v>
      </c>
      <c r="T146" s="366">
        <v>19.306666666666672</v>
      </c>
      <c r="U146" s="366">
        <v>20.620000000000008</v>
      </c>
      <c r="V146" s="366">
        <v>21.703333333333333</v>
      </c>
      <c r="W146" s="366">
        <v>22.543333333333337</v>
      </c>
      <c r="X146" s="366">
        <v>23.08</v>
      </c>
      <c r="Y146" s="366">
        <v>23.416666666666671</v>
      </c>
      <c r="Z146" s="366">
        <v>23.603333333333335</v>
      </c>
      <c r="AA146" s="366">
        <v>23.850000000000005</v>
      </c>
      <c r="AB146" s="366">
        <v>23.373333333333338</v>
      </c>
      <c r="AC146" s="366">
        <v>22.81333333333334</v>
      </c>
      <c r="AD146" s="366">
        <v>22.05</v>
      </c>
      <c r="AE146" s="366">
        <v>20.833333333333332</v>
      </c>
      <c r="AF146" s="366">
        <v>19.600000000000001</v>
      </c>
      <c r="AG146" s="366">
        <v>19.043333333333337</v>
      </c>
      <c r="AH146" s="366">
        <v>18.329999999999998</v>
      </c>
      <c r="AI146" s="366">
        <v>17.596666666666668</v>
      </c>
      <c r="AJ146" s="366">
        <v>17.41</v>
      </c>
      <c r="AK146" s="367">
        <v>17.09333333333333</v>
      </c>
      <c r="AL146" s="365">
        <v>0</v>
      </c>
      <c r="AM146" s="366">
        <v>0</v>
      </c>
      <c r="AN146" s="366">
        <v>0</v>
      </c>
      <c r="AO146" s="366">
        <v>0</v>
      </c>
      <c r="AP146" s="366">
        <v>7.9666666666666668</v>
      </c>
      <c r="AQ146" s="366">
        <v>83.566666666666663</v>
      </c>
      <c r="AR146" s="366">
        <v>210.96666666666667</v>
      </c>
      <c r="AS146" s="366">
        <v>347.13333333333333</v>
      </c>
      <c r="AT146" s="366">
        <v>470.76666666666665</v>
      </c>
      <c r="AU146" s="366">
        <v>598.06666666666672</v>
      </c>
      <c r="AV146" s="366">
        <v>704.83333333333337</v>
      </c>
      <c r="AW146" s="366">
        <v>771.93333333333328</v>
      </c>
      <c r="AX146" s="366">
        <v>752.1</v>
      </c>
      <c r="AY146" s="366">
        <v>678.3</v>
      </c>
      <c r="AZ146" s="366">
        <v>580.73333333333335</v>
      </c>
      <c r="BA146" s="366">
        <v>488.13333333333333</v>
      </c>
      <c r="BB146" s="366">
        <v>366.23333333333335</v>
      </c>
      <c r="BC146" s="366">
        <v>215.83333333333334</v>
      </c>
      <c r="BD146" s="366">
        <v>81.233333333333334</v>
      </c>
      <c r="BE146" s="366">
        <v>2.2999999999999998</v>
      </c>
      <c r="BF146" s="366">
        <v>0</v>
      </c>
      <c r="BG146" s="366">
        <v>0</v>
      </c>
      <c r="BH146" s="366">
        <v>0</v>
      </c>
      <c r="BI146" s="367">
        <v>0</v>
      </c>
      <c r="BJ146" s="429"/>
    </row>
    <row r="147" spans="1:62" ht="15" x14ac:dyDescent="0.25">
      <c r="A147" s="363">
        <v>2009</v>
      </c>
      <c r="B147" s="364">
        <v>7</v>
      </c>
      <c r="C147" s="365">
        <v>20.884677419354976</v>
      </c>
      <c r="D147" s="367">
        <v>2.896505376344086</v>
      </c>
      <c r="E147" s="366">
        <v>127.54325400266372</v>
      </c>
      <c r="F147" s="366">
        <v>141.02904398145736</v>
      </c>
      <c r="G147" s="366">
        <v>137.33145557023184</v>
      </c>
      <c r="H147" s="366">
        <v>103.92186086816345</v>
      </c>
      <c r="I147" s="366">
        <v>81.28121721274232</v>
      </c>
      <c r="J147" s="366">
        <v>131.78499937807618</v>
      </c>
      <c r="K147" s="366">
        <v>169.56409486580401</v>
      </c>
      <c r="L147" s="366">
        <v>158.64223680394636</v>
      </c>
      <c r="M147" s="367">
        <v>261.30107526881721</v>
      </c>
      <c r="N147" s="365">
        <v>17.57741935483871</v>
      </c>
      <c r="O147" s="366">
        <v>17.377419354838711</v>
      </c>
      <c r="P147" s="366">
        <v>16.838709677419352</v>
      </c>
      <c r="Q147" s="366">
        <v>16.680645161290318</v>
      </c>
      <c r="R147" s="366">
        <v>17.654838709677421</v>
      </c>
      <c r="S147" s="366">
        <v>19.167741935483868</v>
      </c>
      <c r="T147" s="366">
        <v>20.677419354838712</v>
      </c>
      <c r="U147" s="366">
        <v>21.858064516129037</v>
      </c>
      <c r="V147" s="366">
        <v>22.751612903225809</v>
      </c>
      <c r="W147" s="366">
        <v>23.703225806451616</v>
      </c>
      <c r="X147" s="366">
        <v>24.103225806451618</v>
      </c>
      <c r="Y147" s="366">
        <v>24.483870967741947</v>
      </c>
      <c r="Z147" s="366">
        <v>24.651612903225818</v>
      </c>
      <c r="AA147" s="366">
        <v>24.490322580645167</v>
      </c>
      <c r="AB147" s="366">
        <v>24.019354838709685</v>
      </c>
      <c r="AC147" s="366">
        <v>23.532258064516135</v>
      </c>
      <c r="AD147" s="366">
        <v>22.945161290322591</v>
      </c>
      <c r="AE147" s="366">
        <v>22.164516129032254</v>
      </c>
      <c r="AF147" s="366">
        <v>21.177419354838712</v>
      </c>
      <c r="AG147" s="366">
        <v>20.151612903225807</v>
      </c>
      <c r="AH147" s="366">
        <v>19.703225806451613</v>
      </c>
      <c r="AI147" s="366">
        <v>19.109677419354838</v>
      </c>
      <c r="AJ147" s="366">
        <v>18.454838709677425</v>
      </c>
      <c r="AK147" s="367">
        <v>17.958064516129031</v>
      </c>
      <c r="AL147" s="365">
        <v>0</v>
      </c>
      <c r="AM147" s="366">
        <v>0</v>
      </c>
      <c r="AN147" s="366">
        <v>0</v>
      </c>
      <c r="AO147" s="366">
        <v>0</v>
      </c>
      <c r="AP147" s="366">
        <v>2.032258064516129</v>
      </c>
      <c r="AQ147" s="366">
        <v>64.387096774193552</v>
      </c>
      <c r="AR147" s="366">
        <v>192.58064516129033</v>
      </c>
      <c r="AS147" s="366">
        <v>346.96774193548384</v>
      </c>
      <c r="AT147" s="366">
        <v>486.16129032258067</v>
      </c>
      <c r="AU147" s="366">
        <v>623.19354838709683</v>
      </c>
      <c r="AV147" s="366">
        <v>713.67741935483866</v>
      </c>
      <c r="AW147" s="366">
        <v>747.80645161290317</v>
      </c>
      <c r="AX147" s="366">
        <v>729.58064516129036</v>
      </c>
      <c r="AY147" s="366">
        <v>696.45161290322585</v>
      </c>
      <c r="AZ147" s="366">
        <v>566.64516129032256</v>
      </c>
      <c r="BA147" s="366">
        <v>468.64516129032256</v>
      </c>
      <c r="BB147" s="366">
        <v>346.32258064516128</v>
      </c>
      <c r="BC147" s="366">
        <v>208.25806451612902</v>
      </c>
      <c r="BD147" s="366">
        <v>78.322580645161295</v>
      </c>
      <c r="BE147" s="366">
        <v>0.19354838709677419</v>
      </c>
      <c r="BF147" s="366">
        <v>0</v>
      </c>
      <c r="BG147" s="366">
        <v>0</v>
      </c>
      <c r="BH147" s="366">
        <v>0</v>
      </c>
      <c r="BI147" s="367">
        <v>0</v>
      </c>
      <c r="BJ147" s="429"/>
    </row>
    <row r="148" spans="1:62" ht="15" x14ac:dyDescent="0.25">
      <c r="A148" s="363">
        <v>2009</v>
      </c>
      <c r="B148" s="364">
        <v>8</v>
      </c>
      <c r="C148" s="365">
        <v>21.233198924731386</v>
      </c>
      <c r="D148" s="367">
        <v>3.39247311827957</v>
      </c>
      <c r="E148" s="366">
        <v>138.74972215024357</v>
      </c>
      <c r="F148" s="366">
        <v>136.24910554099867</v>
      </c>
      <c r="G148" s="366">
        <v>118.83749934174639</v>
      </c>
      <c r="H148" s="366">
        <v>82.08256857219358</v>
      </c>
      <c r="I148" s="366">
        <v>61.850564579604693</v>
      </c>
      <c r="J148" s="366">
        <v>108.51751718734283</v>
      </c>
      <c r="K148" s="366">
        <v>156.25303285208105</v>
      </c>
      <c r="L148" s="366">
        <v>162.38896353458065</v>
      </c>
      <c r="M148" s="367">
        <v>228.92069892473117</v>
      </c>
      <c r="N148" s="365">
        <v>18.367741935483874</v>
      </c>
      <c r="O148" s="366">
        <v>18.190322580645162</v>
      </c>
      <c r="P148" s="366">
        <v>18.138709677419353</v>
      </c>
      <c r="Q148" s="366">
        <v>17.86774193548387</v>
      </c>
      <c r="R148" s="366">
        <v>18.238709677419358</v>
      </c>
      <c r="S148" s="366">
        <v>19.777419354838713</v>
      </c>
      <c r="T148" s="366">
        <v>21.006451612903223</v>
      </c>
      <c r="U148" s="366">
        <v>22.07096774193549</v>
      </c>
      <c r="V148" s="366">
        <v>23.20967741935484</v>
      </c>
      <c r="W148" s="366">
        <v>23.803225806451618</v>
      </c>
      <c r="X148" s="366">
        <v>24.470967741935482</v>
      </c>
      <c r="Y148" s="366">
        <v>24.545161290322582</v>
      </c>
      <c r="Z148" s="366">
        <v>24.925806451612907</v>
      </c>
      <c r="AA148" s="366">
        <v>24.619354838709679</v>
      </c>
      <c r="AB148" s="366">
        <v>24.070967741935494</v>
      </c>
      <c r="AC148" s="366">
        <v>23.567741935483884</v>
      </c>
      <c r="AD148" s="366">
        <v>22.709677419354847</v>
      </c>
      <c r="AE148" s="366">
        <v>21.677419354838712</v>
      </c>
      <c r="AF148" s="366">
        <v>20.961290322580655</v>
      </c>
      <c r="AG148" s="366">
        <v>20.454838709677428</v>
      </c>
      <c r="AH148" s="366">
        <v>19.861290322580651</v>
      </c>
      <c r="AI148" s="366">
        <v>19.451612903225811</v>
      </c>
      <c r="AJ148" s="366">
        <v>18.916129032258066</v>
      </c>
      <c r="AK148" s="367">
        <v>18.693548387096776</v>
      </c>
      <c r="AL148" s="365">
        <v>0</v>
      </c>
      <c r="AM148" s="366">
        <v>0</v>
      </c>
      <c r="AN148" s="366">
        <v>0</v>
      </c>
      <c r="AO148" s="366">
        <v>0</v>
      </c>
      <c r="AP148" s="366">
        <v>0</v>
      </c>
      <c r="AQ148" s="366">
        <v>26.838709677419356</v>
      </c>
      <c r="AR148" s="366">
        <v>133.45161290322579</v>
      </c>
      <c r="AS148" s="366">
        <v>276.32258064516128</v>
      </c>
      <c r="AT148" s="366">
        <v>435.58064516129031</v>
      </c>
      <c r="AU148" s="366">
        <v>543.74193548387098</v>
      </c>
      <c r="AV148" s="366">
        <v>627.38709677419354</v>
      </c>
      <c r="AW148" s="366">
        <v>682.19354838709683</v>
      </c>
      <c r="AX148" s="366">
        <v>699.80645161290317</v>
      </c>
      <c r="AY148" s="366">
        <v>630.06451612903231</v>
      </c>
      <c r="AZ148" s="366">
        <v>541.09677419354841</v>
      </c>
      <c r="BA148" s="366">
        <v>425.19354838709677</v>
      </c>
      <c r="BB148" s="366">
        <v>294.45161290322579</v>
      </c>
      <c r="BC148" s="366">
        <v>150.35483870967741</v>
      </c>
      <c r="BD148" s="366">
        <v>27.612903225806452</v>
      </c>
      <c r="BE148" s="366">
        <v>0</v>
      </c>
      <c r="BF148" s="366">
        <v>0</v>
      </c>
      <c r="BG148" s="366">
        <v>0</v>
      </c>
      <c r="BH148" s="366">
        <v>0</v>
      </c>
      <c r="BI148" s="367">
        <v>0</v>
      </c>
      <c r="BJ148" s="429"/>
    </row>
    <row r="149" spans="1:62" ht="15" x14ac:dyDescent="0.25">
      <c r="A149" s="363">
        <v>2009</v>
      </c>
      <c r="B149" s="364">
        <v>9</v>
      </c>
      <c r="C149" s="365">
        <v>18.403055555555635</v>
      </c>
      <c r="D149" s="367">
        <v>2.6097222222222221</v>
      </c>
      <c r="E149" s="366">
        <v>168.90525488684281</v>
      </c>
      <c r="F149" s="366">
        <v>137.68834949078257</v>
      </c>
      <c r="G149" s="366">
        <v>98.854605640851375</v>
      </c>
      <c r="H149" s="366">
        <v>59.351860243710163</v>
      </c>
      <c r="I149" s="366">
        <v>46.078401485803369</v>
      </c>
      <c r="J149" s="366">
        <v>81.267344752115335</v>
      </c>
      <c r="K149" s="366">
        <v>142.30960689911026</v>
      </c>
      <c r="L149" s="366">
        <v>176.99944564142527</v>
      </c>
      <c r="M149" s="367">
        <v>198.95555555555555</v>
      </c>
      <c r="N149" s="365">
        <v>15.296666666666665</v>
      </c>
      <c r="O149" s="366">
        <v>15.039999999999997</v>
      </c>
      <c r="P149" s="366">
        <v>15.029999999999998</v>
      </c>
      <c r="Q149" s="366">
        <v>14.93</v>
      </c>
      <c r="R149" s="366">
        <v>14.846666666666666</v>
      </c>
      <c r="S149" s="366">
        <v>16.079999999999998</v>
      </c>
      <c r="T149" s="366">
        <v>17.66333333333333</v>
      </c>
      <c r="U149" s="366">
        <v>19.173333333333332</v>
      </c>
      <c r="V149" s="366">
        <v>20.613333333333337</v>
      </c>
      <c r="W149" s="366">
        <v>21.463333333333335</v>
      </c>
      <c r="X149" s="366">
        <v>22.15333333333334</v>
      </c>
      <c r="Y149" s="366">
        <v>22.670000000000005</v>
      </c>
      <c r="Z149" s="366">
        <v>22.736666666666668</v>
      </c>
      <c r="AA149" s="366">
        <v>22.343333333333341</v>
      </c>
      <c r="AB149" s="366">
        <v>21.793333333333337</v>
      </c>
      <c r="AC149" s="366">
        <v>20.9</v>
      </c>
      <c r="AD149" s="366">
        <v>19.616666666666664</v>
      </c>
      <c r="AE149" s="366">
        <v>18.816666666666663</v>
      </c>
      <c r="AF149" s="366">
        <v>18.110000000000003</v>
      </c>
      <c r="AG149" s="366">
        <v>17.529999999999998</v>
      </c>
      <c r="AH149" s="366">
        <v>16.906666666666666</v>
      </c>
      <c r="AI149" s="366">
        <v>16.37</v>
      </c>
      <c r="AJ149" s="366">
        <v>16.000000000000004</v>
      </c>
      <c r="AK149" s="367">
        <v>15.589999999999998</v>
      </c>
      <c r="AL149" s="365">
        <v>0</v>
      </c>
      <c r="AM149" s="366">
        <v>0</v>
      </c>
      <c r="AN149" s="366">
        <v>0</v>
      </c>
      <c r="AO149" s="366">
        <v>0</v>
      </c>
      <c r="AP149" s="366">
        <v>0</v>
      </c>
      <c r="AQ149" s="366">
        <v>3.3666666666666667</v>
      </c>
      <c r="AR149" s="366">
        <v>83.333333333333329</v>
      </c>
      <c r="AS149" s="366">
        <v>215.26666666666668</v>
      </c>
      <c r="AT149" s="366">
        <v>356.23333333333335</v>
      </c>
      <c r="AU149" s="366">
        <v>502.23333333333335</v>
      </c>
      <c r="AV149" s="366">
        <v>607.56666666666672</v>
      </c>
      <c r="AW149" s="366">
        <v>688.1</v>
      </c>
      <c r="AX149" s="366">
        <v>682.33333333333337</v>
      </c>
      <c r="AY149" s="366">
        <v>586.63333333333333</v>
      </c>
      <c r="AZ149" s="366">
        <v>469.8</v>
      </c>
      <c r="BA149" s="366">
        <v>336.46666666666664</v>
      </c>
      <c r="BB149" s="366">
        <v>190.16666666666666</v>
      </c>
      <c r="BC149" s="366">
        <v>53.43333333333333</v>
      </c>
      <c r="BD149" s="366">
        <v>0</v>
      </c>
      <c r="BE149" s="366">
        <v>0</v>
      </c>
      <c r="BF149" s="366">
        <v>0</v>
      </c>
      <c r="BG149" s="366">
        <v>0</v>
      </c>
      <c r="BH149" s="366">
        <v>0</v>
      </c>
      <c r="BI149" s="367">
        <v>0</v>
      </c>
      <c r="BJ149" s="429"/>
    </row>
    <row r="150" spans="1:62" ht="15" x14ac:dyDescent="0.25">
      <c r="A150" s="363">
        <v>2009</v>
      </c>
      <c r="B150" s="364">
        <v>10</v>
      </c>
      <c r="C150" s="365">
        <v>9.4541666666666107</v>
      </c>
      <c r="D150" s="367">
        <v>3.7768817204301075</v>
      </c>
      <c r="E150" s="366">
        <v>103.95258700223083</v>
      </c>
      <c r="F150" s="366">
        <v>79.192883999044966</v>
      </c>
      <c r="G150" s="366">
        <v>50.902178462944647</v>
      </c>
      <c r="H150" s="366">
        <v>32.202941658133732</v>
      </c>
      <c r="I150" s="366">
        <v>29.307583806959659</v>
      </c>
      <c r="J150" s="366">
        <v>38.168909127669842</v>
      </c>
      <c r="K150" s="366">
        <v>67.951399644564688</v>
      </c>
      <c r="L150" s="366">
        <v>97.355623258819975</v>
      </c>
      <c r="M150" s="367">
        <v>88.600806451612897</v>
      </c>
      <c r="N150" s="365">
        <v>7.9903225806451612</v>
      </c>
      <c r="O150" s="366">
        <v>7.945161290322579</v>
      </c>
      <c r="P150" s="366">
        <v>7.7806451612903222</v>
      </c>
      <c r="Q150" s="366">
        <v>7.6258064516129025</v>
      </c>
      <c r="R150" s="366">
        <v>7.3129032258064495</v>
      </c>
      <c r="S150" s="366">
        <v>7.783870967741934</v>
      </c>
      <c r="T150" s="366">
        <v>8.5838709677419338</v>
      </c>
      <c r="U150" s="366">
        <v>9.5161290322580623</v>
      </c>
      <c r="V150" s="366">
        <v>10.254838709677419</v>
      </c>
      <c r="W150" s="366">
        <v>11.038709677419353</v>
      </c>
      <c r="X150" s="366">
        <v>11.574193548387093</v>
      </c>
      <c r="Y150" s="366">
        <v>11.835483870967739</v>
      </c>
      <c r="Z150" s="366">
        <v>11.687096774193543</v>
      </c>
      <c r="AA150" s="366">
        <v>11.548387096774192</v>
      </c>
      <c r="AB150" s="366">
        <v>11.264516129032256</v>
      </c>
      <c r="AC150" s="366">
        <v>10.703225806451611</v>
      </c>
      <c r="AD150" s="366">
        <v>10.109677419354837</v>
      </c>
      <c r="AE150" s="366">
        <v>9.6258064516129025</v>
      </c>
      <c r="AF150" s="366">
        <v>9.5</v>
      </c>
      <c r="AG150" s="366">
        <v>9.0677419354838698</v>
      </c>
      <c r="AH150" s="366">
        <v>8.870967741935484</v>
      </c>
      <c r="AI150" s="366">
        <v>8.5935483870967708</v>
      </c>
      <c r="AJ150" s="366">
        <v>8.3580645161290299</v>
      </c>
      <c r="AK150" s="367">
        <v>8.3290322580645153</v>
      </c>
      <c r="AL150" s="365">
        <v>0</v>
      </c>
      <c r="AM150" s="366">
        <v>0</v>
      </c>
      <c r="AN150" s="366">
        <v>0</v>
      </c>
      <c r="AO150" s="366">
        <v>0</v>
      </c>
      <c r="AP150" s="366">
        <v>0</v>
      </c>
      <c r="AQ150" s="366">
        <v>0</v>
      </c>
      <c r="AR150" s="366">
        <v>18.580645161290324</v>
      </c>
      <c r="AS150" s="366">
        <v>93.161290322580641</v>
      </c>
      <c r="AT150" s="366">
        <v>164.41935483870967</v>
      </c>
      <c r="AU150" s="366">
        <v>251.87096774193549</v>
      </c>
      <c r="AV150" s="366">
        <v>316.83870967741933</v>
      </c>
      <c r="AW150" s="366">
        <v>331.54838709677421</v>
      </c>
      <c r="AX150" s="366">
        <v>308.74193548387098</v>
      </c>
      <c r="AY150" s="366">
        <v>273.51612903225805</v>
      </c>
      <c r="AZ150" s="366">
        <v>206.16129032258064</v>
      </c>
      <c r="BA150" s="366">
        <v>120.25806451612904</v>
      </c>
      <c r="BB150" s="366">
        <v>40.838709677419352</v>
      </c>
      <c r="BC150" s="366">
        <v>0.4838709677419355</v>
      </c>
      <c r="BD150" s="366">
        <v>0</v>
      </c>
      <c r="BE150" s="366">
        <v>0</v>
      </c>
      <c r="BF150" s="366">
        <v>0</v>
      </c>
      <c r="BG150" s="366">
        <v>0</v>
      </c>
      <c r="BH150" s="366">
        <v>0</v>
      </c>
      <c r="BI150" s="367">
        <v>0</v>
      </c>
      <c r="BJ150" s="429"/>
    </row>
    <row r="151" spans="1:62" ht="15" x14ac:dyDescent="0.25">
      <c r="A151" s="363">
        <v>2009</v>
      </c>
      <c r="B151" s="364">
        <v>11</v>
      </c>
      <c r="C151" s="365">
        <v>7.5993055555555165</v>
      </c>
      <c r="D151" s="367">
        <v>3.5625</v>
      </c>
      <c r="E151" s="366">
        <v>105.70453662858409</v>
      </c>
      <c r="F151" s="366">
        <v>70.873035385218458</v>
      </c>
      <c r="G151" s="366">
        <v>36.451883832143416</v>
      </c>
      <c r="H151" s="366">
        <v>20.833320294344318</v>
      </c>
      <c r="I151" s="366">
        <v>20.119077954739446</v>
      </c>
      <c r="J151" s="366">
        <v>24.498880617052023</v>
      </c>
      <c r="K151" s="366">
        <v>56.522253265818925</v>
      </c>
      <c r="L151" s="366">
        <v>95.708242901629916</v>
      </c>
      <c r="M151" s="367">
        <v>67.520833333333329</v>
      </c>
      <c r="N151" s="365">
        <v>5.7499999999999982</v>
      </c>
      <c r="O151" s="366">
        <v>5.5999999999999988</v>
      </c>
      <c r="P151" s="366">
        <v>5.3533333333333326</v>
      </c>
      <c r="Q151" s="366">
        <v>5.1399999999999979</v>
      </c>
      <c r="R151" s="366">
        <v>4.8833333333333337</v>
      </c>
      <c r="S151" s="366">
        <v>5.7466666666666617</v>
      </c>
      <c r="T151" s="366">
        <v>6.4133333333333322</v>
      </c>
      <c r="U151" s="366">
        <v>7.2766666666666673</v>
      </c>
      <c r="V151" s="366">
        <v>8.3866666666666649</v>
      </c>
      <c r="W151" s="366">
        <v>9.3233333333333324</v>
      </c>
      <c r="X151" s="366">
        <v>10.169999999999993</v>
      </c>
      <c r="Y151" s="366">
        <v>11.059999999999999</v>
      </c>
      <c r="Z151" s="366">
        <v>11.009999999999998</v>
      </c>
      <c r="AA151" s="366">
        <v>10.519999999999998</v>
      </c>
      <c r="AB151" s="366">
        <v>9.6533333333333289</v>
      </c>
      <c r="AC151" s="366">
        <v>8.8799999999999955</v>
      </c>
      <c r="AD151" s="366">
        <v>8.313333333333329</v>
      </c>
      <c r="AE151" s="366">
        <v>8.139999999999997</v>
      </c>
      <c r="AF151" s="366">
        <v>7.6166666666666636</v>
      </c>
      <c r="AG151" s="366">
        <v>7.2999999999999954</v>
      </c>
      <c r="AH151" s="366">
        <v>6.926666666666665</v>
      </c>
      <c r="AI151" s="366">
        <v>6.6066666666666656</v>
      </c>
      <c r="AJ151" s="366">
        <v>6.2366666666666637</v>
      </c>
      <c r="AK151" s="367">
        <v>6.0766666666666662</v>
      </c>
      <c r="AL151" s="365">
        <v>0</v>
      </c>
      <c r="AM151" s="366">
        <v>0</v>
      </c>
      <c r="AN151" s="366">
        <v>0</v>
      </c>
      <c r="AO151" s="366">
        <v>0</v>
      </c>
      <c r="AP151" s="366">
        <v>0</v>
      </c>
      <c r="AQ151" s="366">
        <v>0</v>
      </c>
      <c r="AR151" s="366">
        <v>0.7</v>
      </c>
      <c r="AS151" s="366">
        <v>40.233333333333334</v>
      </c>
      <c r="AT151" s="366">
        <v>118.1</v>
      </c>
      <c r="AU151" s="366">
        <v>191.46666666666667</v>
      </c>
      <c r="AV151" s="366">
        <v>244.83333333333334</v>
      </c>
      <c r="AW151" s="366">
        <v>275.53333333333336</v>
      </c>
      <c r="AX151" s="366">
        <v>273.3</v>
      </c>
      <c r="AY151" s="366">
        <v>237.1</v>
      </c>
      <c r="AZ151" s="366">
        <v>157.1</v>
      </c>
      <c r="BA151" s="366">
        <v>75.3</v>
      </c>
      <c r="BB151" s="366">
        <v>6.833333333333333</v>
      </c>
      <c r="BC151" s="366">
        <v>0</v>
      </c>
      <c r="BD151" s="366">
        <v>0</v>
      </c>
      <c r="BE151" s="366">
        <v>0</v>
      </c>
      <c r="BF151" s="366">
        <v>0</v>
      </c>
      <c r="BG151" s="366">
        <v>0</v>
      </c>
      <c r="BH151" s="366">
        <v>0</v>
      </c>
      <c r="BI151" s="367">
        <v>0</v>
      </c>
      <c r="BJ151" s="429"/>
    </row>
    <row r="152" spans="1:62" ht="15" x14ac:dyDescent="0.25">
      <c r="A152" s="368">
        <v>2009</v>
      </c>
      <c r="B152" s="369">
        <v>12</v>
      </c>
      <c r="C152" s="370">
        <v>-2.5871140939597246</v>
      </c>
      <c r="D152" s="372">
        <v>4.11006711409396</v>
      </c>
      <c r="E152" s="371">
        <v>102.54560015128138</v>
      </c>
      <c r="F152" s="371">
        <v>68.885990386990301</v>
      </c>
      <c r="G152" s="371">
        <v>31.245459219837485</v>
      </c>
      <c r="H152" s="371">
        <v>18.246098447385652</v>
      </c>
      <c r="I152" s="371">
        <v>18.02786862389268</v>
      </c>
      <c r="J152" s="371">
        <v>19.834670244417474</v>
      </c>
      <c r="K152" s="371">
        <v>46.344315509965938</v>
      </c>
      <c r="L152" s="371">
        <v>88.792720610290118</v>
      </c>
      <c r="M152" s="372">
        <v>57.304697986577182</v>
      </c>
      <c r="N152" s="370">
        <v>-3.3580645161290321</v>
      </c>
      <c r="O152" s="371">
        <v>-3.3645161290322574</v>
      </c>
      <c r="P152" s="371">
        <v>-3.254838709677419</v>
      </c>
      <c r="Q152" s="371">
        <v>-3.3709677419354835</v>
      </c>
      <c r="R152" s="371">
        <v>-3.3677419354838709</v>
      </c>
      <c r="S152" s="371">
        <v>-3.3451612903225802</v>
      </c>
      <c r="T152" s="371">
        <v>-3.2741935483870965</v>
      </c>
      <c r="U152" s="371">
        <v>-2.8645161290322574</v>
      </c>
      <c r="V152" s="371">
        <v>-2.2354838709677414</v>
      </c>
      <c r="W152" s="371">
        <v>-1.7838709677419351</v>
      </c>
      <c r="X152" s="371">
        <v>-1.2903225806451613</v>
      </c>
      <c r="Y152" s="371">
        <v>-1.0612903225806452</v>
      </c>
      <c r="Z152" s="371">
        <v>-0.89032258064516134</v>
      </c>
      <c r="AA152" s="371">
        <v>-0.94193548387096782</v>
      </c>
      <c r="AB152" s="371">
        <v>-1.3193548387096778</v>
      </c>
      <c r="AC152" s="371">
        <v>-1.7806451612903225</v>
      </c>
      <c r="AD152" s="371">
        <v>-2.254838709677419</v>
      </c>
      <c r="AE152" s="371">
        <v>-2.4903225806451608</v>
      </c>
      <c r="AF152" s="371">
        <v>-2.7709677419354835</v>
      </c>
      <c r="AG152" s="371">
        <v>-3.0870967741935482</v>
      </c>
      <c r="AH152" s="371">
        <v>-3.1903225806451609</v>
      </c>
      <c r="AI152" s="371">
        <v>-3.4419354838709673</v>
      </c>
      <c r="AJ152" s="371">
        <v>-3.7451612903225802</v>
      </c>
      <c r="AK152" s="372">
        <v>-3.5749999999999993</v>
      </c>
      <c r="AL152" s="370">
        <v>0</v>
      </c>
      <c r="AM152" s="371">
        <v>0</v>
      </c>
      <c r="AN152" s="371">
        <v>0</v>
      </c>
      <c r="AO152" s="371">
        <v>0</v>
      </c>
      <c r="AP152" s="371">
        <v>0</v>
      </c>
      <c r="AQ152" s="371">
        <v>0</v>
      </c>
      <c r="AR152" s="371">
        <v>0</v>
      </c>
      <c r="AS152" s="371">
        <v>11.129032258064516</v>
      </c>
      <c r="AT152" s="371">
        <v>78.290322580645167</v>
      </c>
      <c r="AU152" s="371">
        <v>159.70967741935485</v>
      </c>
      <c r="AV152" s="371">
        <v>224.35483870967741</v>
      </c>
      <c r="AW152" s="371">
        <v>253.45161290322579</v>
      </c>
      <c r="AX152" s="371">
        <v>245.41935483870967</v>
      </c>
      <c r="AY152" s="371">
        <v>214.16129032258064</v>
      </c>
      <c r="AZ152" s="371">
        <v>134.16129032258064</v>
      </c>
      <c r="BA152" s="371">
        <v>56.29032258064516</v>
      </c>
      <c r="BB152" s="371">
        <v>0.19354838709677419</v>
      </c>
      <c r="BC152" s="371">
        <v>0</v>
      </c>
      <c r="BD152" s="371">
        <v>0</v>
      </c>
      <c r="BE152" s="371">
        <v>0</v>
      </c>
      <c r="BF152" s="371">
        <v>0</v>
      </c>
      <c r="BG152" s="371">
        <v>0</v>
      </c>
      <c r="BH152" s="371">
        <v>0</v>
      </c>
      <c r="BI152" s="372">
        <v>0</v>
      </c>
      <c r="BJ152" s="429"/>
    </row>
    <row r="153" spans="1:62" ht="15" x14ac:dyDescent="0.25">
      <c r="A153" s="375">
        <v>2010</v>
      </c>
      <c r="B153" s="376">
        <v>1</v>
      </c>
      <c r="C153" s="349">
        <v>-5.5772543741588754</v>
      </c>
      <c r="D153" s="351">
        <v>4.053835800807537</v>
      </c>
      <c r="E153" s="350">
        <v>132.1099082497899</v>
      </c>
      <c r="F153" s="350">
        <v>89.939121863563003</v>
      </c>
      <c r="G153" s="350">
        <v>40.786583832274871</v>
      </c>
      <c r="H153" s="350">
        <v>21.820634334021552</v>
      </c>
      <c r="I153" s="350">
        <v>21.399248618416262</v>
      </c>
      <c r="J153" s="350">
        <v>24.6231458202328</v>
      </c>
      <c r="K153" s="350">
        <v>59.161617782444033</v>
      </c>
      <c r="L153" s="350">
        <v>113.28739765592832</v>
      </c>
      <c r="M153" s="351">
        <v>76.454912516823683</v>
      </c>
      <c r="N153" s="349">
        <v>-6.5870967741935518</v>
      </c>
      <c r="O153" s="350">
        <v>-6.7483870967741968</v>
      </c>
      <c r="P153" s="350">
        <v>-6.9580645161290366</v>
      </c>
      <c r="Q153" s="350">
        <v>-7.1419354838709719</v>
      </c>
      <c r="R153" s="350">
        <v>-7.1580645161290359</v>
      </c>
      <c r="S153" s="350">
        <v>-7.1774193548387144</v>
      </c>
      <c r="T153" s="350">
        <v>-7.2129032258064569</v>
      </c>
      <c r="U153" s="350">
        <v>-6.6387096774193584</v>
      </c>
      <c r="V153" s="350">
        <v>-5.796774193548389</v>
      </c>
      <c r="W153" s="350">
        <v>-5.0806451612903238</v>
      </c>
      <c r="X153" s="350">
        <v>-4.3580645161290326</v>
      </c>
      <c r="Y153" s="350">
        <v>-3.8451612903225811</v>
      </c>
      <c r="Z153" s="350">
        <v>-3.6096774193548389</v>
      </c>
      <c r="AA153" s="350">
        <v>-3.5354838709677421</v>
      </c>
      <c r="AB153" s="350">
        <v>-3.7290322580645165</v>
      </c>
      <c r="AC153" s="350">
        <v>-4.1774193548387091</v>
      </c>
      <c r="AD153" s="350">
        <v>-4.6032258064516114</v>
      </c>
      <c r="AE153" s="350">
        <v>-4.9709677419354827</v>
      </c>
      <c r="AF153" s="350">
        <v>-5.2709677419354843</v>
      </c>
      <c r="AG153" s="350">
        <v>-5.4064516129032256</v>
      </c>
      <c r="AH153" s="350">
        <v>-5.5967741935483861</v>
      </c>
      <c r="AI153" s="350">
        <v>-6.0161290322580658</v>
      </c>
      <c r="AJ153" s="350">
        <v>-6.0193548387096794</v>
      </c>
      <c r="AK153" s="351">
        <v>-6.236666666666669</v>
      </c>
      <c r="AL153" s="349">
        <v>0</v>
      </c>
      <c r="AM153" s="350">
        <v>0</v>
      </c>
      <c r="AN153" s="350">
        <v>0</v>
      </c>
      <c r="AO153" s="350">
        <v>0</v>
      </c>
      <c r="AP153" s="350">
        <v>0</v>
      </c>
      <c r="AQ153" s="350">
        <v>0</v>
      </c>
      <c r="AR153" s="350">
        <v>0</v>
      </c>
      <c r="AS153" s="350">
        <v>10.580645161290322</v>
      </c>
      <c r="AT153" s="350">
        <v>90.58064516129032</v>
      </c>
      <c r="AU153" s="350">
        <v>194.67741935483872</v>
      </c>
      <c r="AV153" s="350">
        <v>278.29032258064518</v>
      </c>
      <c r="AW153" s="350">
        <v>327.80645161290323</v>
      </c>
      <c r="AX153" s="350">
        <v>324.19354838709677</v>
      </c>
      <c r="AY153" s="350">
        <v>282.06451612903226</v>
      </c>
      <c r="AZ153" s="350">
        <v>200.87096774193549</v>
      </c>
      <c r="BA153" s="350">
        <v>103.6774193548387</v>
      </c>
      <c r="BB153" s="350">
        <v>19.70967741935484</v>
      </c>
      <c r="BC153" s="350">
        <v>0</v>
      </c>
      <c r="BD153" s="350">
        <v>0</v>
      </c>
      <c r="BE153" s="350">
        <v>0</v>
      </c>
      <c r="BF153" s="350">
        <v>0</v>
      </c>
      <c r="BG153" s="350">
        <v>0</v>
      </c>
      <c r="BH153" s="350">
        <v>0</v>
      </c>
      <c r="BI153" s="351">
        <v>0</v>
      </c>
      <c r="BJ153" s="429"/>
    </row>
    <row r="154" spans="1:62" ht="15" x14ac:dyDescent="0.25">
      <c r="A154" s="347">
        <v>2010</v>
      </c>
      <c r="B154" s="348">
        <v>2</v>
      </c>
      <c r="C154" s="352">
        <v>-2.6953869047618997</v>
      </c>
      <c r="D154" s="354">
        <v>3.5491071428571428</v>
      </c>
      <c r="E154" s="353">
        <v>133.77881506294088</v>
      </c>
      <c r="F154" s="353">
        <v>99.449356213020934</v>
      </c>
      <c r="G154" s="353">
        <v>57.999814154176086</v>
      </c>
      <c r="H154" s="353">
        <v>36.478625722534126</v>
      </c>
      <c r="I154" s="353">
        <v>34.520823765831615</v>
      </c>
      <c r="J154" s="353">
        <v>40.542718732843412</v>
      </c>
      <c r="K154" s="353">
        <v>74.315415797303018</v>
      </c>
      <c r="L154" s="353">
        <v>118.62406804234412</v>
      </c>
      <c r="M154" s="354">
        <v>103.00744047619048</v>
      </c>
      <c r="N154" s="352">
        <v>-4.2035714285714283</v>
      </c>
      <c r="O154" s="353">
        <v>-4.2392857142857139</v>
      </c>
      <c r="P154" s="353">
        <v>-4.4714285714285706</v>
      </c>
      <c r="Q154" s="353">
        <v>-4.5214285714285714</v>
      </c>
      <c r="R154" s="353">
        <v>-4.5464285714285708</v>
      </c>
      <c r="S154" s="353">
        <v>-4.6357142857142861</v>
      </c>
      <c r="T154" s="353">
        <v>-4.3321428571428573</v>
      </c>
      <c r="U154" s="353">
        <v>-3.5928571428571425</v>
      </c>
      <c r="V154" s="353">
        <v>-2.5499999999999998</v>
      </c>
      <c r="W154" s="353">
        <v>-1.7499999999999989</v>
      </c>
      <c r="X154" s="353">
        <v>-1.092857142857143</v>
      </c>
      <c r="Y154" s="353">
        <v>-0.62857142857142878</v>
      </c>
      <c r="Z154" s="353">
        <v>-0.45357142857142857</v>
      </c>
      <c r="AA154" s="353">
        <v>-0.53928571428571437</v>
      </c>
      <c r="AB154" s="353">
        <v>-0.76428571428571435</v>
      </c>
      <c r="AC154" s="353">
        <v>-1.0571428571428574</v>
      </c>
      <c r="AD154" s="353">
        <v>-1.5678571428571419</v>
      </c>
      <c r="AE154" s="353">
        <v>-1.9499999999999993</v>
      </c>
      <c r="AF154" s="353">
        <v>-2.2214285714285711</v>
      </c>
      <c r="AG154" s="353">
        <v>-2.6392857142857133</v>
      </c>
      <c r="AH154" s="353">
        <v>-2.6607142857142847</v>
      </c>
      <c r="AI154" s="353">
        <v>-2.9571428571428577</v>
      </c>
      <c r="AJ154" s="353">
        <v>-3.3464285714285711</v>
      </c>
      <c r="AK154" s="354">
        <v>-3.9678571428571421</v>
      </c>
      <c r="AL154" s="352">
        <v>0</v>
      </c>
      <c r="AM154" s="353">
        <v>0</v>
      </c>
      <c r="AN154" s="353">
        <v>0</v>
      </c>
      <c r="AO154" s="353">
        <v>0</v>
      </c>
      <c r="AP154" s="353">
        <v>0</v>
      </c>
      <c r="AQ154" s="353">
        <v>0</v>
      </c>
      <c r="AR154" s="353">
        <v>0.14285714285714285</v>
      </c>
      <c r="AS154" s="353">
        <v>40.214285714285715</v>
      </c>
      <c r="AT154" s="353">
        <v>146.67857142857142</v>
      </c>
      <c r="AU154" s="353">
        <v>260</v>
      </c>
      <c r="AV154" s="353">
        <v>349.71428571428572</v>
      </c>
      <c r="AW154" s="353">
        <v>402.85714285714283</v>
      </c>
      <c r="AX154" s="353">
        <v>400.32142857142856</v>
      </c>
      <c r="AY154" s="353">
        <v>365.42857142857144</v>
      </c>
      <c r="AZ154" s="353">
        <v>273.42857142857144</v>
      </c>
      <c r="BA154" s="353">
        <v>166</v>
      </c>
      <c r="BB154" s="353">
        <v>64.571428571428569</v>
      </c>
      <c r="BC154" s="353">
        <v>2.8214285714285716</v>
      </c>
      <c r="BD154" s="353">
        <v>0</v>
      </c>
      <c r="BE154" s="353">
        <v>0</v>
      </c>
      <c r="BF154" s="353">
        <v>0</v>
      </c>
      <c r="BG154" s="353">
        <v>0</v>
      </c>
      <c r="BH154" s="353">
        <v>0</v>
      </c>
      <c r="BI154" s="354">
        <v>0</v>
      </c>
      <c r="BJ154" s="429"/>
    </row>
    <row r="155" spans="1:62" ht="15" x14ac:dyDescent="0.25">
      <c r="A155" s="347">
        <v>2010</v>
      </c>
      <c r="B155" s="348">
        <v>3</v>
      </c>
      <c r="C155" s="352">
        <v>5.2627688172042646</v>
      </c>
      <c r="D155" s="354">
        <v>3.764784946236559</v>
      </c>
      <c r="E155" s="353">
        <v>138.28866361490833</v>
      </c>
      <c r="F155" s="353">
        <v>108.15405314093775</v>
      </c>
      <c r="G155" s="353">
        <v>74.865728108830311</v>
      </c>
      <c r="H155" s="353">
        <v>47.018103238632335</v>
      </c>
      <c r="I155" s="353">
        <v>40.209244432840158</v>
      </c>
      <c r="J155" s="353">
        <v>61.140347284073059</v>
      </c>
      <c r="K155" s="353">
        <v>106.99953717600256</v>
      </c>
      <c r="L155" s="353">
        <v>139.34022998992725</v>
      </c>
      <c r="M155" s="354">
        <v>141.78225806451613</v>
      </c>
      <c r="N155" s="352">
        <v>2.6903225806451623</v>
      </c>
      <c r="O155" s="353">
        <v>2.4741935483870976</v>
      </c>
      <c r="P155" s="353">
        <v>2.2258064516129035</v>
      </c>
      <c r="Q155" s="353">
        <v>2.2548387096774198</v>
      </c>
      <c r="R155" s="353">
        <v>1.9290322580645165</v>
      </c>
      <c r="S155" s="353">
        <v>2.6193548387096786</v>
      </c>
      <c r="T155" s="353">
        <v>3.8967741935483873</v>
      </c>
      <c r="U155" s="353">
        <v>5.2838709677419349</v>
      </c>
      <c r="V155" s="353">
        <v>6.3741935483870957</v>
      </c>
      <c r="W155" s="353">
        <v>7.5193548387096749</v>
      </c>
      <c r="X155" s="353">
        <v>8.2870967741935484</v>
      </c>
      <c r="Y155" s="353">
        <v>8.8451612903225758</v>
      </c>
      <c r="Z155" s="353">
        <v>9.0419354838709651</v>
      </c>
      <c r="AA155" s="353">
        <v>9.1419354838709648</v>
      </c>
      <c r="AB155" s="353">
        <v>8.8935483870967715</v>
      </c>
      <c r="AC155" s="353">
        <v>8.1645161290322559</v>
      </c>
      <c r="AD155" s="353">
        <v>6.8838709677419327</v>
      </c>
      <c r="AE155" s="353">
        <v>5.8193548387096774</v>
      </c>
      <c r="AF155" s="353">
        <v>5.241935483870968</v>
      </c>
      <c r="AG155" s="353">
        <v>4.5741935483870959</v>
      </c>
      <c r="AH155" s="353">
        <v>4.0387096774193552</v>
      </c>
      <c r="AI155" s="353">
        <v>3.7870967741935488</v>
      </c>
      <c r="AJ155" s="353">
        <v>3.4741935483870972</v>
      </c>
      <c r="AK155" s="354">
        <v>2.8451612903225816</v>
      </c>
      <c r="AL155" s="352">
        <v>0</v>
      </c>
      <c r="AM155" s="353">
        <v>0</v>
      </c>
      <c r="AN155" s="353">
        <v>0</v>
      </c>
      <c r="AO155" s="353">
        <v>0</v>
      </c>
      <c r="AP155" s="353">
        <v>0</v>
      </c>
      <c r="AQ155" s="353">
        <v>0</v>
      </c>
      <c r="AR155" s="353">
        <v>25.161290322580644</v>
      </c>
      <c r="AS155" s="353">
        <v>116.70967741935483</v>
      </c>
      <c r="AT155" s="353">
        <v>226.48387096774192</v>
      </c>
      <c r="AU155" s="353">
        <v>339.58064516129031</v>
      </c>
      <c r="AV155" s="353">
        <v>426.87096774193549</v>
      </c>
      <c r="AW155" s="353">
        <v>470.19354838709677</v>
      </c>
      <c r="AX155" s="353">
        <v>486.45161290322579</v>
      </c>
      <c r="AY155" s="353">
        <v>472.83870967741933</v>
      </c>
      <c r="AZ155" s="353">
        <v>383.70967741935482</v>
      </c>
      <c r="BA155" s="353">
        <v>269.54838709677421</v>
      </c>
      <c r="BB155" s="353">
        <v>147.25806451612902</v>
      </c>
      <c r="BC155" s="353">
        <v>37.967741935483872</v>
      </c>
      <c r="BD155" s="353">
        <v>0</v>
      </c>
      <c r="BE155" s="353">
        <v>0</v>
      </c>
      <c r="BF155" s="353">
        <v>0</v>
      </c>
      <c r="BG155" s="353">
        <v>0</v>
      </c>
      <c r="BH155" s="353">
        <v>0</v>
      </c>
      <c r="BI155" s="354">
        <v>0</v>
      </c>
      <c r="BJ155" s="429"/>
    </row>
    <row r="156" spans="1:62" ht="15" x14ac:dyDescent="0.25">
      <c r="A156" s="347">
        <v>2010</v>
      </c>
      <c r="B156" s="348">
        <v>4</v>
      </c>
      <c r="C156" s="352">
        <v>12.568611111111096</v>
      </c>
      <c r="D156" s="354">
        <v>4.5611111111111109</v>
      </c>
      <c r="E156" s="353">
        <v>149.1327530531168</v>
      </c>
      <c r="F156" s="353">
        <v>136.55531197834682</v>
      </c>
      <c r="G156" s="353">
        <v>111.72615654744722</v>
      </c>
      <c r="H156" s="353">
        <v>72.005280762060835</v>
      </c>
      <c r="I156" s="353">
        <v>52.83560413368248</v>
      </c>
      <c r="J156" s="353">
        <v>98.644155616752911</v>
      </c>
      <c r="K156" s="353">
        <v>154.37907295327034</v>
      </c>
      <c r="L156" s="353">
        <v>170.00999699265748</v>
      </c>
      <c r="M156" s="354">
        <v>219.17083333333332</v>
      </c>
      <c r="N156" s="352">
        <v>9.0933333333333302</v>
      </c>
      <c r="O156" s="353">
        <v>8.8499999999999961</v>
      </c>
      <c r="P156" s="353">
        <v>8.5933333333333302</v>
      </c>
      <c r="Q156" s="353">
        <v>8.4066666666666627</v>
      </c>
      <c r="R156" s="353">
        <v>8.8166666666666629</v>
      </c>
      <c r="S156" s="353">
        <v>10.323333333333329</v>
      </c>
      <c r="T156" s="353">
        <v>11.746666666666666</v>
      </c>
      <c r="U156" s="353">
        <v>13.139999999999997</v>
      </c>
      <c r="V156" s="353">
        <v>14.359999999999998</v>
      </c>
      <c r="W156" s="353">
        <v>15.226666666666668</v>
      </c>
      <c r="X156" s="353">
        <v>16.059999999999995</v>
      </c>
      <c r="Y156" s="353">
        <v>16.8</v>
      </c>
      <c r="Z156" s="353">
        <v>17.323333333333331</v>
      </c>
      <c r="AA156" s="353">
        <v>17.309999999999999</v>
      </c>
      <c r="AB156" s="353">
        <v>16.893333333333331</v>
      </c>
      <c r="AC156" s="353">
        <v>16.16</v>
      </c>
      <c r="AD156" s="353">
        <v>15.066666666666668</v>
      </c>
      <c r="AE156" s="353">
        <v>13.576666666666663</v>
      </c>
      <c r="AF156" s="353">
        <v>12.236666666666663</v>
      </c>
      <c r="AG156" s="353">
        <v>11.479999999999995</v>
      </c>
      <c r="AH156" s="353">
        <v>10.733333333333331</v>
      </c>
      <c r="AI156" s="353">
        <v>10.259999999999998</v>
      </c>
      <c r="AJ156" s="353">
        <v>9.7599999999999945</v>
      </c>
      <c r="AK156" s="354">
        <v>9.4299999999999979</v>
      </c>
      <c r="AL156" s="352">
        <v>0</v>
      </c>
      <c r="AM156" s="353">
        <v>0</v>
      </c>
      <c r="AN156" s="353">
        <v>0</v>
      </c>
      <c r="AO156" s="353">
        <v>0</v>
      </c>
      <c r="AP156" s="353">
        <v>0</v>
      </c>
      <c r="AQ156" s="353">
        <v>18.033333333333335</v>
      </c>
      <c r="AR156" s="353">
        <v>125.53333333333333</v>
      </c>
      <c r="AS156" s="353">
        <v>272.16666666666669</v>
      </c>
      <c r="AT156" s="353">
        <v>421.76666666666665</v>
      </c>
      <c r="AU156" s="353">
        <v>533.16666666666663</v>
      </c>
      <c r="AV156" s="353">
        <v>611.43333333333328</v>
      </c>
      <c r="AW156" s="353">
        <v>655.36666666666667</v>
      </c>
      <c r="AX156" s="353">
        <v>664.9</v>
      </c>
      <c r="AY156" s="353">
        <v>616.5</v>
      </c>
      <c r="AZ156" s="353">
        <v>534.1</v>
      </c>
      <c r="BA156" s="353">
        <v>416.33333333333331</v>
      </c>
      <c r="BB156" s="353">
        <v>267.2</v>
      </c>
      <c r="BC156" s="353">
        <v>113.8</v>
      </c>
      <c r="BD156" s="353">
        <v>9.8000000000000007</v>
      </c>
      <c r="BE156" s="353">
        <v>0</v>
      </c>
      <c r="BF156" s="353">
        <v>0</v>
      </c>
      <c r="BG156" s="353">
        <v>0</v>
      </c>
      <c r="BH156" s="353">
        <v>0</v>
      </c>
      <c r="BI156" s="354">
        <v>0</v>
      </c>
      <c r="BJ156" s="429"/>
    </row>
    <row r="157" spans="1:62" ht="15" x14ac:dyDescent="0.25">
      <c r="A157" s="347">
        <v>2010</v>
      </c>
      <c r="B157" s="348">
        <v>5</v>
      </c>
      <c r="C157" s="352">
        <v>16.588306451612937</v>
      </c>
      <c r="D157" s="354">
        <v>3.7083333333333335</v>
      </c>
      <c r="E157" s="353">
        <v>128.67659401927261</v>
      </c>
      <c r="F157" s="353">
        <v>135.4819968414387</v>
      </c>
      <c r="G157" s="353">
        <v>127.76085385037466</v>
      </c>
      <c r="H157" s="353">
        <v>95.371058890962047</v>
      </c>
      <c r="I157" s="353">
        <v>74.582338874879781</v>
      </c>
      <c r="J157" s="353">
        <v>120.47332938293687</v>
      </c>
      <c r="K157" s="353">
        <v>159.94116489036753</v>
      </c>
      <c r="L157" s="353">
        <v>155.57074403159305</v>
      </c>
      <c r="M157" s="354">
        <v>246.13844086021504</v>
      </c>
      <c r="N157" s="352">
        <v>12.864516129032255</v>
      </c>
      <c r="O157" s="353">
        <v>12.687096774193547</v>
      </c>
      <c r="P157" s="353">
        <v>12.361290322580643</v>
      </c>
      <c r="Q157" s="353">
        <v>12.296774193548385</v>
      </c>
      <c r="R157" s="353">
        <v>13.387096774193546</v>
      </c>
      <c r="S157" s="353">
        <v>14.822580645161288</v>
      </c>
      <c r="T157" s="353">
        <v>16.393548387096775</v>
      </c>
      <c r="U157" s="353">
        <v>17.622580645161289</v>
      </c>
      <c r="V157" s="353">
        <v>18.770967741935483</v>
      </c>
      <c r="W157" s="353">
        <v>19.432258064516127</v>
      </c>
      <c r="X157" s="353">
        <v>19.941935483870971</v>
      </c>
      <c r="Y157" s="353">
        <v>20.36129032258064</v>
      </c>
      <c r="Z157" s="353">
        <v>20.43548387096774</v>
      </c>
      <c r="AA157" s="353">
        <v>20.590322580645164</v>
      </c>
      <c r="AB157" s="353">
        <v>20.032258064516128</v>
      </c>
      <c r="AC157" s="353">
        <v>19.632258064516126</v>
      </c>
      <c r="AD157" s="353">
        <v>18.854838709677416</v>
      </c>
      <c r="AE157" s="353">
        <v>17.774193548387096</v>
      </c>
      <c r="AF157" s="353">
        <v>16.838709677419356</v>
      </c>
      <c r="AG157" s="353">
        <v>15.864516129032255</v>
      </c>
      <c r="AH157" s="353">
        <v>15.154838709677417</v>
      </c>
      <c r="AI157" s="353">
        <v>14.590322580645159</v>
      </c>
      <c r="AJ157" s="353">
        <v>13.980645161290321</v>
      </c>
      <c r="AK157" s="354">
        <v>13.429032258064517</v>
      </c>
      <c r="AL157" s="352">
        <v>0</v>
      </c>
      <c r="AM157" s="353">
        <v>0</v>
      </c>
      <c r="AN157" s="353">
        <v>0</v>
      </c>
      <c r="AO157" s="353">
        <v>0</v>
      </c>
      <c r="AP157" s="353">
        <v>2.7096774193548385</v>
      </c>
      <c r="AQ157" s="353">
        <v>64.774193548387103</v>
      </c>
      <c r="AR157" s="353">
        <v>184.29032258064515</v>
      </c>
      <c r="AS157" s="353">
        <v>327.61290322580646</v>
      </c>
      <c r="AT157" s="353">
        <v>453.90322580645159</v>
      </c>
      <c r="AU157" s="353">
        <v>586.61290322580646</v>
      </c>
      <c r="AV157" s="353">
        <v>691.77419354838707</v>
      </c>
      <c r="AW157" s="353">
        <v>760.32258064516134</v>
      </c>
      <c r="AX157" s="353">
        <v>746.12903225806451</v>
      </c>
      <c r="AY157" s="353">
        <v>651.67741935483866</v>
      </c>
      <c r="AZ157" s="353">
        <v>521.64516129032256</v>
      </c>
      <c r="BA157" s="353">
        <v>417.70967741935482</v>
      </c>
      <c r="BB157" s="353">
        <v>291.22580645161293</v>
      </c>
      <c r="BC157" s="353">
        <v>161.45161290322579</v>
      </c>
      <c r="BD157" s="353">
        <v>45.483870967741936</v>
      </c>
      <c r="BE157" s="353">
        <v>0</v>
      </c>
      <c r="BF157" s="353">
        <v>0</v>
      </c>
      <c r="BG157" s="353">
        <v>0</v>
      </c>
      <c r="BH157" s="353">
        <v>0</v>
      </c>
      <c r="BI157" s="354">
        <v>0</v>
      </c>
      <c r="BJ157" s="429"/>
    </row>
    <row r="158" spans="1:62" ht="15" x14ac:dyDescent="0.25">
      <c r="A158" s="347">
        <v>2010</v>
      </c>
      <c r="B158" s="348">
        <v>6</v>
      </c>
      <c r="C158" s="352">
        <v>21.73986111111126</v>
      </c>
      <c r="D158" s="354">
        <v>3.3333333333333335</v>
      </c>
      <c r="E158" s="353">
        <v>119.58826586438491</v>
      </c>
      <c r="F158" s="353">
        <v>133.0445040983569</v>
      </c>
      <c r="G158" s="353">
        <v>134.79889621757661</v>
      </c>
      <c r="H158" s="353">
        <v>106.20091399576003</v>
      </c>
      <c r="I158" s="353">
        <v>84.996993664699488</v>
      </c>
      <c r="J158" s="353">
        <v>139.29959543997452</v>
      </c>
      <c r="K158" s="353">
        <v>177.22847449759203</v>
      </c>
      <c r="L158" s="353">
        <v>159.86755413866626</v>
      </c>
      <c r="M158" s="354">
        <v>269.73472222222222</v>
      </c>
      <c r="N158" s="352">
        <v>19.023333333333337</v>
      </c>
      <c r="O158" s="353">
        <v>18.716666666666665</v>
      </c>
      <c r="P158" s="353">
        <v>18.463333333333335</v>
      </c>
      <c r="Q158" s="353">
        <v>18.423333333333336</v>
      </c>
      <c r="R158" s="353">
        <v>19.290000000000003</v>
      </c>
      <c r="S158" s="353">
        <v>20.086666666666666</v>
      </c>
      <c r="T158" s="353">
        <v>21.306666666666665</v>
      </c>
      <c r="U158" s="353">
        <v>22.243333333333336</v>
      </c>
      <c r="V158" s="353">
        <v>23.130000000000006</v>
      </c>
      <c r="W158" s="353">
        <v>24.013333333333346</v>
      </c>
      <c r="X158" s="353">
        <v>24.596666666666675</v>
      </c>
      <c r="Y158" s="353">
        <v>25.033333333333339</v>
      </c>
      <c r="Z158" s="353">
        <v>25.580000000000002</v>
      </c>
      <c r="AA158" s="353">
        <v>25.553333333333338</v>
      </c>
      <c r="AB158" s="353">
        <v>24.946666666666669</v>
      </c>
      <c r="AC158" s="353">
        <v>24.246666666666677</v>
      </c>
      <c r="AD158" s="353">
        <v>23.593333333333341</v>
      </c>
      <c r="AE158" s="353">
        <v>22.623333333333331</v>
      </c>
      <c r="AF158" s="353">
        <v>21.503333333333337</v>
      </c>
      <c r="AG158" s="353">
        <v>20.763333333333332</v>
      </c>
      <c r="AH158" s="353">
        <v>20.146666666666668</v>
      </c>
      <c r="AI158" s="353">
        <v>19.786666666666665</v>
      </c>
      <c r="AJ158" s="353">
        <v>19.410000000000004</v>
      </c>
      <c r="AK158" s="354">
        <v>19.276666666666667</v>
      </c>
      <c r="AL158" s="352">
        <v>0</v>
      </c>
      <c r="AM158" s="353">
        <v>0</v>
      </c>
      <c r="AN158" s="353">
        <v>0</v>
      </c>
      <c r="AO158" s="353">
        <v>0</v>
      </c>
      <c r="AP158" s="353">
        <v>8.6333333333333329</v>
      </c>
      <c r="AQ158" s="353">
        <v>90.8</v>
      </c>
      <c r="AR158" s="353">
        <v>211.76666666666668</v>
      </c>
      <c r="AS158" s="353">
        <v>339.3</v>
      </c>
      <c r="AT158" s="353">
        <v>471.26666666666665</v>
      </c>
      <c r="AU158" s="353">
        <v>578.0333333333333</v>
      </c>
      <c r="AV158" s="353">
        <v>681.9666666666667</v>
      </c>
      <c r="AW158" s="353">
        <v>773.4</v>
      </c>
      <c r="AX158" s="353">
        <v>790.1</v>
      </c>
      <c r="AY158" s="353">
        <v>758.36666666666667</v>
      </c>
      <c r="AZ158" s="353">
        <v>620.0333333333333</v>
      </c>
      <c r="BA158" s="353">
        <v>505.23333333333335</v>
      </c>
      <c r="BB158" s="353">
        <v>359.83333333333331</v>
      </c>
      <c r="BC158" s="353">
        <v>204.53333333333333</v>
      </c>
      <c r="BD158" s="353">
        <v>78</v>
      </c>
      <c r="BE158" s="353">
        <v>2.3666666666666667</v>
      </c>
      <c r="BF158" s="353">
        <v>0</v>
      </c>
      <c r="BG158" s="353">
        <v>0</v>
      </c>
      <c r="BH158" s="353">
        <v>0</v>
      </c>
      <c r="BI158" s="354">
        <v>0</v>
      </c>
      <c r="BJ158" s="429"/>
    </row>
    <row r="159" spans="1:62" ht="15" x14ac:dyDescent="0.25">
      <c r="A159" s="347">
        <v>2010</v>
      </c>
      <c r="B159" s="348">
        <v>7</v>
      </c>
      <c r="C159" s="352">
        <v>25.453360215053944</v>
      </c>
      <c r="D159" s="354">
        <v>3.252688172043011</v>
      </c>
      <c r="E159" s="353">
        <v>136.61259038722812</v>
      </c>
      <c r="F159" s="353">
        <v>151.15226545711946</v>
      </c>
      <c r="G159" s="353">
        <v>147.19126862495855</v>
      </c>
      <c r="H159" s="353">
        <v>109.96504851429998</v>
      </c>
      <c r="I159" s="353">
        <v>85.115906026284833</v>
      </c>
      <c r="J159" s="353">
        <v>150.23744433422777</v>
      </c>
      <c r="K159" s="353">
        <v>196.43502390474072</v>
      </c>
      <c r="L159" s="353">
        <v>180.49839980875362</v>
      </c>
      <c r="M159" s="354">
        <v>302.67741935483872</v>
      </c>
      <c r="N159" s="352">
        <v>22.090322580645168</v>
      </c>
      <c r="O159" s="353">
        <v>21.47741935483872</v>
      </c>
      <c r="P159" s="353">
        <v>21.106451612903232</v>
      </c>
      <c r="Q159" s="353">
        <v>21.054838709677419</v>
      </c>
      <c r="R159" s="353">
        <v>21.958064516129035</v>
      </c>
      <c r="S159" s="353">
        <v>23.316129032258072</v>
      </c>
      <c r="T159" s="353">
        <v>24.670967741935492</v>
      </c>
      <c r="U159" s="353">
        <v>25.887096774193562</v>
      </c>
      <c r="V159" s="353">
        <v>27.067741935483877</v>
      </c>
      <c r="W159" s="353">
        <v>28.087096774193558</v>
      </c>
      <c r="X159" s="353">
        <v>28.709677419354854</v>
      </c>
      <c r="Y159" s="353">
        <v>29.500000000000004</v>
      </c>
      <c r="Z159" s="353">
        <v>29.819354838709689</v>
      </c>
      <c r="AA159" s="353">
        <v>29.890322580645176</v>
      </c>
      <c r="AB159" s="353">
        <v>29.529032258064522</v>
      </c>
      <c r="AC159" s="353">
        <v>28.770967741935493</v>
      </c>
      <c r="AD159" s="353">
        <v>27.845161290322586</v>
      </c>
      <c r="AE159" s="353">
        <v>26.677419354838705</v>
      </c>
      <c r="AF159" s="353">
        <v>25.467741935483879</v>
      </c>
      <c r="AG159" s="353">
        <v>24.787096774193557</v>
      </c>
      <c r="AH159" s="353">
        <v>24.251612903225816</v>
      </c>
      <c r="AI159" s="353">
        <v>23.664516129032261</v>
      </c>
      <c r="AJ159" s="353">
        <v>22.912903225806456</v>
      </c>
      <c r="AK159" s="354">
        <v>22.338709677419363</v>
      </c>
      <c r="AL159" s="352">
        <v>0</v>
      </c>
      <c r="AM159" s="353">
        <v>0</v>
      </c>
      <c r="AN159" s="353">
        <v>0</v>
      </c>
      <c r="AO159" s="353">
        <v>0</v>
      </c>
      <c r="AP159" s="353">
        <v>2.3548387096774195</v>
      </c>
      <c r="AQ159" s="353">
        <v>71.677419354838705</v>
      </c>
      <c r="AR159" s="353">
        <v>215.61290322580646</v>
      </c>
      <c r="AS159" s="353">
        <v>378.12903225806451</v>
      </c>
      <c r="AT159" s="353">
        <v>534.80645161290317</v>
      </c>
      <c r="AU159" s="353">
        <v>689.45161290322585</v>
      </c>
      <c r="AV159" s="353">
        <v>807.12903225806451</v>
      </c>
      <c r="AW159" s="353">
        <v>879.61290322580646</v>
      </c>
      <c r="AX159" s="353">
        <v>863.22580645161293</v>
      </c>
      <c r="AY159" s="353">
        <v>800.9677419354839</v>
      </c>
      <c r="AZ159" s="353">
        <v>697.35483870967744</v>
      </c>
      <c r="BA159" s="353">
        <v>568.45161290322585</v>
      </c>
      <c r="BB159" s="353">
        <v>419.22580645161293</v>
      </c>
      <c r="BC159" s="353">
        <v>245.7741935483871</v>
      </c>
      <c r="BD159" s="353">
        <v>89.903225806451616</v>
      </c>
      <c r="BE159" s="353">
        <v>0.58064516129032262</v>
      </c>
      <c r="BF159" s="353">
        <v>0</v>
      </c>
      <c r="BG159" s="353">
        <v>0</v>
      </c>
      <c r="BH159" s="353">
        <v>0</v>
      </c>
      <c r="BI159" s="354">
        <v>0</v>
      </c>
      <c r="BJ159" s="429"/>
    </row>
    <row r="160" spans="1:62" ht="15" x14ac:dyDescent="0.25">
      <c r="A160" s="347">
        <v>2010</v>
      </c>
      <c r="B160" s="348">
        <v>8</v>
      </c>
      <c r="C160" s="352">
        <v>24.776612903225981</v>
      </c>
      <c r="D160" s="354">
        <v>3.1169354838709675</v>
      </c>
      <c r="E160" s="353">
        <v>159.47920552289369</v>
      </c>
      <c r="F160" s="353">
        <v>154.40586476961218</v>
      </c>
      <c r="G160" s="353">
        <v>132.08214448337066</v>
      </c>
      <c r="H160" s="353">
        <v>88.004166964847613</v>
      </c>
      <c r="I160" s="353">
        <v>63.994207033207253</v>
      </c>
      <c r="J160" s="353">
        <v>120.88255810997491</v>
      </c>
      <c r="K160" s="353">
        <v>179.82717566177246</v>
      </c>
      <c r="L160" s="353">
        <v>188.8576597078565</v>
      </c>
      <c r="M160" s="354">
        <v>266.7970430107527</v>
      </c>
      <c r="N160" s="352">
        <v>21.445161290322591</v>
      </c>
      <c r="O160" s="353">
        <v>21.122580645161293</v>
      </c>
      <c r="P160" s="353">
        <v>20.880645161290321</v>
      </c>
      <c r="Q160" s="353">
        <v>20.535483870967745</v>
      </c>
      <c r="R160" s="353">
        <v>20.970967741935489</v>
      </c>
      <c r="S160" s="353">
        <v>22.396774193548385</v>
      </c>
      <c r="T160" s="353">
        <v>23.725806451612911</v>
      </c>
      <c r="U160" s="353">
        <v>24.890322580645169</v>
      </c>
      <c r="V160" s="353">
        <v>25.887096774193555</v>
      </c>
      <c r="W160" s="353">
        <v>26.906451612903233</v>
      </c>
      <c r="X160" s="353">
        <v>27.758064516129043</v>
      </c>
      <c r="Y160" s="353">
        <v>28.458064516129042</v>
      </c>
      <c r="Z160" s="353">
        <v>28.86451612903226</v>
      </c>
      <c r="AA160" s="353">
        <v>28.903225806451619</v>
      </c>
      <c r="AB160" s="353">
        <v>28.809677419354848</v>
      </c>
      <c r="AC160" s="353">
        <v>28.180645161290318</v>
      </c>
      <c r="AD160" s="353">
        <v>27.525806451612905</v>
      </c>
      <c r="AE160" s="353">
        <v>26.258064516129039</v>
      </c>
      <c r="AF160" s="353">
        <v>24.993548387096777</v>
      </c>
      <c r="AG160" s="353">
        <v>24.341935483870976</v>
      </c>
      <c r="AH160" s="353">
        <v>23.848387096774196</v>
      </c>
      <c r="AI160" s="353">
        <v>23.26451612903227</v>
      </c>
      <c r="AJ160" s="353">
        <v>22.758064516129046</v>
      </c>
      <c r="AK160" s="354">
        <v>21.912903225806456</v>
      </c>
      <c r="AL160" s="352">
        <v>0</v>
      </c>
      <c r="AM160" s="353">
        <v>0</v>
      </c>
      <c r="AN160" s="353">
        <v>0</v>
      </c>
      <c r="AO160" s="353">
        <v>0</v>
      </c>
      <c r="AP160" s="353">
        <v>0</v>
      </c>
      <c r="AQ160" s="353">
        <v>30.741935483870968</v>
      </c>
      <c r="AR160" s="353">
        <v>166.32258064516128</v>
      </c>
      <c r="AS160" s="353">
        <v>313.22580645161293</v>
      </c>
      <c r="AT160" s="353">
        <v>471.64516129032256</v>
      </c>
      <c r="AU160" s="353">
        <v>622.70967741935488</v>
      </c>
      <c r="AV160" s="353">
        <v>751.70967741935488</v>
      </c>
      <c r="AW160" s="353">
        <v>815.77419354838707</v>
      </c>
      <c r="AX160" s="353">
        <v>826.77419354838707</v>
      </c>
      <c r="AY160" s="353">
        <v>744.64516129032256</v>
      </c>
      <c r="AZ160" s="353">
        <v>619.58064516129036</v>
      </c>
      <c r="BA160" s="353">
        <v>497.61290322580646</v>
      </c>
      <c r="BB160" s="353">
        <v>341.64516129032256</v>
      </c>
      <c r="BC160" s="353">
        <v>170.41935483870967</v>
      </c>
      <c r="BD160" s="353">
        <v>30.322580645161292</v>
      </c>
      <c r="BE160" s="353">
        <v>0</v>
      </c>
      <c r="BF160" s="353">
        <v>0</v>
      </c>
      <c r="BG160" s="353">
        <v>0</v>
      </c>
      <c r="BH160" s="353">
        <v>0</v>
      </c>
      <c r="BI160" s="354">
        <v>0</v>
      </c>
      <c r="BJ160" s="429"/>
    </row>
    <row r="161" spans="1:62" ht="15" x14ac:dyDescent="0.25">
      <c r="A161" s="347">
        <v>2010</v>
      </c>
      <c r="B161" s="348">
        <v>9</v>
      </c>
      <c r="C161" s="352">
        <v>18.453888888889033</v>
      </c>
      <c r="D161" s="354">
        <v>3.776388888888889</v>
      </c>
      <c r="E161" s="353">
        <v>154.61948099076866</v>
      </c>
      <c r="F161" s="353">
        <v>126.5605776739506</v>
      </c>
      <c r="G161" s="353">
        <v>90.912481792010695</v>
      </c>
      <c r="H161" s="353">
        <v>55.100536624931635</v>
      </c>
      <c r="I161" s="353">
        <v>43.432121605586296</v>
      </c>
      <c r="J161" s="353">
        <v>73.813251967089542</v>
      </c>
      <c r="K161" s="353">
        <v>127.91891242922583</v>
      </c>
      <c r="L161" s="353">
        <v>159.91619594490973</v>
      </c>
      <c r="M161" s="354">
        <v>177.04444444444445</v>
      </c>
      <c r="N161" s="352">
        <v>16.259999999999998</v>
      </c>
      <c r="O161" s="353">
        <v>16.079999999999995</v>
      </c>
      <c r="P161" s="353">
        <v>15.823333333333329</v>
      </c>
      <c r="Q161" s="353">
        <v>15.533333333333328</v>
      </c>
      <c r="R161" s="353">
        <v>15.246666666666661</v>
      </c>
      <c r="S161" s="353">
        <v>16.253333333333327</v>
      </c>
      <c r="T161" s="353">
        <v>17.186666666666664</v>
      </c>
      <c r="U161" s="353">
        <v>18.393333333333327</v>
      </c>
      <c r="V161" s="353">
        <v>19.470000000000002</v>
      </c>
      <c r="W161" s="353">
        <v>20.329999999999998</v>
      </c>
      <c r="X161" s="353">
        <v>21.11</v>
      </c>
      <c r="Y161" s="353">
        <v>21.710000000000004</v>
      </c>
      <c r="Z161" s="353">
        <v>22.073333333333334</v>
      </c>
      <c r="AA161" s="353">
        <v>22.200000000000003</v>
      </c>
      <c r="AB161" s="353">
        <v>21.896666666666661</v>
      </c>
      <c r="AC161" s="353">
        <v>21.15666666666667</v>
      </c>
      <c r="AD161" s="353">
        <v>19.746666666666666</v>
      </c>
      <c r="AE161" s="353">
        <v>18.943333333333335</v>
      </c>
      <c r="AF161" s="353">
        <v>18.386666666666667</v>
      </c>
      <c r="AG161" s="353">
        <v>17.713333333333331</v>
      </c>
      <c r="AH161" s="353">
        <v>17.373333333333331</v>
      </c>
      <c r="AI161" s="353">
        <v>16.89</v>
      </c>
      <c r="AJ161" s="353">
        <v>16.516666666666662</v>
      </c>
      <c r="AK161" s="354">
        <v>16.600000000000001</v>
      </c>
      <c r="AL161" s="352">
        <v>0</v>
      </c>
      <c r="AM161" s="353">
        <v>0</v>
      </c>
      <c r="AN161" s="353">
        <v>0</v>
      </c>
      <c r="AO161" s="353">
        <v>0</v>
      </c>
      <c r="AP161" s="353">
        <v>0</v>
      </c>
      <c r="AQ161" s="353">
        <v>2.7666666666666666</v>
      </c>
      <c r="AR161" s="353">
        <v>74.7</v>
      </c>
      <c r="AS161" s="353">
        <v>198.06666666666666</v>
      </c>
      <c r="AT161" s="353">
        <v>310.96666666666664</v>
      </c>
      <c r="AU161" s="353">
        <v>444.93333333333334</v>
      </c>
      <c r="AV161" s="353">
        <v>557.16666666666663</v>
      </c>
      <c r="AW161" s="353">
        <v>598.6</v>
      </c>
      <c r="AX161" s="353">
        <v>588.29999999999995</v>
      </c>
      <c r="AY161" s="353">
        <v>521.66666666666663</v>
      </c>
      <c r="AZ161" s="353">
        <v>418.03333333333336</v>
      </c>
      <c r="BA161" s="353">
        <v>308.53333333333336</v>
      </c>
      <c r="BB161" s="353">
        <v>177.66666666666666</v>
      </c>
      <c r="BC161" s="353">
        <v>47.666666666666664</v>
      </c>
      <c r="BD161" s="353">
        <v>0</v>
      </c>
      <c r="BE161" s="353">
        <v>0</v>
      </c>
      <c r="BF161" s="353">
        <v>0</v>
      </c>
      <c r="BG161" s="353">
        <v>0</v>
      </c>
      <c r="BH161" s="353">
        <v>0</v>
      </c>
      <c r="BI161" s="354">
        <v>0</v>
      </c>
      <c r="BJ161" s="429"/>
    </row>
    <row r="162" spans="1:62" ht="15" x14ac:dyDescent="0.25">
      <c r="A162" s="347">
        <v>2010</v>
      </c>
      <c r="B162" s="348">
        <v>10</v>
      </c>
      <c r="C162" s="352">
        <v>13.23306451612903</v>
      </c>
      <c r="D162" s="354">
        <v>3.760752688172043</v>
      </c>
      <c r="E162" s="353">
        <v>188.49857174843592</v>
      </c>
      <c r="F162" s="353">
        <v>134.58703381007859</v>
      </c>
      <c r="G162" s="353">
        <v>75.498797437599166</v>
      </c>
      <c r="H162" s="353">
        <v>35.73833016149473</v>
      </c>
      <c r="I162" s="353">
        <v>30.584191878831192</v>
      </c>
      <c r="J162" s="353">
        <v>48.500772075610847</v>
      </c>
      <c r="K162" s="353">
        <v>112.12552133942908</v>
      </c>
      <c r="L162" s="353">
        <v>173.56043470328748</v>
      </c>
      <c r="M162" s="354">
        <v>147.01881720430109</v>
      </c>
      <c r="N162" s="352">
        <v>10.499999999999998</v>
      </c>
      <c r="O162" s="353">
        <v>10.019354838709672</v>
      </c>
      <c r="P162" s="353">
        <v>9.583870967741932</v>
      </c>
      <c r="Q162" s="353">
        <v>9.2225806451612851</v>
      </c>
      <c r="R162" s="353">
        <v>8.9322580645161285</v>
      </c>
      <c r="S162" s="353">
        <v>9.6935483870967705</v>
      </c>
      <c r="T162" s="353">
        <v>11.606451612903223</v>
      </c>
      <c r="U162" s="353">
        <v>13.393548387096772</v>
      </c>
      <c r="V162" s="353">
        <v>15.019354838709676</v>
      </c>
      <c r="W162" s="353">
        <v>16.225806451612904</v>
      </c>
      <c r="X162" s="353">
        <v>17.312903225806444</v>
      </c>
      <c r="Y162" s="353">
        <v>17.999999999999993</v>
      </c>
      <c r="Z162" s="353">
        <v>18.299999999999994</v>
      </c>
      <c r="AA162" s="353">
        <v>18.293548387096774</v>
      </c>
      <c r="AB162" s="353">
        <v>17.603225806451611</v>
      </c>
      <c r="AC162" s="353">
        <v>16.322580645161288</v>
      </c>
      <c r="AD162" s="353">
        <v>14.641935483870963</v>
      </c>
      <c r="AE162" s="353">
        <v>13.654838709677419</v>
      </c>
      <c r="AF162" s="353">
        <v>12.983870967741931</v>
      </c>
      <c r="AG162" s="353">
        <v>12.332258064516125</v>
      </c>
      <c r="AH162" s="353">
        <v>11.409677419354841</v>
      </c>
      <c r="AI162" s="353">
        <v>11.054838709677417</v>
      </c>
      <c r="AJ162" s="353">
        <v>10.761290322580642</v>
      </c>
      <c r="AK162" s="354">
        <v>10.725806451612902</v>
      </c>
      <c r="AL162" s="352">
        <v>0</v>
      </c>
      <c r="AM162" s="353">
        <v>0</v>
      </c>
      <c r="AN162" s="353">
        <v>0</v>
      </c>
      <c r="AO162" s="353">
        <v>0</v>
      </c>
      <c r="AP162" s="353">
        <v>0</v>
      </c>
      <c r="AQ162" s="353">
        <v>0</v>
      </c>
      <c r="AR162" s="353">
        <v>24.741935483870968</v>
      </c>
      <c r="AS162" s="353">
        <v>143.45161290322579</v>
      </c>
      <c r="AT162" s="353">
        <v>281.70967741935482</v>
      </c>
      <c r="AU162" s="353">
        <v>410.83870967741933</v>
      </c>
      <c r="AV162" s="353">
        <v>507.87096774193549</v>
      </c>
      <c r="AW162" s="353">
        <v>546.48387096774195</v>
      </c>
      <c r="AX162" s="353">
        <v>522.09677419354841</v>
      </c>
      <c r="AY162" s="353">
        <v>470.09677419354841</v>
      </c>
      <c r="AZ162" s="353">
        <v>347.19354838709677</v>
      </c>
      <c r="BA162" s="353">
        <v>207.03225806451613</v>
      </c>
      <c r="BB162" s="353">
        <v>66.548387096774192</v>
      </c>
      <c r="BC162" s="353">
        <v>0.38709677419354838</v>
      </c>
      <c r="BD162" s="353">
        <v>0</v>
      </c>
      <c r="BE162" s="353">
        <v>0</v>
      </c>
      <c r="BF162" s="353">
        <v>0</v>
      </c>
      <c r="BG162" s="353">
        <v>0</v>
      </c>
      <c r="BH162" s="353">
        <v>0</v>
      </c>
      <c r="BI162" s="354">
        <v>0</v>
      </c>
      <c r="BJ162" s="429"/>
    </row>
    <row r="163" spans="1:62" ht="15" x14ac:dyDescent="0.25">
      <c r="A163" s="347">
        <v>2010</v>
      </c>
      <c r="B163" s="348">
        <v>11</v>
      </c>
      <c r="C163" s="352">
        <v>5.2748611111110781</v>
      </c>
      <c r="D163" s="354">
        <v>4.145833333333333</v>
      </c>
      <c r="E163" s="353">
        <v>141.82263174795355</v>
      </c>
      <c r="F163" s="353">
        <v>98.585580829927537</v>
      </c>
      <c r="G163" s="353">
        <v>47.790701492829591</v>
      </c>
      <c r="H163" s="353">
        <v>23.019619617161176</v>
      </c>
      <c r="I163" s="353">
        <v>21.975663009664313</v>
      </c>
      <c r="J163" s="353">
        <v>27.107691437356916</v>
      </c>
      <c r="K163" s="353">
        <v>66.642668380567059</v>
      </c>
      <c r="L163" s="353">
        <v>121.28996967710503</v>
      </c>
      <c r="M163" s="354">
        <v>85.386111111111106</v>
      </c>
      <c r="N163" s="352">
        <v>3.5200000000000009</v>
      </c>
      <c r="O163" s="353">
        <v>3.1700000000000008</v>
      </c>
      <c r="P163" s="353">
        <v>2.9833333333333338</v>
      </c>
      <c r="Q163" s="353">
        <v>2.9666666666666668</v>
      </c>
      <c r="R163" s="353">
        <v>2.6000000000000005</v>
      </c>
      <c r="S163" s="353">
        <v>2.9266666666666685</v>
      </c>
      <c r="T163" s="353">
        <v>3.7500000000000009</v>
      </c>
      <c r="U163" s="353">
        <v>4.9566666666666652</v>
      </c>
      <c r="V163" s="353">
        <v>6.2433333333333296</v>
      </c>
      <c r="W163" s="353">
        <v>7.2833333333333341</v>
      </c>
      <c r="X163" s="353">
        <v>8.0933333333333284</v>
      </c>
      <c r="Y163" s="353">
        <v>8.69</v>
      </c>
      <c r="Z163" s="353">
        <v>8.8766666666666634</v>
      </c>
      <c r="AA163" s="353">
        <v>8.7799999999999958</v>
      </c>
      <c r="AB163" s="353">
        <v>7.7099999999999973</v>
      </c>
      <c r="AC163" s="353">
        <v>6.8999999999999995</v>
      </c>
      <c r="AD163" s="353">
        <v>6.1933333333333298</v>
      </c>
      <c r="AE163" s="353">
        <v>5.6566666666666654</v>
      </c>
      <c r="AF163" s="353">
        <v>5.169999999999999</v>
      </c>
      <c r="AG163" s="353">
        <v>4.5799999999999992</v>
      </c>
      <c r="AH163" s="353">
        <v>4.2399999999999993</v>
      </c>
      <c r="AI163" s="353">
        <v>3.9366666666666674</v>
      </c>
      <c r="AJ163" s="353">
        <v>3.6199999999999997</v>
      </c>
      <c r="AK163" s="354">
        <v>3.7500000000000009</v>
      </c>
      <c r="AL163" s="352">
        <v>0</v>
      </c>
      <c r="AM163" s="353">
        <v>0</v>
      </c>
      <c r="AN163" s="353">
        <v>0</v>
      </c>
      <c r="AO163" s="353">
        <v>0</v>
      </c>
      <c r="AP163" s="353">
        <v>0</v>
      </c>
      <c r="AQ163" s="353">
        <v>0</v>
      </c>
      <c r="AR163" s="353">
        <v>0.8</v>
      </c>
      <c r="AS163" s="353">
        <v>54.8</v>
      </c>
      <c r="AT163" s="353">
        <v>160.13333333333333</v>
      </c>
      <c r="AU163" s="353">
        <v>257.8</v>
      </c>
      <c r="AV163" s="353">
        <v>327.9</v>
      </c>
      <c r="AW163" s="353">
        <v>355.13333333333333</v>
      </c>
      <c r="AX163" s="353">
        <v>332.26666666666665</v>
      </c>
      <c r="AY163" s="353">
        <v>273.60000000000002</v>
      </c>
      <c r="AZ163" s="353">
        <v>192.43333333333334</v>
      </c>
      <c r="BA163" s="353">
        <v>86.766666666666666</v>
      </c>
      <c r="BB163" s="353">
        <v>7.6333333333333337</v>
      </c>
      <c r="BC163" s="353">
        <v>0</v>
      </c>
      <c r="BD163" s="353">
        <v>0</v>
      </c>
      <c r="BE163" s="353">
        <v>0</v>
      </c>
      <c r="BF163" s="353">
        <v>0</v>
      </c>
      <c r="BG163" s="353">
        <v>0</v>
      </c>
      <c r="BH163" s="353">
        <v>0</v>
      </c>
      <c r="BI163" s="354">
        <v>0</v>
      </c>
      <c r="BJ163" s="429"/>
    </row>
    <row r="164" spans="1:62" ht="15" x14ac:dyDescent="0.25">
      <c r="A164" s="373">
        <v>2010</v>
      </c>
      <c r="B164" s="374">
        <v>12</v>
      </c>
      <c r="C164" s="355">
        <v>-5.0957046979866174</v>
      </c>
      <c r="D164" s="357">
        <v>4.0147651006711413</v>
      </c>
      <c r="E164" s="356">
        <v>113.7044234007067</v>
      </c>
      <c r="F164" s="356">
        <v>75.883529578391119</v>
      </c>
      <c r="G164" s="356">
        <v>33.39380724449164</v>
      </c>
      <c r="H164" s="356">
        <v>19.201781075660008</v>
      </c>
      <c r="I164" s="356">
        <v>18.969882937466043</v>
      </c>
      <c r="J164" s="356">
        <v>20.814342099905652</v>
      </c>
      <c r="K164" s="356">
        <v>50.189880316146692</v>
      </c>
      <c r="L164" s="356">
        <v>98.169920976745061</v>
      </c>
      <c r="M164" s="357">
        <v>62.508724832214767</v>
      </c>
      <c r="N164" s="355">
        <v>-6.4548387096774231</v>
      </c>
      <c r="O164" s="356">
        <v>-6.3838709677419381</v>
      </c>
      <c r="P164" s="356">
        <v>-6.7258064516129048</v>
      </c>
      <c r="Q164" s="356">
        <v>-6.9774193548387133</v>
      </c>
      <c r="R164" s="356">
        <v>-6.9258064516129059</v>
      </c>
      <c r="S164" s="356">
        <v>-6.7225806451612948</v>
      </c>
      <c r="T164" s="356">
        <v>-6.5483870967741966</v>
      </c>
      <c r="U164" s="356">
        <v>-5.6322580645161331</v>
      </c>
      <c r="V164" s="356">
        <v>-4.6483870967741963</v>
      </c>
      <c r="W164" s="356">
        <v>-3.6387096774193539</v>
      </c>
      <c r="X164" s="356">
        <v>-2.9903225806451603</v>
      </c>
      <c r="Y164" s="356">
        <v>-2.6645161290322572</v>
      </c>
      <c r="Z164" s="356">
        <v>-2.4838709677419359</v>
      </c>
      <c r="AA164" s="356">
        <v>-2.6645161290322581</v>
      </c>
      <c r="AB164" s="356">
        <v>-3.1451612903225805</v>
      </c>
      <c r="AC164" s="356">
        <v>-3.5645161290322571</v>
      </c>
      <c r="AD164" s="356">
        <v>-4.5000000000000009</v>
      </c>
      <c r="AE164" s="356">
        <v>-4.8838709677419363</v>
      </c>
      <c r="AF164" s="356">
        <v>-5.1419354838709692</v>
      </c>
      <c r="AG164" s="356">
        <v>-5.403225806451613</v>
      </c>
      <c r="AH164" s="356">
        <v>-5.7354838709677436</v>
      </c>
      <c r="AI164" s="356">
        <v>-5.8806451612903246</v>
      </c>
      <c r="AJ164" s="356">
        <v>-6.2322580645161318</v>
      </c>
      <c r="AK164" s="357">
        <v>-6.3093750000000028</v>
      </c>
      <c r="AL164" s="355">
        <v>0</v>
      </c>
      <c r="AM164" s="356">
        <v>0</v>
      </c>
      <c r="AN164" s="356">
        <v>0</v>
      </c>
      <c r="AO164" s="356">
        <v>0</v>
      </c>
      <c r="AP164" s="356">
        <v>0</v>
      </c>
      <c r="AQ164" s="356">
        <v>0</v>
      </c>
      <c r="AR164" s="356">
        <v>0</v>
      </c>
      <c r="AS164" s="356">
        <v>11.741935483870968</v>
      </c>
      <c r="AT164" s="356">
        <v>82.387096774193552</v>
      </c>
      <c r="AU164" s="356">
        <v>172.41935483870967</v>
      </c>
      <c r="AV164" s="356">
        <v>246.12903225806451</v>
      </c>
      <c r="AW164" s="356">
        <v>282.35483870967744</v>
      </c>
      <c r="AX164" s="356">
        <v>274.32258064516128</v>
      </c>
      <c r="AY164" s="356">
        <v>229.74193548387098</v>
      </c>
      <c r="AZ164" s="356">
        <v>144.83870967741936</v>
      </c>
      <c r="BA164" s="356">
        <v>58.096774193548384</v>
      </c>
      <c r="BB164" s="356">
        <v>0.19354838709677419</v>
      </c>
      <c r="BC164" s="356">
        <v>0</v>
      </c>
      <c r="BD164" s="356">
        <v>0</v>
      </c>
      <c r="BE164" s="356">
        <v>0</v>
      </c>
      <c r="BF164" s="356">
        <v>0</v>
      </c>
      <c r="BG164" s="356">
        <v>0</v>
      </c>
      <c r="BH164" s="356">
        <v>0</v>
      </c>
      <c r="BI164" s="357">
        <v>0</v>
      </c>
      <c r="BJ164" s="429"/>
    </row>
    <row r="165" spans="1:62" ht="15" x14ac:dyDescent="0.25">
      <c r="A165" s="429"/>
      <c r="B165" s="429"/>
      <c r="C165" s="429"/>
      <c r="D165" s="429"/>
      <c r="E165" s="429"/>
      <c r="F165" s="429"/>
      <c r="G165" s="429"/>
      <c r="H165" s="429"/>
      <c r="I165" s="429"/>
      <c r="J165" s="429"/>
      <c r="K165" s="429"/>
      <c r="L165" s="429"/>
      <c r="M165" s="429"/>
      <c r="N165" s="429"/>
      <c r="O165" s="429"/>
      <c r="P165" s="429"/>
      <c r="Q165" s="429"/>
      <c r="R165" s="429"/>
      <c r="S165" s="429"/>
      <c r="T165" s="429"/>
      <c r="U165" s="429"/>
      <c r="V165" s="429"/>
      <c r="W165" s="429"/>
      <c r="X165" s="429"/>
      <c r="Y165" s="429"/>
      <c r="Z165" s="429"/>
      <c r="AA165" s="429"/>
      <c r="AB165" s="429"/>
      <c r="AC165" s="429"/>
      <c r="AD165" s="429"/>
      <c r="AE165" s="429"/>
      <c r="AF165" s="429"/>
      <c r="AG165" s="429"/>
      <c r="AH165" s="429"/>
      <c r="AI165" s="429"/>
      <c r="AJ165" s="429"/>
      <c r="AK165" s="429"/>
      <c r="AL165" s="429"/>
      <c r="AM165" s="429"/>
      <c r="AN165" s="429"/>
      <c r="AO165" s="429"/>
      <c r="AP165" s="429"/>
      <c r="AQ165" s="429"/>
      <c r="AR165" s="429"/>
      <c r="AS165" s="429"/>
      <c r="AT165" s="429"/>
      <c r="AU165" s="429"/>
      <c r="AV165" s="429"/>
      <c r="AW165" s="429"/>
      <c r="AX165" s="429"/>
      <c r="AY165" s="429"/>
      <c r="AZ165" s="429"/>
      <c r="BA165" s="429"/>
      <c r="BB165" s="429"/>
      <c r="BC165" s="429"/>
      <c r="BD165" s="429"/>
      <c r="BE165" s="429"/>
      <c r="BF165" s="429"/>
      <c r="BG165" s="429"/>
      <c r="BH165" s="429"/>
      <c r="BI165" s="429"/>
      <c r="BJ165" s="429"/>
    </row>
    <row r="166" spans="1:62" ht="15" x14ac:dyDescent="0.25">
      <c r="A166" s="429"/>
      <c r="B166" s="429"/>
      <c r="C166" s="429"/>
      <c r="D166" s="429"/>
      <c r="E166" s="429"/>
      <c r="F166" s="429"/>
      <c r="G166" s="429"/>
      <c r="H166" s="429"/>
      <c r="I166" s="429"/>
      <c r="J166" s="429"/>
      <c r="K166" s="429"/>
      <c r="L166" s="429"/>
      <c r="M166" s="429"/>
      <c r="N166" s="429"/>
      <c r="O166" s="429"/>
      <c r="P166" s="429"/>
      <c r="Q166" s="429"/>
      <c r="R166" s="429"/>
      <c r="S166" s="429"/>
      <c r="T166" s="429"/>
      <c r="U166" s="429"/>
      <c r="V166" s="429"/>
      <c r="W166" s="429"/>
      <c r="X166" s="429"/>
      <c r="Y166" s="429"/>
      <c r="Z166" s="429"/>
      <c r="AA166" s="429"/>
      <c r="AB166" s="429"/>
      <c r="AC166" s="429"/>
      <c r="AD166" s="429"/>
      <c r="AE166" s="429"/>
      <c r="AF166" s="429"/>
      <c r="AG166" s="429"/>
      <c r="AH166" s="429"/>
      <c r="AI166" s="429"/>
      <c r="AJ166" s="429"/>
      <c r="AK166" s="429"/>
      <c r="AL166" s="429"/>
      <c r="AM166" s="429"/>
      <c r="AN166" s="429"/>
      <c r="AO166" s="429"/>
      <c r="AP166" s="429"/>
      <c r="AQ166" s="429"/>
      <c r="AR166" s="429"/>
      <c r="AS166" s="429"/>
      <c r="AT166" s="429"/>
      <c r="AU166" s="429"/>
      <c r="AV166" s="429"/>
      <c r="AW166" s="429"/>
      <c r="AX166" s="429"/>
      <c r="AY166" s="429"/>
      <c r="AZ166" s="429"/>
      <c r="BA166" s="429"/>
      <c r="BB166" s="429"/>
      <c r="BC166" s="429"/>
      <c r="BD166" s="429"/>
      <c r="BE166" s="429"/>
      <c r="BF166" s="429"/>
      <c r="BG166" s="429"/>
      <c r="BH166" s="429"/>
      <c r="BI166" s="429"/>
      <c r="BJ166" s="429"/>
    </row>
    <row r="167" spans="1:62" ht="15" x14ac:dyDescent="0.25">
      <c r="A167" s="429"/>
      <c r="B167" s="429"/>
      <c r="C167" s="429"/>
      <c r="D167" s="429"/>
      <c r="E167" s="429"/>
      <c r="F167" s="429"/>
      <c r="G167" s="429"/>
      <c r="H167" s="429"/>
      <c r="I167" s="429"/>
      <c r="J167" s="429"/>
      <c r="K167" s="429"/>
      <c r="L167" s="429"/>
      <c r="M167" s="429"/>
      <c r="N167" s="429"/>
      <c r="O167" s="429"/>
      <c r="P167" s="429"/>
      <c r="Q167" s="429"/>
      <c r="R167" s="429"/>
      <c r="S167" s="429"/>
      <c r="T167" s="429"/>
      <c r="U167" s="429"/>
      <c r="V167" s="429"/>
      <c r="W167" s="429"/>
      <c r="X167" s="429"/>
      <c r="Y167" s="429"/>
      <c r="Z167" s="429"/>
      <c r="AA167" s="429"/>
      <c r="AB167" s="429"/>
      <c r="AC167" s="429"/>
      <c r="AD167" s="429"/>
      <c r="AE167" s="429"/>
      <c r="AF167" s="429"/>
      <c r="AG167" s="429"/>
      <c r="AH167" s="429"/>
      <c r="AI167" s="429"/>
      <c r="AJ167" s="429"/>
      <c r="AK167" s="429"/>
      <c r="AL167" s="429"/>
      <c r="AM167" s="429"/>
      <c r="AN167" s="429"/>
      <c r="AO167" s="429"/>
      <c r="AP167" s="429"/>
      <c r="AQ167" s="429"/>
      <c r="AR167" s="429"/>
      <c r="AS167" s="429"/>
      <c r="AT167" s="429"/>
      <c r="AU167" s="429"/>
      <c r="AV167" s="429"/>
      <c r="AW167" s="429"/>
      <c r="AX167" s="429"/>
      <c r="AY167" s="429"/>
      <c r="AZ167" s="429"/>
      <c r="BA167" s="429"/>
      <c r="BB167" s="429"/>
      <c r="BC167" s="429"/>
      <c r="BD167" s="429"/>
      <c r="BE167" s="429"/>
      <c r="BF167" s="429"/>
      <c r="BG167" s="429"/>
      <c r="BH167" s="429"/>
      <c r="BI167" s="429"/>
      <c r="BJ167" s="429"/>
    </row>
    <row r="168" spans="1:62" ht="15" x14ac:dyDescent="0.25">
      <c r="A168" s="429"/>
      <c r="B168" s="429"/>
      <c r="C168" s="429"/>
      <c r="D168" s="429"/>
      <c r="E168" s="429"/>
      <c r="F168" s="429"/>
      <c r="G168" s="429"/>
      <c r="H168" s="429"/>
      <c r="I168" s="429"/>
      <c r="J168" s="429"/>
      <c r="K168" s="429"/>
      <c r="L168" s="429"/>
      <c r="M168" s="429"/>
      <c r="N168" s="429"/>
      <c r="O168" s="429"/>
      <c r="P168" s="429"/>
      <c r="Q168" s="429"/>
      <c r="R168" s="429"/>
      <c r="S168" s="429"/>
      <c r="T168" s="429"/>
      <c r="U168" s="429"/>
      <c r="V168" s="429"/>
      <c r="W168" s="429"/>
      <c r="X168" s="429"/>
      <c r="Y168" s="429"/>
      <c r="Z168" s="429"/>
      <c r="AA168" s="429"/>
      <c r="AB168" s="429"/>
      <c r="AC168" s="429"/>
      <c r="AD168" s="429"/>
      <c r="AE168" s="429"/>
      <c r="AF168" s="429"/>
      <c r="AG168" s="429"/>
      <c r="AH168" s="429"/>
      <c r="AI168" s="429"/>
      <c r="AJ168" s="429"/>
      <c r="AK168" s="429"/>
      <c r="AL168" s="429"/>
      <c r="AM168" s="429"/>
      <c r="AN168" s="429"/>
      <c r="AO168" s="429"/>
      <c r="AP168" s="429"/>
      <c r="AQ168" s="429"/>
      <c r="AR168" s="429"/>
      <c r="AS168" s="429"/>
      <c r="AT168" s="429"/>
      <c r="AU168" s="429"/>
      <c r="AV168" s="429"/>
      <c r="AW168" s="429"/>
      <c r="AX168" s="429"/>
      <c r="AY168" s="429"/>
      <c r="AZ168" s="429"/>
      <c r="BA168" s="429"/>
      <c r="BB168" s="429"/>
      <c r="BC168" s="429"/>
      <c r="BD168" s="429"/>
      <c r="BE168" s="429"/>
      <c r="BF168" s="429"/>
      <c r="BG168" s="429"/>
      <c r="BH168" s="429"/>
      <c r="BI168" s="429"/>
      <c r="BJ168" s="429"/>
    </row>
    <row r="169" spans="1:62" ht="15" x14ac:dyDescent="0.25">
      <c r="A169" s="429"/>
      <c r="B169" s="429"/>
      <c r="C169" s="429"/>
      <c r="D169" s="429"/>
      <c r="E169" s="429"/>
      <c r="F169" s="429"/>
      <c r="G169" s="429"/>
      <c r="H169" s="429"/>
      <c r="I169" s="429"/>
      <c r="J169" s="429"/>
      <c r="K169" s="429"/>
      <c r="L169" s="429"/>
      <c r="M169" s="429"/>
      <c r="N169" s="429"/>
      <c r="O169" s="429"/>
      <c r="P169" s="429"/>
      <c r="Q169" s="429"/>
      <c r="R169" s="429"/>
      <c r="S169" s="429"/>
      <c r="T169" s="429"/>
      <c r="U169" s="429"/>
      <c r="V169" s="429"/>
      <c r="W169" s="429"/>
      <c r="X169" s="429"/>
      <c r="Y169" s="429"/>
      <c r="Z169" s="429"/>
      <c r="AA169" s="429"/>
      <c r="AB169" s="429"/>
      <c r="AC169" s="429"/>
      <c r="AD169" s="429"/>
      <c r="AE169" s="429"/>
      <c r="AF169" s="429"/>
      <c r="AG169" s="429"/>
      <c r="AH169" s="429"/>
      <c r="AI169" s="429"/>
      <c r="AJ169" s="429"/>
      <c r="AK169" s="429"/>
      <c r="AL169" s="429"/>
      <c r="AM169" s="429"/>
      <c r="AN169" s="429"/>
      <c r="AO169" s="429"/>
      <c r="AP169" s="429"/>
      <c r="AQ169" s="429"/>
      <c r="AR169" s="429"/>
      <c r="AS169" s="429"/>
      <c r="AT169" s="429"/>
      <c r="AU169" s="429"/>
      <c r="AV169" s="429"/>
      <c r="AW169" s="429"/>
      <c r="AX169" s="429"/>
      <c r="AY169" s="429"/>
      <c r="AZ169" s="429"/>
      <c r="BA169" s="429"/>
      <c r="BB169" s="429"/>
      <c r="BC169" s="429"/>
      <c r="BD169" s="429"/>
      <c r="BE169" s="429"/>
      <c r="BF169" s="429"/>
      <c r="BG169" s="429"/>
      <c r="BH169" s="429"/>
      <c r="BI169" s="429"/>
      <c r="BJ169" s="429"/>
    </row>
    <row r="170" spans="1:62" ht="15" x14ac:dyDescent="0.25">
      <c r="A170" s="429"/>
      <c r="B170" s="429"/>
      <c r="C170" s="429"/>
      <c r="D170" s="429"/>
      <c r="E170" s="429"/>
      <c r="F170" s="429"/>
      <c r="G170" s="429"/>
      <c r="H170" s="429"/>
      <c r="I170" s="429"/>
      <c r="J170" s="429"/>
      <c r="K170" s="429"/>
      <c r="L170" s="429"/>
      <c r="M170" s="429"/>
      <c r="N170" s="429"/>
      <c r="O170" s="429"/>
      <c r="P170" s="429"/>
      <c r="Q170" s="429"/>
      <c r="R170" s="429"/>
      <c r="S170" s="429"/>
      <c r="T170" s="429"/>
      <c r="U170" s="429"/>
      <c r="V170" s="429"/>
      <c r="W170" s="429"/>
      <c r="X170" s="429"/>
      <c r="Y170" s="429"/>
      <c r="Z170" s="429"/>
      <c r="AA170" s="429"/>
      <c r="AB170" s="429"/>
      <c r="AC170" s="429"/>
      <c r="AD170" s="429"/>
      <c r="AE170" s="429"/>
      <c r="AF170" s="429"/>
      <c r="AG170" s="429"/>
      <c r="AH170" s="429"/>
      <c r="AI170" s="429"/>
      <c r="AJ170" s="429"/>
      <c r="AK170" s="429"/>
      <c r="AL170" s="429"/>
      <c r="AM170" s="429"/>
      <c r="AN170" s="429"/>
      <c r="AO170" s="429"/>
      <c r="AP170" s="429"/>
      <c r="AQ170" s="429"/>
      <c r="AR170" s="429"/>
      <c r="AS170" s="429"/>
      <c r="AT170" s="429"/>
      <c r="AU170" s="429"/>
      <c r="AV170" s="429"/>
      <c r="AW170" s="429"/>
      <c r="AX170" s="429"/>
      <c r="AY170" s="429"/>
      <c r="AZ170" s="429"/>
      <c r="BA170" s="429"/>
      <c r="BB170" s="429"/>
      <c r="BC170" s="429"/>
      <c r="BD170" s="429"/>
      <c r="BE170" s="429"/>
      <c r="BF170" s="429"/>
      <c r="BG170" s="429"/>
      <c r="BH170" s="429"/>
      <c r="BI170" s="429"/>
      <c r="BJ170" s="429"/>
    </row>
    <row r="171" spans="1:62" ht="15" x14ac:dyDescent="0.25">
      <c r="A171" s="429"/>
      <c r="B171" s="429"/>
      <c r="C171" s="429"/>
      <c r="D171" s="429"/>
      <c r="E171" s="429"/>
      <c r="F171" s="429"/>
      <c r="G171" s="429"/>
      <c r="H171" s="429"/>
      <c r="I171" s="429"/>
      <c r="J171" s="429"/>
      <c r="K171" s="429"/>
      <c r="L171" s="429"/>
      <c r="M171" s="429"/>
      <c r="N171" s="429"/>
      <c r="O171" s="429"/>
      <c r="P171" s="429"/>
      <c r="Q171" s="429"/>
      <c r="R171" s="429"/>
      <c r="S171" s="429"/>
      <c r="T171" s="429"/>
      <c r="U171" s="429"/>
      <c r="V171" s="429"/>
      <c r="W171" s="429"/>
      <c r="X171" s="429"/>
      <c r="Y171" s="429"/>
      <c r="Z171" s="429"/>
      <c r="AA171" s="429"/>
      <c r="AB171" s="429"/>
      <c r="AC171" s="429"/>
      <c r="AD171" s="429"/>
      <c r="AE171" s="429"/>
      <c r="AF171" s="429"/>
      <c r="AG171" s="429"/>
      <c r="AH171" s="429"/>
      <c r="AI171" s="429"/>
      <c r="AJ171" s="429"/>
      <c r="AK171" s="429"/>
      <c r="AL171" s="429"/>
      <c r="AM171" s="429"/>
      <c r="AN171" s="429"/>
      <c r="AO171" s="429"/>
      <c r="AP171" s="429"/>
      <c r="AQ171" s="429"/>
      <c r="AR171" s="429"/>
      <c r="AS171" s="429"/>
      <c r="AT171" s="429"/>
      <c r="AU171" s="429"/>
      <c r="AV171" s="429"/>
      <c r="AW171" s="429"/>
      <c r="AX171" s="429"/>
      <c r="AY171" s="429"/>
      <c r="AZ171" s="429"/>
      <c r="BA171" s="429"/>
      <c r="BB171" s="429"/>
      <c r="BC171" s="429"/>
      <c r="BD171" s="429"/>
      <c r="BE171" s="429"/>
      <c r="BF171" s="429"/>
      <c r="BG171" s="429"/>
      <c r="BH171" s="429"/>
      <c r="BI171" s="429"/>
      <c r="BJ171" s="429"/>
    </row>
    <row r="172" spans="1:62" ht="15" x14ac:dyDescent="0.25">
      <c r="A172" s="429"/>
      <c r="B172" s="429"/>
      <c r="C172" s="429"/>
      <c r="D172" s="429"/>
      <c r="E172" s="429"/>
      <c r="F172" s="429"/>
      <c r="G172" s="429"/>
      <c r="H172" s="429"/>
      <c r="I172" s="429"/>
      <c r="J172" s="429"/>
      <c r="K172" s="429"/>
      <c r="L172" s="429"/>
      <c r="M172" s="429"/>
      <c r="N172" s="429"/>
      <c r="O172" s="429"/>
      <c r="P172" s="429"/>
      <c r="Q172" s="429"/>
      <c r="R172" s="429"/>
      <c r="S172" s="429"/>
      <c r="T172" s="429"/>
      <c r="U172" s="429"/>
      <c r="V172" s="429"/>
      <c r="W172" s="429"/>
      <c r="X172" s="429"/>
      <c r="Y172" s="429"/>
      <c r="Z172" s="429"/>
      <c r="AA172" s="429"/>
      <c r="AB172" s="429"/>
      <c r="AC172" s="429"/>
      <c r="AD172" s="429"/>
      <c r="AE172" s="429"/>
      <c r="AF172" s="429"/>
      <c r="AG172" s="429"/>
      <c r="AH172" s="429"/>
      <c r="AI172" s="429"/>
      <c r="AJ172" s="429"/>
      <c r="AK172" s="429"/>
      <c r="AL172" s="429"/>
      <c r="AM172" s="429"/>
      <c r="AN172" s="429"/>
      <c r="AO172" s="429"/>
      <c r="AP172" s="429"/>
      <c r="AQ172" s="429"/>
      <c r="AR172" s="429"/>
      <c r="AS172" s="429"/>
      <c r="AT172" s="429"/>
      <c r="AU172" s="429"/>
      <c r="AV172" s="429"/>
      <c r="AW172" s="429"/>
      <c r="AX172" s="429"/>
      <c r="AY172" s="429"/>
      <c r="AZ172" s="429"/>
      <c r="BA172" s="429"/>
      <c r="BB172" s="429"/>
      <c r="BC172" s="429"/>
      <c r="BD172" s="429"/>
      <c r="BE172" s="429"/>
      <c r="BF172" s="429"/>
      <c r="BG172" s="429"/>
      <c r="BH172" s="429"/>
      <c r="BI172" s="429"/>
      <c r="BJ172" s="429"/>
    </row>
    <row r="173" spans="1:62" ht="15" x14ac:dyDescent="0.25">
      <c r="A173" s="429"/>
      <c r="B173" s="429"/>
      <c r="C173" s="429"/>
      <c r="D173" s="429"/>
      <c r="E173" s="429"/>
      <c r="F173" s="429"/>
      <c r="G173" s="429"/>
      <c r="H173" s="429"/>
      <c r="I173" s="429"/>
      <c r="J173" s="429"/>
      <c r="K173" s="429"/>
      <c r="L173" s="429"/>
      <c r="M173" s="429"/>
      <c r="N173" s="429"/>
      <c r="O173" s="429"/>
      <c r="P173" s="429"/>
      <c r="Q173" s="429"/>
      <c r="R173" s="429"/>
      <c r="S173" s="429"/>
      <c r="T173" s="429"/>
      <c r="U173" s="429"/>
      <c r="V173" s="429"/>
      <c r="W173" s="429"/>
      <c r="X173" s="429"/>
      <c r="Y173" s="429"/>
      <c r="Z173" s="429"/>
      <c r="AA173" s="429"/>
      <c r="AB173" s="429"/>
      <c r="AC173" s="429"/>
      <c r="AD173" s="429"/>
      <c r="AE173" s="429"/>
      <c r="AF173" s="429"/>
      <c r="AG173" s="429"/>
      <c r="AH173" s="429"/>
      <c r="AI173" s="429"/>
      <c r="AJ173" s="429"/>
      <c r="AK173" s="429"/>
      <c r="AL173" s="429"/>
      <c r="AM173" s="429"/>
      <c r="AN173" s="429"/>
      <c r="AO173" s="429"/>
      <c r="AP173" s="429"/>
      <c r="AQ173" s="429"/>
      <c r="AR173" s="429"/>
      <c r="AS173" s="429"/>
      <c r="AT173" s="429"/>
      <c r="AU173" s="429"/>
      <c r="AV173" s="429"/>
      <c r="AW173" s="429"/>
      <c r="AX173" s="429"/>
      <c r="AY173" s="429"/>
      <c r="AZ173" s="429"/>
      <c r="BA173" s="429"/>
      <c r="BB173" s="429"/>
      <c r="BC173" s="429"/>
      <c r="BD173" s="429"/>
      <c r="BE173" s="429"/>
      <c r="BF173" s="429"/>
      <c r="BG173" s="429"/>
      <c r="BH173" s="429"/>
      <c r="BI173" s="429"/>
      <c r="BJ173" s="429"/>
    </row>
    <row r="174" spans="1:62" ht="15" x14ac:dyDescent="0.25">
      <c r="A174" s="429"/>
      <c r="B174" s="429"/>
      <c r="C174" s="429"/>
      <c r="D174" s="429"/>
      <c r="E174" s="429"/>
      <c r="F174" s="429"/>
      <c r="G174" s="429"/>
      <c r="H174" s="429"/>
      <c r="I174" s="429"/>
      <c r="J174" s="429"/>
      <c r="K174" s="429"/>
      <c r="L174" s="429"/>
      <c r="M174" s="429"/>
      <c r="N174" s="429"/>
      <c r="O174" s="429"/>
      <c r="P174" s="429"/>
      <c r="Q174" s="429"/>
      <c r="R174" s="429"/>
      <c r="S174" s="429"/>
      <c r="T174" s="429"/>
      <c r="U174" s="429"/>
      <c r="V174" s="429"/>
      <c r="W174" s="429"/>
      <c r="X174" s="429"/>
      <c r="Y174" s="429"/>
      <c r="Z174" s="429"/>
      <c r="AA174" s="429"/>
      <c r="AB174" s="429"/>
      <c r="AC174" s="429"/>
      <c r="AD174" s="429"/>
      <c r="AE174" s="429"/>
      <c r="AF174" s="429"/>
      <c r="AG174" s="429"/>
      <c r="AH174" s="429"/>
      <c r="AI174" s="429"/>
      <c r="AJ174" s="429"/>
      <c r="AK174" s="429"/>
      <c r="AL174" s="429"/>
      <c r="AM174" s="429"/>
      <c r="AN174" s="429"/>
      <c r="AO174" s="429"/>
      <c r="AP174" s="429"/>
      <c r="AQ174" s="429"/>
      <c r="AR174" s="429"/>
      <c r="AS174" s="429"/>
      <c r="AT174" s="429"/>
      <c r="AU174" s="429"/>
      <c r="AV174" s="429"/>
      <c r="AW174" s="429"/>
      <c r="AX174" s="429"/>
      <c r="AY174" s="429"/>
      <c r="AZ174" s="429"/>
      <c r="BA174" s="429"/>
      <c r="BB174" s="429"/>
      <c r="BC174" s="429"/>
      <c r="BD174" s="429"/>
      <c r="BE174" s="429"/>
      <c r="BF174" s="429"/>
      <c r="BG174" s="429"/>
      <c r="BH174" s="429"/>
      <c r="BI174" s="429"/>
      <c r="BJ174" s="429"/>
    </row>
    <row r="175" spans="1:62" ht="15" x14ac:dyDescent="0.25">
      <c r="A175" s="429"/>
      <c r="B175" s="429"/>
      <c r="C175" s="429"/>
      <c r="D175" s="429"/>
      <c r="E175" s="429"/>
      <c r="F175" s="429"/>
      <c r="G175" s="429"/>
      <c r="H175" s="429"/>
      <c r="I175" s="429"/>
      <c r="J175" s="429"/>
      <c r="K175" s="429"/>
      <c r="L175" s="429"/>
      <c r="M175" s="429"/>
      <c r="N175" s="429"/>
      <c r="O175" s="429"/>
      <c r="P175" s="429"/>
      <c r="Q175" s="429"/>
      <c r="R175" s="429"/>
      <c r="S175" s="429"/>
      <c r="T175" s="429"/>
      <c r="U175" s="429"/>
      <c r="V175" s="429"/>
      <c r="W175" s="429"/>
      <c r="X175" s="429"/>
      <c r="Y175" s="429"/>
      <c r="Z175" s="429"/>
      <c r="AA175" s="429"/>
      <c r="AB175" s="429"/>
      <c r="AC175" s="429"/>
      <c r="AD175" s="429"/>
      <c r="AE175" s="429"/>
      <c r="AF175" s="429"/>
      <c r="AG175" s="429"/>
      <c r="AH175" s="429"/>
      <c r="AI175" s="429"/>
      <c r="AJ175" s="429"/>
      <c r="AK175" s="429"/>
      <c r="AL175" s="429"/>
      <c r="AM175" s="429"/>
      <c r="AN175" s="429"/>
      <c r="AO175" s="429"/>
      <c r="AP175" s="429"/>
      <c r="AQ175" s="429"/>
      <c r="AR175" s="429"/>
      <c r="AS175" s="429"/>
      <c r="AT175" s="429"/>
      <c r="AU175" s="429"/>
      <c r="AV175" s="429"/>
      <c r="AW175" s="429"/>
      <c r="AX175" s="429"/>
      <c r="AY175" s="429"/>
      <c r="AZ175" s="429"/>
      <c r="BA175" s="429"/>
      <c r="BB175" s="429"/>
      <c r="BC175" s="429"/>
      <c r="BD175" s="429"/>
      <c r="BE175" s="429"/>
      <c r="BF175" s="429"/>
      <c r="BG175" s="429"/>
      <c r="BH175" s="429"/>
      <c r="BI175" s="429"/>
      <c r="BJ175" s="429"/>
    </row>
    <row r="176" spans="1:62" ht="15" x14ac:dyDescent="0.25">
      <c r="A176" s="429"/>
      <c r="B176" s="429"/>
      <c r="C176" s="429"/>
      <c r="D176" s="429"/>
      <c r="E176" s="429"/>
      <c r="F176" s="429"/>
      <c r="G176" s="429"/>
      <c r="H176" s="429"/>
      <c r="I176" s="429"/>
      <c r="J176" s="429"/>
      <c r="K176" s="429"/>
      <c r="L176" s="429"/>
      <c r="M176" s="429"/>
      <c r="N176" s="429"/>
      <c r="O176" s="429"/>
      <c r="P176" s="429"/>
      <c r="Q176" s="429"/>
      <c r="R176" s="429"/>
      <c r="S176" s="429"/>
      <c r="T176" s="429"/>
      <c r="U176" s="429"/>
      <c r="V176" s="429"/>
      <c r="W176" s="429"/>
      <c r="X176" s="429"/>
      <c r="Y176" s="429"/>
      <c r="Z176" s="429"/>
      <c r="AA176" s="429"/>
      <c r="AB176" s="429"/>
      <c r="AC176" s="429"/>
      <c r="AD176" s="429"/>
      <c r="AE176" s="429"/>
      <c r="AF176" s="429"/>
      <c r="AG176" s="429"/>
      <c r="AH176" s="429"/>
      <c r="AI176" s="429"/>
      <c r="AJ176" s="429"/>
      <c r="AK176" s="429"/>
      <c r="AL176" s="429"/>
      <c r="AM176" s="429"/>
      <c r="AN176" s="429"/>
      <c r="AO176" s="429"/>
      <c r="AP176" s="429"/>
      <c r="AQ176" s="429"/>
      <c r="AR176" s="429"/>
      <c r="AS176" s="429"/>
      <c r="AT176" s="429"/>
      <c r="AU176" s="429"/>
      <c r="AV176" s="429"/>
      <c r="AW176" s="429"/>
      <c r="AX176" s="429"/>
      <c r="AY176" s="429"/>
      <c r="AZ176" s="429"/>
      <c r="BA176" s="429"/>
      <c r="BB176" s="429"/>
      <c r="BC176" s="429"/>
      <c r="BD176" s="429"/>
      <c r="BE176" s="429"/>
      <c r="BF176" s="429"/>
      <c r="BG176" s="429"/>
      <c r="BH176" s="429"/>
      <c r="BI176" s="429"/>
      <c r="BJ176" s="429"/>
    </row>
    <row r="177" spans="1:62" ht="15" x14ac:dyDescent="0.25">
      <c r="A177" s="429"/>
      <c r="B177" s="429"/>
      <c r="C177" s="429"/>
      <c r="D177" s="429"/>
      <c r="E177" s="429"/>
      <c r="F177" s="429"/>
      <c r="G177" s="429"/>
      <c r="H177" s="429"/>
      <c r="I177" s="429"/>
      <c r="J177" s="429"/>
      <c r="K177" s="429"/>
      <c r="L177" s="429"/>
      <c r="M177" s="429"/>
      <c r="N177" s="429"/>
      <c r="O177" s="429"/>
      <c r="P177" s="429"/>
      <c r="Q177" s="429"/>
      <c r="R177" s="429"/>
      <c r="S177" s="429"/>
      <c r="T177" s="429"/>
      <c r="U177" s="429"/>
      <c r="V177" s="429"/>
      <c r="W177" s="429"/>
      <c r="X177" s="429"/>
      <c r="Y177" s="429"/>
      <c r="Z177" s="429"/>
      <c r="AA177" s="429"/>
      <c r="AB177" s="429"/>
      <c r="AC177" s="429"/>
      <c r="AD177" s="429"/>
      <c r="AE177" s="429"/>
      <c r="AF177" s="429"/>
      <c r="AG177" s="429"/>
      <c r="AH177" s="429"/>
      <c r="AI177" s="429"/>
      <c r="AJ177" s="429"/>
      <c r="AK177" s="429"/>
      <c r="AL177" s="429"/>
      <c r="AM177" s="429"/>
      <c r="AN177" s="429"/>
      <c r="AO177" s="429"/>
      <c r="AP177" s="429"/>
      <c r="AQ177" s="429"/>
      <c r="AR177" s="429"/>
      <c r="AS177" s="429"/>
      <c r="AT177" s="429"/>
      <c r="AU177" s="429"/>
      <c r="AV177" s="429"/>
      <c r="AW177" s="429"/>
      <c r="AX177" s="429"/>
      <c r="AY177" s="429"/>
      <c r="AZ177" s="429"/>
      <c r="BA177" s="429"/>
      <c r="BB177" s="429"/>
      <c r="BC177" s="429"/>
      <c r="BD177" s="429"/>
      <c r="BE177" s="429"/>
      <c r="BF177" s="429"/>
      <c r="BG177" s="429"/>
      <c r="BH177" s="429"/>
      <c r="BI177" s="429"/>
      <c r="BJ177" s="429"/>
    </row>
    <row r="178" spans="1:62" ht="15" x14ac:dyDescent="0.25">
      <c r="A178" s="429"/>
      <c r="B178" s="429"/>
      <c r="C178" s="429"/>
      <c r="D178" s="429"/>
      <c r="E178" s="429"/>
      <c r="F178" s="429"/>
      <c r="G178" s="429"/>
      <c r="H178" s="429"/>
      <c r="I178" s="429"/>
      <c r="J178" s="429"/>
      <c r="K178" s="429"/>
      <c r="L178" s="429"/>
      <c r="M178" s="429"/>
      <c r="N178" s="429"/>
      <c r="O178" s="429"/>
      <c r="P178" s="429"/>
      <c r="Q178" s="429"/>
      <c r="R178" s="429"/>
      <c r="S178" s="429"/>
      <c r="T178" s="429"/>
      <c r="U178" s="429"/>
      <c r="V178" s="429"/>
      <c r="W178" s="429"/>
      <c r="X178" s="429"/>
      <c r="Y178" s="429"/>
      <c r="Z178" s="429"/>
      <c r="AA178" s="429"/>
      <c r="AB178" s="429"/>
      <c r="AC178" s="429"/>
      <c r="AD178" s="429"/>
      <c r="AE178" s="429"/>
      <c r="AF178" s="429"/>
      <c r="AG178" s="429"/>
      <c r="AH178" s="429"/>
      <c r="AI178" s="429"/>
      <c r="AJ178" s="429"/>
      <c r="AK178" s="429"/>
      <c r="AL178" s="429"/>
      <c r="AM178" s="429"/>
      <c r="AN178" s="429"/>
      <c r="AO178" s="429"/>
      <c r="AP178" s="429"/>
      <c r="AQ178" s="429"/>
      <c r="AR178" s="429"/>
      <c r="AS178" s="429"/>
      <c r="AT178" s="429"/>
      <c r="AU178" s="429"/>
      <c r="AV178" s="429"/>
      <c r="AW178" s="429"/>
      <c r="AX178" s="429"/>
      <c r="AY178" s="429"/>
      <c r="AZ178" s="429"/>
      <c r="BA178" s="429"/>
      <c r="BB178" s="429"/>
      <c r="BC178" s="429"/>
      <c r="BD178" s="429"/>
      <c r="BE178" s="429"/>
      <c r="BF178" s="429"/>
      <c r="BG178" s="429"/>
      <c r="BH178" s="429"/>
      <c r="BI178" s="429"/>
      <c r="BJ178" s="429"/>
    </row>
    <row r="8727" spans="5:5" ht="15" customHeight="1" x14ac:dyDescent="0.25">
      <c r="E8727" s="263"/>
    </row>
    <row r="8728" spans="5:5" ht="15" customHeight="1" x14ac:dyDescent="0.25">
      <c r="E8728" s="263"/>
    </row>
    <row r="8729" spans="5:5" ht="15" customHeight="1" x14ac:dyDescent="0.25">
      <c r="E8729" s="264"/>
    </row>
  </sheetData>
  <dataValidations count="1">
    <dataValidation type="list" allowBlank="1" showInputMessage="1" showErrorMessage="1" sqref="F6">
      <formula1>"TMY,2001,2002,2003,2004,2005,2006,2007,2008,2009,2010"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1164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1156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1134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11.89</v>
      </c>
      <c r="D10" s="345"/>
      <c r="F10" s="430" t="s">
        <v>1133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4982</v>
      </c>
      <c r="D11" s="345"/>
      <c r="F11" s="430" t="s">
        <v>1157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24</v>
      </c>
      <c r="D12" s="345"/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343.7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17.350000000000001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25.84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6.06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2.04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7.18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0.94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2607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3.5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1.1499999999999999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3078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3078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3078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3078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0.43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38253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2.7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2.7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397.47</v>
      </c>
      <c r="D78" s="939">
        <v>0</v>
      </c>
      <c r="E78" s="939">
        <v>264.99</v>
      </c>
      <c r="F78" s="939">
        <v>0</v>
      </c>
      <c r="G78" s="430">
        <v>397.47</v>
      </c>
      <c r="H78" s="939">
        <v>0</v>
      </c>
      <c r="I78" s="939">
        <v>264.99</v>
      </c>
      <c r="J78" s="940">
        <v>0</v>
      </c>
      <c r="K78" s="941">
        <v>1660.73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195.84</v>
      </c>
      <c r="D83" s="955">
        <v>0</v>
      </c>
      <c r="E83" s="955">
        <v>130.56</v>
      </c>
      <c r="F83" s="955">
        <v>0</v>
      </c>
      <c r="G83" s="956">
        <v>195.84</v>
      </c>
      <c r="H83" s="955">
        <v>0</v>
      </c>
      <c r="I83" s="955">
        <v>130.56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1660.73</v>
      </c>
      <c r="D89" s="852">
        <f t="shared" ref="D89:D91" si="0">C89*10.74</f>
        <v>17836.2402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1324.92</v>
      </c>
      <c r="D90" s="442">
        <f t="shared" si="0"/>
        <v>14229.640800000001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652.79999999999995</v>
      </c>
      <c r="D91" s="442">
        <f t="shared" si="0"/>
        <v>7011.0719999999992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3638.45</v>
      </c>
      <c r="D92" s="444">
        <f>C92*10.74</f>
        <v>39076.953000000001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0.33007705843092044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1173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1174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1176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6.1</v>
      </c>
      <c r="D10" s="345"/>
      <c r="F10" s="430" t="s">
        <v>1175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2294</v>
      </c>
      <c r="D11" s="345"/>
      <c r="F11" s="430" t="s">
        <v>1177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9.5</v>
      </c>
      <c r="D12" s="345"/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63.6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5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10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24.3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27.6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4.76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1.8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13.72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3.25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1525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19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1.05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3600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3600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3600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3600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0.25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0.43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144263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9.6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9.6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246.89</v>
      </c>
      <c r="D78" s="939">
        <v>0</v>
      </c>
      <c r="E78" s="939">
        <v>257.68</v>
      </c>
      <c r="F78" s="939">
        <v>0</v>
      </c>
      <c r="G78" s="430">
        <v>330.83</v>
      </c>
      <c r="H78" s="939">
        <v>0</v>
      </c>
      <c r="I78" s="939">
        <v>257.68</v>
      </c>
      <c r="J78" s="940">
        <v>0</v>
      </c>
      <c r="K78" s="941">
        <v>2294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0.51100000000000001</v>
      </c>
      <c r="D79" s="943">
        <v>0.51100000000000001</v>
      </c>
      <c r="E79" s="943">
        <v>0.51100000000000001</v>
      </c>
      <c r="F79" s="943">
        <v>0.51100000000000001</v>
      </c>
      <c r="G79" s="943">
        <v>0.51100000000000001</v>
      </c>
      <c r="H79" s="943">
        <v>0.51100000000000001</v>
      </c>
      <c r="I79" s="943">
        <v>0.51100000000000001</v>
      </c>
      <c r="J79" s="944">
        <v>0.51100000000000001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83.89</v>
      </c>
      <c r="D83" s="955">
        <v>0</v>
      </c>
      <c r="E83" s="955">
        <v>0</v>
      </c>
      <c r="F83" s="955">
        <v>0</v>
      </c>
      <c r="G83" s="956">
        <v>0</v>
      </c>
      <c r="H83" s="955">
        <v>0</v>
      </c>
      <c r="I83" s="955">
        <v>0</v>
      </c>
      <c r="J83" s="957">
        <v>0</v>
      </c>
      <c r="K83" s="957">
        <v>35.4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5.72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0.50600000000000001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2294</v>
      </c>
      <c r="D89" s="852">
        <f t="shared" ref="D89:D91" si="0">C89*10.74</f>
        <v>24637.56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1093.08</v>
      </c>
      <c r="D90" s="442">
        <f t="shared" si="0"/>
        <v>11739.679199999999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83.89</v>
      </c>
      <c r="D91" s="442">
        <f t="shared" si="0"/>
        <v>900.97860000000003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3470.97</v>
      </c>
      <c r="D92" s="444">
        <f>C92*10.74</f>
        <v>37278.217799999999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7.127624323474685E-2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workbookViewId="0">
      <selection activeCell="A12" sqref="A12"/>
    </sheetView>
  </sheetViews>
  <sheetFormatPr defaultRowHeight="15" x14ac:dyDescent="0.25"/>
  <cols>
    <col min="1" max="1" width="43.140625" customWidth="1"/>
    <col min="2" max="2" width="19.28515625" customWidth="1"/>
    <col min="3" max="3" width="24.140625" customWidth="1"/>
  </cols>
  <sheetData>
    <row r="1" spans="1:6" x14ac:dyDescent="0.25">
      <c r="A1" t="str">
        <f ca="1">" # ISM generated on "&amp;TEXT(TODAY(),"dd -mmm-yyyy")&amp; " from "&amp;MID(CELL("filename"),SEARCH("[",CELL("filename"))+1, SEARCH("]",CELL("filename"))-SEARCH("[",CELL("filename"))-1)</f>
        <v xml:space="preserve"> # ISM generated on 20 -Nov-2013 from primary_school.xlsx</v>
      </c>
      <c r="C1" s="848"/>
      <c r="F1" s="429"/>
    </row>
    <row r="2" spans="1:6" x14ac:dyDescent="0.25">
      <c r="A2" t="str">
        <f>"# Building Type = "&amp;Inputs!C4&amp;" "&amp;Inputs!C5&amp;" located in "&amp;Inputs!C6</f>
        <v># Building Type = PrimarySchool 2010 located in c:\epw\ord.epw</v>
      </c>
    </row>
    <row r="3" spans="1:6" s="429" customFormat="1" x14ac:dyDescent="0.25">
      <c r="A3" s="429" t="str">
        <f>"weatherFilePath = ORD"</f>
        <v>weatherFilePath = ORD</v>
      </c>
    </row>
    <row r="4" spans="1:6" x14ac:dyDescent="0.25">
      <c r="A4" s="429" t="s">
        <v>1055</v>
      </c>
    </row>
    <row r="5" spans="1:6" s="429" customFormat="1" x14ac:dyDescent="0.25">
      <c r="A5" t="str">
        <f>"terrainClass = "&amp;Inputs!C9</f>
        <v>terrainClass = 0.8</v>
      </c>
      <c r="F5"/>
    </row>
    <row r="6" spans="1:6" x14ac:dyDescent="0.25">
      <c r="A6" t="s">
        <v>1056</v>
      </c>
    </row>
    <row r="7" spans="1:6" x14ac:dyDescent="0.25">
      <c r="A7" s="429" t="str">
        <f>"buildingHeight = "&amp;Inputs!C10</f>
        <v>buildingHeight = 4</v>
      </c>
    </row>
    <row r="8" spans="1:6" x14ac:dyDescent="0.25">
      <c r="A8" s="429" t="str">
        <f>"floorArea = "&amp;Inputs!C11</f>
        <v>floorArea = 6871</v>
      </c>
    </row>
    <row r="9" spans="1:6" x14ac:dyDescent="0.25">
      <c r="A9" s="429" t="str">
        <f>"peopleDensityOccupied = "&amp;Inputs!C12</f>
        <v>peopleDensityOccupied = 6.24</v>
      </c>
    </row>
    <row r="10" spans="1:6" s="429" customFormat="1" x14ac:dyDescent="0.25">
      <c r="A10" s="429" t="str">
        <f>"peopleDensityUnoccupied = "&amp;Inputs!C13</f>
        <v>peopleDensityUnoccupied = 143</v>
      </c>
    </row>
    <row r="11" spans="1:6" x14ac:dyDescent="0.25">
      <c r="A11" s="429" t="str">
        <f>"occupancyDayStart = "&amp;Inputs!C14</f>
        <v>occupancyDayStart = 0</v>
      </c>
    </row>
    <row r="12" spans="1:6" x14ac:dyDescent="0.25">
      <c r="A12" s="429" t="str">
        <f>"occupancyDayEnd = "&amp;Inputs!C15</f>
        <v>occupancyDayEnd = 4</v>
      </c>
    </row>
    <row r="13" spans="1:6" x14ac:dyDescent="0.25">
      <c r="A13" s="429" t="str">
        <f>"occupancyHourStart= "&amp;Inputs!C16</f>
        <v>occupancyHourStart= 8</v>
      </c>
    </row>
    <row r="14" spans="1:6" x14ac:dyDescent="0.25">
      <c r="A14" s="429" t="str">
        <f>"occupancyHourEnd= "&amp;Inputs!C17</f>
        <v>occupancyHourEnd= 17</v>
      </c>
    </row>
    <row r="15" spans="1:6" x14ac:dyDescent="0.25">
      <c r="A15" t="s">
        <v>1057</v>
      </c>
    </row>
    <row r="16" spans="1:6" x14ac:dyDescent="0.25">
      <c r="A16" s="429" t="str">
        <f>"lightingPowerDensityOccupied = "&amp;Inputs!C33</f>
        <v>lightingPowerDensityOccupied = 7.18</v>
      </c>
    </row>
    <row r="17" spans="1:1" x14ac:dyDescent="0.25">
      <c r="A17" s="429" t="str">
        <f>"lightingPowerDensityUnoccupied = "&amp;Inputs!C34</f>
        <v>lightingPowerDensityUnoccupied = 0.94</v>
      </c>
    </row>
    <row r="18" spans="1:1" x14ac:dyDescent="0.25">
      <c r="A18" s="429" t="str">
        <f>"electricAppliancePowerDensityOccupied = "&amp;Inputs!C27</f>
        <v>electricAppliancePowerDensityOccupied = 9.9</v>
      </c>
    </row>
    <row r="19" spans="1:1" x14ac:dyDescent="0.25">
      <c r="A19" s="429" t="str">
        <f>"electricAppliancePowerDensityUnoccupied = "&amp;Inputs!C28</f>
        <v>electricAppliancePowerDensityUnoccupied = 3.77</v>
      </c>
    </row>
    <row r="20" spans="1:1" x14ac:dyDescent="0.25">
      <c r="A20" s="429" t="str">
        <f>"gasAppliancePowerDensityOccupied  = "&amp;Inputs!C29</f>
        <v>gasAppliancePowerDensityOccupied  = 4.06</v>
      </c>
    </row>
    <row r="21" spans="1:1" x14ac:dyDescent="0.25">
      <c r="A21" s="429" t="str">
        <f>"gasAppliancePowerDensityUnoccupied = "&amp;Inputs!C30</f>
        <v>gasAppliancePowerDensityUnoccupied = 0</v>
      </c>
    </row>
    <row r="22" spans="1:1" x14ac:dyDescent="0.25">
      <c r="A22" s="429" t="str">
        <f>"exteriorLightingPower = "&amp;Inputs!C35</f>
        <v>exteriorLightingPower = 1131</v>
      </c>
    </row>
    <row r="23" spans="1:1" x14ac:dyDescent="0.25">
      <c r="A23" s="429" t="str">
        <f>"heatGainPerPerson = "&amp;Inputs!C18</f>
        <v>heatGainPerPerson = 120</v>
      </c>
    </row>
    <row r="24" spans="1:1" s="429" customFormat="1" x14ac:dyDescent="0.25">
      <c r="A24" t="s">
        <v>1060</v>
      </c>
    </row>
    <row r="25" spans="1:1" s="429" customFormat="1" x14ac:dyDescent="0.25">
      <c r="A25" s="429" t="str">
        <f>"daylightSensorSystem= "&amp;Inputs!C36</f>
        <v>daylightSensorSystem= 1</v>
      </c>
    </row>
    <row r="26" spans="1:1" s="429" customFormat="1" x14ac:dyDescent="0.25">
      <c r="A26" s="429" t="str">
        <f>"lightingOccupancySensorSystem= "&amp;Inputs!C37</f>
        <v>lightingOccupancySensorSystem= 1</v>
      </c>
    </row>
    <row r="27" spans="1:1" s="429" customFormat="1" x14ac:dyDescent="0.25">
      <c r="A27" s="429" t="str">
        <f>"constantIlluminationControl= "&amp;Inputs!C38</f>
        <v>constantIlluminationControl= 1</v>
      </c>
    </row>
    <row r="28" spans="1:1" x14ac:dyDescent="0.25">
      <c r="A28" t="s">
        <v>1058</v>
      </c>
    </row>
    <row r="29" spans="1:1" x14ac:dyDescent="0.25">
      <c r="A29" s="429" t="str">
        <f>"heatingSetpointOccupied = "&amp;Inputs!C21</f>
        <v>heatingSetpointOccupied = 20.6</v>
      </c>
    </row>
    <row r="30" spans="1:1" x14ac:dyDescent="0.25">
      <c r="A30" s="429" t="str">
        <f>"heatingSetpointUnoccupied = "&amp;Inputs!C22</f>
        <v>heatingSetpointUnoccupied = 16.4</v>
      </c>
    </row>
    <row r="31" spans="1:1" x14ac:dyDescent="0.25">
      <c r="A31" s="429" t="str">
        <f>"coolingSetpointOccupied = "&amp;Inputs!C23</f>
        <v>coolingSetpointOccupied = 24.2</v>
      </c>
    </row>
    <row r="32" spans="1:1" x14ac:dyDescent="0.25">
      <c r="A32" s="429" t="str">
        <f>"coolingSetpointUnoccupied = "&amp;Inputs!C24</f>
        <v>coolingSetpointUnoccupied = 26.3</v>
      </c>
    </row>
    <row r="33" spans="1:1" x14ac:dyDescent="0.25">
      <c r="A33" t="s">
        <v>1059</v>
      </c>
    </row>
    <row r="34" spans="1:1" x14ac:dyDescent="0.25">
      <c r="A34" s="429" t="str">
        <f ca="1">"hvacWasteFactor= "&amp;Inputs!L58</f>
        <v>hvacWasteFactor= 0</v>
      </c>
    </row>
    <row r="35" spans="1:1" x14ac:dyDescent="0.25">
      <c r="A35" s="429" t="str">
        <f ca="1">"hvacHeatingLossFactor= "&amp;Inputs!M58</f>
        <v>hvacHeatingLossFactor= 0.08</v>
      </c>
    </row>
    <row r="36" spans="1:1" x14ac:dyDescent="0.25">
      <c r="A36" s="429" t="str">
        <f ca="1">"hvacCoolingLossFactor= "&amp;Inputs!N58</f>
        <v>hvacCoolingLossFactor= 0</v>
      </c>
    </row>
    <row r="37" spans="1:1" x14ac:dyDescent="0.25">
      <c r="A37" t="s">
        <v>1061</v>
      </c>
    </row>
    <row r="38" spans="1:1" x14ac:dyDescent="0.25">
      <c r="A38" s="429" t="str">
        <f>"coolingSystemCOP= "&amp;Inputs!C43</f>
        <v>coolingSystemCOP= 3</v>
      </c>
    </row>
    <row r="39" spans="1:1" x14ac:dyDescent="0.25">
      <c r="A39" s="429" t="str">
        <f>"coolingSystemIPLVToCopRatio= "&amp;Inputs!C44</f>
        <v>coolingSystemIPLVToCopRatio= 1.05</v>
      </c>
    </row>
    <row r="40" spans="1:1" x14ac:dyDescent="0.25">
      <c r="A40" t="s">
        <v>1062</v>
      </c>
    </row>
    <row r="41" spans="1:1" x14ac:dyDescent="0.25">
      <c r="A41" s="429" t="str">
        <f>"heatingFuelType= "&amp;Inputs!C46</f>
        <v>heatingFuelType= 2</v>
      </c>
    </row>
    <row r="42" spans="1:1" x14ac:dyDescent="0.25">
      <c r="A42" s="429" t="str">
        <f>"heatingSystemEfficiency= "&amp;Inputs!C47</f>
        <v>heatingSystemEfficiency= 0.8</v>
      </c>
    </row>
    <row r="43" spans="1:1" x14ac:dyDescent="0.25">
      <c r="A43" t="s">
        <v>1075</v>
      </c>
    </row>
    <row r="44" spans="1:1" x14ac:dyDescent="0.25">
      <c r="A44" s="429" t="str">
        <f>"ventilationType = "&amp;Inputs!C49</f>
        <v>ventilationType = 1</v>
      </c>
    </row>
    <row r="45" spans="1:1" x14ac:dyDescent="0.25">
      <c r="A45" t="s">
        <v>1063</v>
      </c>
    </row>
    <row r="46" spans="1:1" x14ac:dyDescent="0.25">
      <c r="A46" s="429" t="str">
        <f>"ventilationIntakeRateOccupied= "&amp;Inputs!C50</f>
        <v>ventilationIntakeRateOccupied= 12246</v>
      </c>
    </row>
    <row r="47" spans="1:1" s="429" customFormat="1" x14ac:dyDescent="0.25">
      <c r="A47" s="429" t="str">
        <f>"ventilationIntakeRateUnoccupied= "&amp;Inputs!C51</f>
        <v>ventilationIntakeRateUnoccupied= 12246</v>
      </c>
    </row>
    <row r="48" spans="1:1" x14ac:dyDescent="0.25">
      <c r="A48" s="429" t="str">
        <f>"ventilationExhaustRateOccupied= "&amp;Inputs!C52</f>
        <v>ventilationExhaustRateOccupied= 12246</v>
      </c>
    </row>
    <row r="49" spans="1:1" s="429" customFormat="1" x14ac:dyDescent="0.25">
      <c r="A49" s="429" t="str">
        <f>"ventilationExhaustRateUnoccupied= "&amp;Inputs!C53</f>
        <v>ventilationExhaustRateUnoccupied= 12246</v>
      </c>
    </row>
    <row r="50" spans="1:1" x14ac:dyDescent="0.25">
      <c r="A50" t="s">
        <v>1064</v>
      </c>
    </row>
    <row r="51" spans="1:1" x14ac:dyDescent="0.25">
      <c r="A51" s="429" t="str">
        <f>"heatRecovery= "&amp;Inputs!C54</f>
        <v>heatRecovery= 0</v>
      </c>
    </row>
    <row r="52" spans="1:1" x14ac:dyDescent="0.25">
      <c r="A52" s="429" t="str">
        <f>"exhaustAirRecirculation= "&amp;Inputs!C55</f>
        <v>exhaustAirRecirculation= 0</v>
      </c>
    </row>
    <row r="53" spans="1:1" x14ac:dyDescent="0.25">
      <c r="A53" t="s">
        <v>1065</v>
      </c>
    </row>
    <row r="54" spans="1:1" x14ac:dyDescent="0.25">
      <c r="A54" s="429" t="str">
        <f>"dhwDemand= "&amp;Inputs!C63</f>
        <v>dhwDemand= 268</v>
      </c>
    </row>
    <row r="55" spans="1:1" x14ac:dyDescent="0.25">
      <c r="A55" t="s">
        <v>1066</v>
      </c>
    </row>
    <row r="56" spans="1:1" x14ac:dyDescent="0.25">
      <c r="A56" s="429" t="str">
        <f>"dhwSystemEfficiency= "&amp;Inputs!C64</f>
        <v>dhwSystemEfficiency= 0.8</v>
      </c>
    </row>
    <row r="57" spans="1:1" x14ac:dyDescent="0.25">
      <c r="A57" s="429" t="str">
        <f>"dhwDistributionEfficiency= "&amp;Inputs!C65</f>
        <v>dhwDistributionEfficiency= 0.8</v>
      </c>
    </row>
    <row r="58" spans="1:1" x14ac:dyDescent="0.25">
      <c r="A58" s="429" t="str">
        <f>"dhwFuelType= "&amp;Inputs!C66</f>
        <v>dhwFuelType= 2</v>
      </c>
    </row>
    <row r="59" spans="1:1" x14ac:dyDescent="0.25">
      <c r="A59" t="s">
        <v>1067</v>
      </c>
    </row>
    <row r="60" spans="1:1" x14ac:dyDescent="0.25">
      <c r="A60" s="429" t="str">
        <f>"interiorHeatCapacity= "&amp;Inputs!C72</f>
        <v>interiorHeatCapacity= 98010</v>
      </c>
    </row>
    <row r="61" spans="1:1" x14ac:dyDescent="0.25">
      <c r="A61" s="429" t="str">
        <f>"exteriorHeatCapacity= "&amp;Inputs!C73</f>
        <v>exteriorHeatCapacity= 28921</v>
      </c>
    </row>
    <row r="62" spans="1:1" x14ac:dyDescent="0.25">
      <c r="A62" t="s">
        <v>1068</v>
      </c>
    </row>
    <row r="63" spans="1:1" x14ac:dyDescent="0.25">
      <c r="A63" s="429" t="str">
        <f>"bemType= "&amp;Inputs!C68</f>
        <v>bemType= 1</v>
      </c>
    </row>
    <row r="64" spans="1:1" x14ac:dyDescent="0.25">
      <c r="A64" t="s">
        <v>1069</v>
      </c>
    </row>
    <row r="65" spans="1:1" x14ac:dyDescent="0.25">
      <c r="A65" s="429" t="str">
        <f>"specificFanPower= "&amp;Inputs!C60</f>
        <v>specificFanPower= 0.51</v>
      </c>
    </row>
    <row r="66" spans="1:1" x14ac:dyDescent="0.25">
      <c r="A66" t="s">
        <v>1070</v>
      </c>
    </row>
    <row r="67" spans="1:1" x14ac:dyDescent="0.25">
      <c r="A67" s="429" t="str">
        <f>"fanFlowcontrolFactor= "&amp;Inputs!C61</f>
        <v>fanFlowcontrolFactor= 1</v>
      </c>
    </row>
    <row r="68" spans="1:1" x14ac:dyDescent="0.25">
      <c r="A68" t="s">
        <v>1071</v>
      </c>
    </row>
    <row r="69" spans="1:1" x14ac:dyDescent="0.25">
      <c r="A69" s="429" t="str">
        <f>"infiltrationRateOccupied= "&amp;Inputs!C75</f>
        <v>infiltrationRateOccupied= 5.41</v>
      </c>
    </row>
    <row r="70" spans="1:1" s="429" customFormat="1" x14ac:dyDescent="0.25">
      <c r="A70" s="429" t="str">
        <f>"infiltrationRateUnoccupied= "&amp;Inputs!C76</f>
        <v>infiltrationRateUnoccupied= 5.41</v>
      </c>
    </row>
    <row r="71" spans="1:1" x14ac:dyDescent="0.25">
      <c r="A71" t="s">
        <v>1072</v>
      </c>
    </row>
    <row r="72" spans="1:1" x14ac:dyDescent="0.25">
      <c r="A72" s="429" t="str">
        <f>"heatingPumpControl= "&amp;Inputs!C58</f>
        <v>heatingPumpControl= 1</v>
      </c>
    </row>
    <row r="73" spans="1:1" x14ac:dyDescent="0.25">
      <c r="A73" s="429" t="str">
        <f>"coolingPumpControl= "&amp;Inputs!C57</f>
        <v>coolingPumpControl= 1</v>
      </c>
    </row>
    <row r="74" spans="1:1" x14ac:dyDescent="0.25">
      <c r="A74" t="s">
        <v>1073</v>
      </c>
    </row>
    <row r="75" spans="1:1" x14ac:dyDescent="0.25">
      <c r="A75" t="s">
        <v>1074</v>
      </c>
    </row>
    <row r="76" spans="1:1" x14ac:dyDescent="0.25">
      <c r="A76" s="429" t="str">
        <f>"roofArea= "&amp;Inputs!K78</f>
        <v>roofArea= 6871</v>
      </c>
    </row>
    <row r="77" spans="1:1" x14ac:dyDescent="0.25">
      <c r="A77" s="429" t="str">
        <f>"roofUValue= "&amp;Inputs!K79</f>
        <v>roofUValue= 0.27</v>
      </c>
    </row>
    <row r="78" spans="1:1" x14ac:dyDescent="0.25">
      <c r="A78" s="429" t="str">
        <f>"roofSolarAbsorption= "&amp;Inputs!K80</f>
        <v>roofSolarAbsorption= 0.7</v>
      </c>
    </row>
    <row r="79" spans="1:1" x14ac:dyDescent="0.25">
      <c r="A79" s="429" t="str">
        <f>"roofThermalEmissivity= "&amp;Inputs!K81</f>
        <v>roofThermalEmissivity= 0.9</v>
      </c>
    </row>
    <row r="80" spans="1:1" x14ac:dyDescent="0.25">
      <c r="A80" s="429" t="str">
        <f>"skylightArea= "&amp;Inputs!K83</f>
        <v>skylightArea= 0</v>
      </c>
    </row>
    <row r="81" spans="1:1" x14ac:dyDescent="0.25">
      <c r="A81" s="429" t="str">
        <f>"skylightUValue= "&amp;Inputs!K84</f>
        <v>skylightUValue= 0</v>
      </c>
    </row>
    <row r="82" spans="1:1" s="429" customFormat="1" x14ac:dyDescent="0.25">
      <c r="A82" s="429" t="str">
        <f>"skylightSHGC= "&amp;Inputs!K85</f>
        <v>skylightSHGC= 0</v>
      </c>
    </row>
    <row r="83" spans="1:1" x14ac:dyDescent="0.25">
      <c r="A83" s="429" t="str">
        <f>"skylightSCF= "&amp;Inputs!K86</f>
        <v>skylightSCF= 1</v>
      </c>
    </row>
    <row r="84" spans="1:1" s="429" customFormat="1" x14ac:dyDescent="0.25">
      <c r="A84" s="429" t="str">
        <f>"skylightSDF= "&amp;Inputs!K87</f>
        <v>skylightSDF= 1</v>
      </c>
    </row>
    <row r="85" spans="1:1" x14ac:dyDescent="0.25">
      <c r="A85" s="429" t="str">
        <f>"WallAreaS= "&amp;Inputs!C78</f>
        <v>WallAreaS= 603.2</v>
      </c>
    </row>
    <row r="86" spans="1:1" x14ac:dyDescent="0.25">
      <c r="A86" s="429" t="str">
        <f>"WallUvalueS= "&amp;Inputs!C79</f>
        <v>WallUvalueS= 0.363</v>
      </c>
    </row>
    <row r="87" spans="1:1" x14ac:dyDescent="0.25">
      <c r="A87" s="429" t="str">
        <f>"WallSolarAbsorptionS= "&amp;Inputs!C80</f>
        <v>WallSolarAbsorptionS= 0.7</v>
      </c>
    </row>
    <row r="88" spans="1:1" x14ac:dyDescent="0.25">
      <c r="A88" s="429" t="str">
        <f>"WallThermalEmissivityS= "&amp;Inputs!C81</f>
        <v>WallThermalEmissivityS= 0.9</v>
      </c>
    </row>
    <row r="89" spans="1:1" x14ac:dyDescent="0.25">
      <c r="A89" s="429" t="str">
        <f>"WallAreaSE= "&amp;Inputs!D78</f>
        <v>WallAreaSE= 0</v>
      </c>
    </row>
    <row r="90" spans="1:1" x14ac:dyDescent="0.25">
      <c r="A90" s="429" t="str">
        <f>"WallUvalueSE= "&amp;Inputs!D79</f>
        <v>WallUvalueSE= 0.363</v>
      </c>
    </row>
    <row r="91" spans="1:1" x14ac:dyDescent="0.25">
      <c r="A91" s="429" t="str">
        <f>"WallSolarAbsorptionSE= "&amp;Inputs!D80</f>
        <v>WallSolarAbsorptionSE= 0.7</v>
      </c>
    </row>
    <row r="92" spans="1:1" x14ac:dyDescent="0.25">
      <c r="A92" s="429" t="str">
        <f>"WallThermalEmissivitySE= "&amp;Inputs!D81</f>
        <v>WallThermalEmissivitySE= 0.9</v>
      </c>
    </row>
    <row r="93" spans="1:1" x14ac:dyDescent="0.25">
      <c r="A93" s="429" t="str">
        <f>"WallAreaE= "&amp;Inputs!E78</f>
        <v>WallAreaE= 213.2</v>
      </c>
    </row>
    <row r="94" spans="1:1" x14ac:dyDescent="0.25">
      <c r="A94" s="429" t="str">
        <f>"WallUvalueE= "&amp;Inputs!E79</f>
        <v>WallUvalueE= 0.363</v>
      </c>
    </row>
    <row r="95" spans="1:1" x14ac:dyDescent="0.25">
      <c r="A95" s="429" t="str">
        <f>"WallSolarAbsorptionE= "&amp;Inputs!E80</f>
        <v>WallSolarAbsorptionE= 0.7</v>
      </c>
    </row>
    <row r="96" spans="1:1" x14ac:dyDescent="0.25">
      <c r="A96" s="429" t="str">
        <f>"WallThermalEmissivityE= "&amp;Inputs!E81</f>
        <v>WallThermalEmissivityE= 0.9</v>
      </c>
    </row>
    <row r="97" spans="1:1" x14ac:dyDescent="0.25">
      <c r="A97" s="429" t="str">
        <f>"WallAreaNE= "&amp;Inputs!F78</f>
        <v>WallAreaNE= 0</v>
      </c>
    </row>
    <row r="98" spans="1:1" x14ac:dyDescent="0.25">
      <c r="A98" s="429" t="str">
        <f>"WallUvalueNE= "&amp;Inputs!F79</f>
        <v>WallUvalueNE= 0.363</v>
      </c>
    </row>
    <row r="99" spans="1:1" x14ac:dyDescent="0.25">
      <c r="A99" s="429" t="str">
        <f>"WallSolarAbsorptionNE= "&amp;Inputs!F80</f>
        <v>WallSolarAbsorptionNE= 0.7</v>
      </c>
    </row>
    <row r="100" spans="1:1" x14ac:dyDescent="0.25">
      <c r="A100" s="429" t="str">
        <f>"WallThermalEmissivityNE= "&amp;Inputs!F81</f>
        <v>WallThermalEmissivityNE= 0.9</v>
      </c>
    </row>
    <row r="101" spans="1:1" x14ac:dyDescent="0.25">
      <c r="A101" s="429" t="str">
        <f>"WallAreaN= "&amp;Inputs!G78</f>
        <v>WallAreaN= 603.2</v>
      </c>
    </row>
    <row r="102" spans="1:1" x14ac:dyDescent="0.25">
      <c r="A102" s="429" t="str">
        <f>"WallUvalueN= "&amp;Inputs!G79</f>
        <v>WallUvalueN= 0.363</v>
      </c>
    </row>
    <row r="103" spans="1:1" x14ac:dyDescent="0.25">
      <c r="A103" s="429" t="str">
        <f>"WallSolarAbsorptionN= "&amp;Inputs!G80</f>
        <v>WallSolarAbsorptionN= 0.7</v>
      </c>
    </row>
    <row r="104" spans="1:1" x14ac:dyDescent="0.25">
      <c r="A104" s="429" t="str">
        <f>"WallThermalEmissivityN= "&amp;Inputs!G81</f>
        <v>WallThermalEmissivityN= 0.9</v>
      </c>
    </row>
    <row r="105" spans="1:1" x14ac:dyDescent="0.25">
      <c r="A105" s="429" t="str">
        <f>"WallAreaNW= "&amp;Inputs!H78</f>
        <v>WallAreaNW= 0</v>
      </c>
    </row>
    <row r="106" spans="1:1" x14ac:dyDescent="0.25">
      <c r="A106" s="429" t="str">
        <f>"WallUvalueNW= "&amp;Inputs!H79</f>
        <v>WallUvalueNW= 0.363</v>
      </c>
    </row>
    <row r="107" spans="1:1" x14ac:dyDescent="0.25">
      <c r="A107" s="429" t="str">
        <f>"WallSolarAbsorptionNW= "&amp;Inputs!H80</f>
        <v>WallSolarAbsorptionNW= 0.7</v>
      </c>
    </row>
    <row r="108" spans="1:1" x14ac:dyDescent="0.25">
      <c r="A108" s="429" t="str">
        <f>"WallThermalEmissivityNW= "&amp;Inputs!H81</f>
        <v>WallThermalEmissivityNW= 0.9</v>
      </c>
    </row>
    <row r="109" spans="1:1" x14ac:dyDescent="0.25">
      <c r="A109" s="429" t="str">
        <f>"WallAreaW= "&amp;Inputs!I78</f>
        <v>WallAreaW= 213.2</v>
      </c>
    </row>
    <row r="110" spans="1:1" x14ac:dyDescent="0.25">
      <c r="A110" s="429" t="str">
        <f>"WallUvalueW= "&amp;Inputs!I79</f>
        <v>WallUvalueW= 0.363</v>
      </c>
    </row>
    <row r="111" spans="1:1" x14ac:dyDescent="0.25">
      <c r="A111" s="429" t="str">
        <f>"WallSolarAbsorptionW= "&amp;Inputs!I80</f>
        <v>WallSolarAbsorptionW= 0.7</v>
      </c>
    </row>
    <row r="112" spans="1:1" x14ac:dyDescent="0.25">
      <c r="A112" s="429" t="str">
        <f>"WallThermalEmissivityW= "&amp;Inputs!I81</f>
        <v>WallThermalEmissivityW= 0.9</v>
      </c>
    </row>
    <row r="113" spans="1:1" x14ac:dyDescent="0.25">
      <c r="A113" s="429" t="str">
        <f>"WallAreaSW= "&amp;Inputs!J78</f>
        <v>WallAreaSW= 0</v>
      </c>
    </row>
    <row r="114" spans="1:1" x14ac:dyDescent="0.25">
      <c r="A114" s="429" t="str">
        <f>"WallUvalueSW= "&amp;Inputs!K79</f>
        <v>WallUvalueSW= 0.27</v>
      </c>
    </row>
    <row r="115" spans="1:1" x14ac:dyDescent="0.25">
      <c r="A115" s="429" t="str">
        <f>"WallSolarAbsorptionSW= "&amp;Inputs!K80</f>
        <v>WallSolarAbsorptionSW= 0.7</v>
      </c>
    </row>
    <row r="116" spans="1:1" x14ac:dyDescent="0.25">
      <c r="A116" s="429" t="str">
        <f>"WallThermalEmissivitySW= "&amp;Inputs!K81</f>
        <v>WallThermalEmissivitySW= 0.9</v>
      </c>
    </row>
    <row r="117" spans="1:1" x14ac:dyDescent="0.25">
      <c r="A117" s="429" t="str">
        <f>"WindowAreaS= "&amp;Inputs!C83</f>
        <v>WindowAreaS= 324.8</v>
      </c>
    </row>
    <row r="118" spans="1:1" x14ac:dyDescent="0.25">
      <c r="A118" s="429" t="str">
        <f>"WindowUValueS= "&amp;Inputs!C84</f>
        <v>WindowUValueS= 2.653</v>
      </c>
    </row>
    <row r="119" spans="1:1" x14ac:dyDescent="0.25">
      <c r="A119" s="429" t="str">
        <f>"WindowSHGCS= "&amp;Inputs!C85</f>
        <v>WindowSHGCS= 0.426</v>
      </c>
    </row>
    <row r="120" spans="1:1" x14ac:dyDescent="0.25">
      <c r="A120" s="429" t="str">
        <f>"WindowSCFS= "&amp;Inputs!C86</f>
        <v>WindowSCFS= 1</v>
      </c>
    </row>
    <row r="121" spans="1:1" x14ac:dyDescent="0.25">
      <c r="A121" s="429" t="str">
        <f>"WindowSDFS= "&amp;Inputs!C87</f>
        <v>WindowSDFS= 1</v>
      </c>
    </row>
    <row r="122" spans="1:1" x14ac:dyDescent="0.25">
      <c r="A122" s="429" t="str">
        <f>"WindowAreaSE= "&amp;Inputs!D83</f>
        <v>WindowAreaSE= 0</v>
      </c>
    </row>
    <row r="123" spans="1:1" x14ac:dyDescent="0.25">
      <c r="A123" s="429" t="str">
        <f>"WindowUValueSE= "&amp;Inputs!D84</f>
        <v>WindowUValueSE= 2.653</v>
      </c>
    </row>
    <row r="124" spans="1:1" x14ac:dyDescent="0.25">
      <c r="A124" s="429" t="str">
        <f>"WindowSHGCSE= "&amp;Inputs!D85</f>
        <v>WindowSHGCSE= 0.426</v>
      </c>
    </row>
    <row r="125" spans="1:1" x14ac:dyDescent="0.25">
      <c r="A125" s="429" t="str">
        <f>"WindowSCFSE= "&amp;Inputs!D86</f>
        <v>WindowSCFSE= 1</v>
      </c>
    </row>
    <row r="126" spans="1:1" x14ac:dyDescent="0.25">
      <c r="A126" s="429" t="str">
        <f>"WindowSDFSE= "&amp;Inputs!D87</f>
        <v>WindowSDFSE= 1</v>
      </c>
    </row>
    <row r="127" spans="1:1" x14ac:dyDescent="0.25">
      <c r="A127" s="429" t="str">
        <f>"WindowAreaE= "&amp;Inputs!E83</f>
        <v>WindowAreaE= 114.8</v>
      </c>
    </row>
    <row r="128" spans="1:1" x14ac:dyDescent="0.25">
      <c r="A128" s="429" t="str">
        <f>"WindowUValueE= "&amp;Inputs!E84</f>
        <v>WindowUValueE= 2.653</v>
      </c>
    </row>
    <row r="129" spans="1:1" x14ac:dyDescent="0.25">
      <c r="A129" s="429" t="str">
        <f>"WindowSHGCE= "&amp;Inputs!E85</f>
        <v>WindowSHGCE= 0.426</v>
      </c>
    </row>
    <row r="130" spans="1:1" x14ac:dyDescent="0.25">
      <c r="A130" s="429" t="str">
        <f>"WindowSCFE= "&amp;Inputs!E86</f>
        <v>WindowSCFE= 1</v>
      </c>
    </row>
    <row r="131" spans="1:1" x14ac:dyDescent="0.25">
      <c r="A131" s="429" t="str">
        <f>"WindowSDFE= "&amp;Inputs!E87</f>
        <v>WindowSDFE= 1</v>
      </c>
    </row>
    <row r="132" spans="1:1" x14ac:dyDescent="0.25">
      <c r="A132" s="429" t="str">
        <f>"WindowAreaNE= "&amp;Inputs!F83</f>
        <v>WindowAreaNE= 0</v>
      </c>
    </row>
    <row r="133" spans="1:1" x14ac:dyDescent="0.25">
      <c r="A133" s="429" t="str">
        <f>"WindowUValueNE= "&amp;Inputs!F84</f>
        <v>WindowUValueNE= 2.653</v>
      </c>
    </row>
    <row r="134" spans="1:1" x14ac:dyDescent="0.25">
      <c r="A134" s="429" t="str">
        <f>"WindowSHGCNE= "&amp;Inputs!F85</f>
        <v>WindowSHGCNE= 0.426</v>
      </c>
    </row>
    <row r="135" spans="1:1" x14ac:dyDescent="0.25">
      <c r="A135" s="429" t="str">
        <f>"WindowSCFNE= "&amp;Inputs!F86</f>
        <v>WindowSCFNE= 1</v>
      </c>
    </row>
    <row r="136" spans="1:1" x14ac:dyDescent="0.25">
      <c r="A136" s="429" t="str">
        <f>"WindowSDFNE= "&amp;Inputs!F87</f>
        <v>WindowSDFNE= 1</v>
      </c>
    </row>
    <row r="137" spans="1:1" x14ac:dyDescent="0.25">
      <c r="A137" s="429" t="str">
        <f>"WindowAreaN= "&amp;Inputs!G83</f>
        <v>WindowAreaN= 324.8</v>
      </c>
    </row>
    <row r="138" spans="1:1" x14ac:dyDescent="0.25">
      <c r="A138" s="429" t="str">
        <f>"WindowUValueN= "&amp;Inputs!G84</f>
        <v>WindowUValueN= 2.653</v>
      </c>
    </row>
    <row r="139" spans="1:1" x14ac:dyDescent="0.25">
      <c r="A139" s="429" t="str">
        <f>"WindowSHGCN= "&amp;Inputs!G85</f>
        <v>WindowSHGCN= 0.426</v>
      </c>
    </row>
    <row r="140" spans="1:1" x14ac:dyDescent="0.25">
      <c r="A140" s="429" t="str">
        <f>"WindowSCFN= "&amp;Inputs!G86</f>
        <v>WindowSCFN= 1</v>
      </c>
    </row>
    <row r="141" spans="1:1" x14ac:dyDescent="0.25">
      <c r="A141" s="429" t="str">
        <f>"WindowSDFN= "&amp;Inputs!G87</f>
        <v>WindowSDFN= 1</v>
      </c>
    </row>
    <row r="142" spans="1:1" x14ac:dyDescent="0.25">
      <c r="A142" s="429" t="str">
        <f>"WindowAreaNW= "&amp;Inputs!H83</f>
        <v>WindowAreaNW= 0</v>
      </c>
    </row>
    <row r="143" spans="1:1" x14ac:dyDescent="0.25">
      <c r="A143" s="429" t="str">
        <f>"WindowUValueNW= "&amp;Inputs!H84</f>
        <v>WindowUValueNW= 2.653</v>
      </c>
    </row>
    <row r="144" spans="1:1" x14ac:dyDescent="0.25">
      <c r="A144" s="429" t="str">
        <f>"WindowSHGCNW= "&amp;Inputs!H85</f>
        <v>WindowSHGCNW= 0.426</v>
      </c>
    </row>
    <row r="145" spans="1:1" x14ac:dyDescent="0.25">
      <c r="A145" s="429" t="str">
        <f>"WindowSCFNW= "&amp;Inputs!H86</f>
        <v>WindowSCFNW= 1</v>
      </c>
    </row>
    <row r="146" spans="1:1" x14ac:dyDescent="0.25">
      <c r="A146" s="429" t="str">
        <f>"WindowSDFNW= "&amp;Inputs!H87</f>
        <v>WindowSDFNW= 1</v>
      </c>
    </row>
    <row r="147" spans="1:1" x14ac:dyDescent="0.25">
      <c r="A147" s="429" t="str">
        <f>"WindowAreaW= "&amp;Inputs!I83</f>
        <v>WindowAreaW= 115</v>
      </c>
    </row>
    <row r="148" spans="1:1" x14ac:dyDescent="0.25">
      <c r="A148" s="429" t="str">
        <f>"WindowUValueW= "&amp;Inputs!I84</f>
        <v>WindowUValueW= 2.653</v>
      </c>
    </row>
    <row r="149" spans="1:1" x14ac:dyDescent="0.25">
      <c r="A149" s="429" t="str">
        <f>"WindowSHGCW= "&amp;Inputs!I85</f>
        <v>WindowSHGCW= 0.426</v>
      </c>
    </row>
    <row r="150" spans="1:1" x14ac:dyDescent="0.25">
      <c r="A150" s="429" t="str">
        <f>"WindowSCFW= "&amp;Inputs!I86</f>
        <v>WindowSCFW= 1</v>
      </c>
    </row>
    <row r="151" spans="1:1" x14ac:dyDescent="0.25">
      <c r="A151" s="429" t="str">
        <f>"WindowSDFW= "&amp;Inputs!I87</f>
        <v>WindowSDFW= 1</v>
      </c>
    </row>
    <row r="152" spans="1:1" x14ac:dyDescent="0.25">
      <c r="A152" s="429" t="str">
        <f>"WindowAreaSW= "&amp;Inputs!J83</f>
        <v>WindowAreaSW= 0</v>
      </c>
    </row>
    <row r="153" spans="1:1" x14ac:dyDescent="0.25">
      <c r="A153" s="429" t="str">
        <f>"WindowUValueSW= "&amp;Inputs!J84</f>
        <v>WindowUValueSW= 2.653</v>
      </c>
    </row>
    <row r="154" spans="1:1" x14ac:dyDescent="0.25">
      <c r="A154" s="429" t="str">
        <f>"WindowSHGCSW= "&amp;Inputs!J85</f>
        <v>WindowSHGCSW= 0.426</v>
      </c>
    </row>
    <row r="155" spans="1:1" x14ac:dyDescent="0.25">
      <c r="A155" s="429" t="str">
        <f>"WindowSCFSW= "&amp;Inputs!J86</f>
        <v>WindowSCFSW= 1</v>
      </c>
    </row>
    <row r="156" spans="1:1" x14ac:dyDescent="0.25">
      <c r="A156" s="429" t="str">
        <f>"WindowSDFSW= "&amp;Inputs!J87</f>
        <v>WindowSDFSW= 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92D050"/>
  </sheetPr>
  <dimension ref="A1:O125"/>
  <sheetViews>
    <sheetView tabSelected="1" zoomScale="80" zoomScaleNormal="80" workbookViewId="0">
      <pane ySplit="1" topLeftCell="A53" activePane="bottomLeft" state="frozen"/>
      <selection pane="bottomLeft" activeCell="G75" sqref="G75"/>
    </sheetView>
  </sheetViews>
  <sheetFormatPr defaultColWidth="9.140625" defaultRowHeight="12.75" x14ac:dyDescent="0.25"/>
  <cols>
    <col min="1" max="1" width="12" style="3" customWidth="1"/>
    <col min="2" max="2" width="49.7109375" style="3" customWidth="1"/>
    <col min="3" max="3" width="18" style="4" customWidth="1"/>
    <col min="4" max="4" width="10.7109375" style="3" customWidth="1"/>
    <col min="5" max="5" width="10.7109375" style="430" customWidth="1"/>
    <col min="6" max="6" width="10.7109375" style="3" customWidth="1"/>
    <col min="7" max="7" width="10.7109375" style="430" customWidth="1"/>
    <col min="8" max="8" width="10.7109375" style="3" customWidth="1"/>
    <col min="9" max="9" width="10.7109375" style="332" customWidth="1"/>
    <col min="10" max="10" width="10.7109375" style="3" customWidth="1"/>
    <col min="11" max="12" width="10.7109375" style="430" customWidth="1"/>
    <col min="13" max="14" width="9.7109375" style="430" customWidth="1"/>
    <col min="15" max="16384" width="9.140625" style="3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 t="str">
        <f ca="1">"EUI = "&amp;ROUND(Outputs!Q9,1)&amp;"  kWh/m2 = "&amp;ROUND(Outputs!S9,1)&amp;" kBtu/ft2"</f>
        <v>EUI = 136.3  kWh/m2 = 43.2 kBtu/ft2</v>
      </c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274" customFormat="1" ht="12.95" customHeight="1" x14ac:dyDescent="0.25">
      <c r="A4" s="434"/>
      <c r="B4" s="450" t="s">
        <v>1</v>
      </c>
      <c r="C4" s="451" t="s">
        <v>1172</v>
      </c>
      <c r="D4" s="3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D5" s="430"/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274"/>
      <c r="C7" s="345"/>
      <c r="D7" s="345"/>
      <c r="E7" s="392"/>
      <c r="G7" s="3"/>
      <c r="I7" s="3"/>
      <c r="K7" s="3"/>
      <c r="L7" s="3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1167</v>
      </c>
      <c r="H8" s="430"/>
      <c r="I8" s="430"/>
      <c r="J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1168</v>
      </c>
      <c r="H9" s="430"/>
      <c r="I9" s="430"/>
      <c r="J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4</v>
      </c>
      <c r="D10" s="345"/>
      <c r="F10" s="430" t="s">
        <v>1169</v>
      </c>
      <c r="H10" s="430"/>
      <c r="I10" s="430"/>
      <c r="J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6871</v>
      </c>
      <c r="D11" s="345"/>
      <c r="F11" s="430" t="s">
        <v>1171</v>
      </c>
      <c r="H11" s="430"/>
      <c r="I11" s="430"/>
      <c r="J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6.24</v>
      </c>
      <c r="D12" s="345"/>
      <c r="F12" s="430" t="s">
        <v>1170</v>
      </c>
      <c r="H12" s="430"/>
      <c r="I12" s="430"/>
      <c r="J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143</v>
      </c>
      <c r="D13" s="345"/>
      <c r="F13" s="430"/>
      <c r="H13" s="430"/>
      <c r="I13" s="430"/>
      <c r="J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E14" s="3"/>
      <c r="G14" s="3"/>
      <c r="I14" s="3"/>
      <c r="K14" s="3"/>
      <c r="L14" s="3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E15" s="3"/>
      <c r="G15" s="3"/>
      <c r="I15" s="3"/>
      <c r="K15" s="3"/>
      <c r="L15" s="3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E16" s="3"/>
      <c r="G16" s="3"/>
      <c r="I16" s="3"/>
      <c r="K16" s="3"/>
      <c r="L16" s="3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E17" s="3"/>
      <c r="G17" s="3"/>
      <c r="I17" s="3"/>
      <c r="K17" s="3"/>
      <c r="L17" s="3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E18" s="3"/>
      <c r="G18" s="3"/>
      <c r="I18" s="3"/>
      <c r="K18" s="3"/>
      <c r="L18" s="3"/>
      <c r="M18" s="392"/>
      <c r="N18" s="392"/>
    </row>
    <row r="19" spans="1:14" s="430" customFormat="1" ht="15.75" customHeight="1" thickBot="1" x14ac:dyDescent="0.25">
      <c r="A19" s="434"/>
      <c r="B19" s="440"/>
      <c r="C19" s="433"/>
      <c r="D19" s="345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G20" s="3"/>
      <c r="I20" s="3"/>
      <c r="K20" s="3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20.6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16.399999999999999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24.2</v>
      </c>
      <c r="D23" s="345"/>
      <c r="E23" s="864">
        <v>2</v>
      </c>
      <c r="F23" s="8" t="s">
        <v>43</v>
      </c>
      <c r="H23" s="430"/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26.3</v>
      </c>
      <c r="D24" s="345"/>
      <c r="E24" s="864">
        <v>3</v>
      </c>
      <c r="F24" s="8" t="s">
        <v>44</v>
      </c>
      <c r="H24" s="430"/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H25" s="430"/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H26" s="430"/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9.9</v>
      </c>
      <c r="D27" s="345"/>
      <c r="E27" s="864">
        <v>6</v>
      </c>
      <c r="F27" s="8" t="s">
        <v>49</v>
      </c>
      <c r="H27" s="430"/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3.77</v>
      </c>
      <c r="D28" s="345"/>
      <c r="E28" s="864">
        <v>7</v>
      </c>
      <c r="F28" s="8" t="s">
        <v>51</v>
      </c>
      <c r="H28" s="430"/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4.0599999999999996</v>
      </c>
      <c r="D29" s="345"/>
      <c r="E29" s="864">
        <v>8</v>
      </c>
      <c r="F29" s="8" t="s">
        <v>53</v>
      </c>
      <c r="H29" s="430"/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H30" s="430"/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B31" s="430"/>
      <c r="C31" s="431"/>
      <c r="D31" s="345"/>
      <c r="E31" s="864">
        <v>10</v>
      </c>
      <c r="F31" s="8" t="s">
        <v>56</v>
      </c>
      <c r="H31" s="430"/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H32" s="430"/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7.18</v>
      </c>
      <c r="D33" s="345"/>
      <c r="E33" s="864">
        <v>12</v>
      </c>
      <c r="F33" s="8" t="s">
        <v>58</v>
      </c>
      <c r="H33" s="430"/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s="430" customFormat="1" ht="15.75" customHeight="1" x14ac:dyDescent="0.25">
      <c r="A34" s="434"/>
      <c r="B34" s="418" t="s">
        <v>1046</v>
      </c>
      <c r="C34" s="841">
        <v>0.94</v>
      </c>
      <c r="D34" s="345"/>
      <c r="E34" s="864">
        <v>13</v>
      </c>
      <c r="F34" s="8" t="s">
        <v>59</v>
      </c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1131</v>
      </c>
      <c r="D35" s="345"/>
      <c r="E35" s="864">
        <v>14</v>
      </c>
      <c r="F35" s="8" t="s">
        <v>60</v>
      </c>
      <c r="H35" s="430"/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H36" s="430"/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H37" s="430"/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H38" s="430"/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H40" s="430"/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H41" s="430"/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H42" s="430"/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</v>
      </c>
      <c r="D43" s="345"/>
      <c r="E43" s="864">
        <v>22</v>
      </c>
      <c r="F43" s="8" t="s">
        <v>73</v>
      </c>
      <c r="H43" s="430"/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1.05</v>
      </c>
      <c r="D44" s="345"/>
      <c r="E44" s="864">
        <v>23</v>
      </c>
      <c r="F44" s="8" t="s">
        <v>74</v>
      </c>
      <c r="H44" s="430"/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H45" s="430"/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s="430" customFormat="1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J46" s="427"/>
      <c r="K46" s="388"/>
      <c r="L46" s="395">
        <v>0.04</v>
      </c>
      <c r="M46" s="27">
        <v>0.08</v>
      </c>
      <c r="N46" s="865">
        <v>0.01</v>
      </c>
    </row>
    <row r="47" spans="1:14" s="430" customFormat="1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J47" s="427"/>
      <c r="K47" s="388"/>
      <c r="L47" s="395">
        <v>0.08</v>
      </c>
      <c r="M47" s="27">
        <v>0</v>
      </c>
      <c r="N47" s="865">
        <v>0.01</v>
      </c>
    </row>
    <row r="48" spans="1:14" s="430" customFormat="1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H49" s="430"/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12246</v>
      </c>
      <c r="D50" s="345"/>
      <c r="E50" s="864">
        <v>29</v>
      </c>
      <c r="F50" s="8" t="s">
        <v>1138</v>
      </c>
      <c r="H50" s="430"/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12246</v>
      </c>
      <c r="D51" s="345"/>
      <c r="E51" s="864">
        <v>30</v>
      </c>
      <c r="F51" s="8" t="s">
        <v>1139</v>
      </c>
      <c r="H51" s="430"/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12246</v>
      </c>
      <c r="D52" s="345"/>
      <c r="E52" s="864">
        <v>31</v>
      </c>
      <c r="F52" s="8" t="s">
        <v>1140</v>
      </c>
      <c r="H52" s="430"/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12246</v>
      </c>
      <c r="D53" s="345"/>
      <c r="E53" s="864">
        <v>32</v>
      </c>
      <c r="F53" s="8" t="s">
        <v>1141</v>
      </c>
      <c r="H53" s="430"/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s="430" customFormat="1" ht="15" customHeight="1" x14ac:dyDescent="0.25">
      <c r="A54" s="434"/>
      <c r="B54" s="401" t="s">
        <v>626</v>
      </c>
      <c r="C54" s="447">
        <v>0</v>
      </c>
      <c r="D54" s="345"/>
      <c r="E54" s="864">
        <v>33</v>
      </c>
      <c r="F54" s="8" t="s">
        <v>1142</v>
      </c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H55" s="430"/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s="430" customFormat="1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01" t="s">
        <v>66</v>
      </c>
      <c r="C57" s="855">
        <v>1</v>
      </c>
      <c r="D57" s="345"/>
      <c r="E57" s="3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01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0.51</v>
      </c>
      <c r="D60" s="345"/>
      <c r="E60" s="908" t="s">
        <v>897</v>
      </c>
      <c r="F60" s="908"/>
      <c r="G60" s="908"/>
      <c r="H60" s="908"/>
      <c r="I60" s="909"/>
      <c r="J60" s="430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s="430" customFormat="1" ht="15" customHeight="1" x14ac:dyDescent="0.25">
      <c r="A64" s="434"/>
      <c r="B64" s="415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s="430" customFormat="1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s="430" customFormat="1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C69" s="431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K70" s="3"/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K71" s="3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K72" s="3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28921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s="430" customFormat="1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s="430" customFormat="1" ht="15.75" thickBot="1" x14ac:dyDescent="0.3">
      <c r="A75" s="434"/>
      <c r="B75" s="849" t="s">
        <v>1124</v>
      </c>
      <c r="C75" s="884">
        <v>5.41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s="430" customFormat="1" ht="15.75" thickBot="1" x14ac:dyDescent="0.3">
      <c r="A76" s="434"/>
      <c r="B76" s="849" t="s">
        <v>1114</v>
      </c>
      <c r="C76" s="937">
        <v>5.41</v>
      </c>
      <c r="L76" s="392"/>
      <c r="M76" s="392"/>
      <c r="N76" s="392"/>
    </row>
    <row r="77" spans="1:14" s="430" customFormat="1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s="430" customFormat="1" ht="15" x14ac:dyDescent="0.25">
      <c r="A78" s="434"/>
      <c r="B78" s="938" t="s">
        <v>1079</v>
      </c>
      <c r="C78" s="430">
        <v>603.20000000000005</v>
      </c>
      <c r="D78" s="939">
        <v>0</v>
      </c>
      <c r="E78" s="939">
        <v>213.2</v>
      </c>
      <c r="F78" s="939">
        <v>0</v>
      </c>
      <c r="G78" s="430">
        <v>603.20000000000005</v>
      </c>
      <c r="H78" s="939">
        <v>0</v>
      </c>
      <c r="I78" s="939">
        <v>213.2</v>
      </c>
      <c r="J78" s="940">
        <v>0</v>
      </c>
      <c r="K78" s="941">
        <v>6871</v>
      </c>
      <c r="L78" s="392"/>
      <c r="M78" s="392"/>
      <c r="N78" s="392"/>
    </row>
    <row r="79" spans="1:14" s="430" customFormat="1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s="430" customFormat="1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s="430" customFormat="1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s="430" customFormat="1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s="430" customFormat="1" ht="15" x14ac:dyDescent="0.25">
      <c r="A83" s="434"/>
      <c r="B83" s="954" t="s">
        <v>1079</v>
      </c>
      <c r="C83" s="956">
        <v>324.8</v>
      </c>
      <c r="D83" s="955">
        <v>0</v>
      </c>
      <c r="E83" s="955">
        <v>114.8</v>
      </c>
      <c r="F83" s="955">
        <v>0</v>
      </c>
      <c r="G83" s="956">
        <v>324.8</v>
      </c>
      <c r="H83" s="955">
        <v>0</v>
      </c>
      <c r="I83" s="955">
        <v>115</v>
      </c>
      <c r="J83" s="957">
        <v>0</v>
      </c>
      <c r="K83" s="957">
        <v>0</v>
      </c>
    </row>
    <row r="84" spans="1:14" s="430" customFormat="1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s="430" customFormat="1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s="430" customFormat="1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s="430" customFormat="1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s="430" customFormat="1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s="430" customFormat="1" ht="15" x14ac:dyDescent="0.25">
      <c r="A89" s="434"/>
      <c r="B89" s="868" t="s">
        <v>648</v>
      </c>
      <c r="C89" s="869">
        <f>K78</f>
        <v>6871</v>
      </c>
      <c r="D89" s="852">
        <f t="shared" ref="D89:D91" si="0">C89*10.74</f>
        <v>73794.540000000008</v>
      </c>
      <c r="E89" s="886"/>
      <c r="F89" s="886"/>
      <c r="G89" s="886"/>
      <c r="H89" s="886"/>
      <c r="I89" s="886"/>
      <c r="J89" s="886"/>
      <c r="K89" s="887"/>
    </row>
    <row r="90" spans="1:14" s="430" customFormat="1" ht="15" x14ac:dyDescent="0.25">
      <c r="A90" s="434"/>
      <c r="B90" s="870" t="s">
        <v>1077</v>
      </c>
      <c r="C90" s="282">
        <f>SUM(C78:J78)</f>
        <v>1632.8000000000002</v>
      </c>
      <c r="D90" s="442">
        <f t="shared" si="0"/>
        <v>17536.272000000001</v>
      </c>
      <c r="E90" s="886"/>
      <c r="F90" s="886"/>
      <c r="G90" s="886"/>
      <c r="H90" s="886"/>
      <c r="I90" s="886"/>
      <c r="J90" s="886"/>
      <c r="K90" s="887"/>
    </row>
    <row r="91" spans="1:14" s="430" customFormat="1" ht="15" x14ac:dyDescent="0.25">
      <c r="A91" s="434"/>
      <c r="B91" s="870" t="s">
        <v>649</v>
      </c>
      <c r="C91" s="282">
        <f>SUM(C83:J83)</f>
        <v>879.40000000000009</v>
      </c>
      <c r="D91" s="442">
        <f t="shared" si="0"/>
        <v>9444.7560000000012</v>
      </c>
      <c r="E91" s="886"/>
      <c r="F91" s="886"/>
      <c r="G91" s="886"/>
      <c r="H91" s="886"/>
      <c r="I91" s="886"/>
      <c r="J91" s="886"/>
      <c r="K91" s="887"/>
    </row>
    <row r="92" spans="1:14" s="430" customFormat="1" ht="15.75" thickBot="1" x14ac:dyDescent="0.3">
      <c r="A92" s="434"/>
      <c r="B92" s="849" t="s">
        <v>843</v>
      </c>
      <c r="C92" s="443">
        <f>SUM(C89:C91)</f>
        <v>9383.1999999999989</v>
      </c>
      <c r="D92" s="444">
        <f>C92*10.74</f>
        <v>100775.56799999998</v>
      </c>
      <c r="E92" s="886"/>
      <c r="F92" s="886"/>
      <c r="G92" s="886"/>
      <c r="H92" s="886"/>
      <c r="I92" s="886"/>
      <c r="J92" s="886"/>
      <c r="K92" s="887"/>
    </row>
    <row r="93" spans="1:14" s="430" customFormat="1" ht="15.75" thickBot="1" x14ac:dyDescent="0.3">
      <c r="A93" s="434"/>
      <c r="B93" s="853" t="s">
        <v>1076</v>
      </c>
      <c r="C93" s="889">
        <f>C91/(C91+C90)</f>
        <v>0.35005174747233503</v>
      </c>
      <c r="D93" s="885"/>
      <c r="E93" s="885"/>
      <c r="F93" s="885"/>
      <c r="G93" s="885"/>
      <c r="H93" s="885"/>
      <c r="I93" s="885"/>
      <c r="J93" s="885"/>
      <c r="K93" s="888"/>
    </row>
    <row r="94" spans="1:14" s="430" customFormat="1" x14ac:dyDescent="0.25">
      <c r="A94" s="434"/>
    </row>
    <row r="95" spans="1:14" s="430" customFormat="1" ht="14.25" customHeight="1" x14ac:dyDescent="0.25">
      <c r="A95" s="434"/>
      <c r="D95" s="939"/>
      <c r="E95" s="939"/>
    </row>
    <row r="96" spans="1:14" s="430" customFormat="1" x14ac:dyDescent="0.25">
      <c r="A96" s="434"/>
      <c r="D96" s="979"/>
      <c r="E96" s="979"/>
    </row>
    <row r="97" spans="1:10" s="430" customFormat="1" ht="15" x14ac:dyDescent="0.25">
      <c r="A97" s="434"/>
      <c r="D97" s="956"/>
      <c r="E97" s="955"/>
    </row>
    <row r="98" spans="1:10" x14ac:dyDescent="0.25">
      <c r="A98" s="434"/>
      <c r="D98" s="979"/>
      <c r="E98" s="979"/>
      <c r="F98" s="430"/>
      <c r="H98" s="430"/>
      <c r="I98" s="430"/>
      <c r="J98" s="430"/>
    </row>
    <row r="99" spans="1:10" s="430" customFormat="1" x14ac:dyDescent="0.25">
      <c r="A99" s="434"/>
      <c r="E99" s="434"/>
    </row>
    <row r="100" spans="1:10" x14ac:dyDescent="0.25">
      <c r="A100" s="434"/>
      <c r="B100" s="467" t="s">
        <v>1103</v>
      </c>
      <c r="C100" s="468"/>
      <c r="D100" s="469"/>
      <c r="F100" s="430"/>
      <c r="H100" s="430"/>
      <c r="I100" s="430"/>
      <c r="J100" s="430"/>
    </row>
    <row r="101" spans="1:10" x14ac:dyDescent="0.25">
      <c r="A101" s="434"/>
      <c r="B101" s="457" t="s">
        <v>858</v>
      </c>
      <c r="C101" s="458">
        <v>1</v>
      </c>
      <c r="D101" s="432" t="s">
        <v>866</v>
      </c>
      <c r="F101" s="430"/>
      <c r="H101" s="430"/>
      <c r="I101" s="430"/>
      <c r="J101" s="430"/>
    </row>
    <row r="102" spans="1:10" x14ac:dyDescent="0.25">
      <c r="A102" s="434"/>
      <c r="B102" s="457" t="s">
        <v>859</v>
      </c>
      <c r="C102" s="458">
        <v>0.9</v>
      </c>
      <c r="D102" s="432" t="s">
        <v>866</v>
      </c>
      <c r="F102" s="430"/>
      <c r="H102" s="430"/>
      <c r="I102" s="430"/>
      <c r="J102" s="430"/>
    </row>
    <row r="103" spans="1:10" x14ac:dyDescent="0.25">
      <c r="A103" s="434"/>
      <c r="B103" s="457" t="s">
        <v>860</v>
      </c>
      <c r="C103" s="458">
        <v>0.82</v>
      </c>
      <c r="D103" s="432" t="s">
        <v>866</v>
      </c>
      <c r="F103" s="430"/>
      <c r="H103" s="430"/>
      <c r="I103" s="430"/>
      <c r="J103" s="430"/>
    </row>
    <row r="104" spans="1:10" x14ac:dyDescent="0.25">
      <c r="A104" s="434"/>
      <c r="B104" s="457" t="s">
        <v>861</v>
      </c>
      <c r="C104" s="458">
        <v>0.5</v>
      </c>
      <c r="D104" s="432" t="s">
        <v>866</v>
      </c>
      <c r="F104" s="430"/>
      <c r="H104" s="430"/>
      <c r="I104" s="430"/>
      <c r="J104" s="430"/>
    </row>
    <row r="105" spans="1:10" x14ac:dyDescent="0.25">
      <c r="A105" s="434"/>
      <c r="B105" s="457" t="s">
        <v>862</v>
      </c>
      <c r="C105" s="459">
        <v>0.01</v>
      </c>
      <c r="D105" s="432" t="s">
        <v>1108</v>
      </c>
      <c r="F105" s="430"/>
      <c r="H105" s="430"/>
      <c r="I105" s="430"/>
      <c r="J105" s="430"/>
    </row>
    <row r="106" spans="1:10" x14ac:dyDescent="0.25">
      <c r="A106" s="434"/>
      <c r="B106" s="457" t="s">
        <v>863</v>
      </c>
      <c r="C106" s="459">
        <v>0.42</v>
      </c>
      <c r="D106" s="432" t="s">
        <v>1104</v>
      </c>
      <c r="F106" s="430"/>
      <c r="H106" s="430"/>
      <c r="I106" s="430"/>
      <c r="J106" s="430"/>
    </row>
    <row r="107" spans="1:10" x14ac:dyDescent="0.25">
      <c r="A107" s="434"/>
      <c r="B107" s="457" t="s">
        <v>864</v>
      </c>
      <c r="C107" s="459">
        <v>0.45</v>
      </c>
      <c r="D107" s="432" t="s">
        <v>1105</v>
      </c>
      <c r="F107" s="430"/>
      <c r="H107" s="430"/>
      <c r="I107" s="430"/>
      <c r="J107" s="430"/>
    </row>
    <row r="108" spans="1:10" x14ac:dyDescent="0.25">
      <c r="A108" s="434"/>
      <c r="B108" s="457" t="s">
        <v>865</v>
      </c>
      <c r="C108" s="459">
        <v>0.12</v>
      </c>
      <c r="D108" s="432" t="s">
        <v>1106</v>
      </c>
      <c r="F108" s="430"/>
      <c r="H108" s="430"/>
      <c r="I108" s="430"/>
      <c r="J108" s="430"/>
    </row>
    <row r="109" spans="1:10" x14ac:dyDescent="0.25">
      <c r="A109" s="434"/>
      <c r="B109" s="432" t="s">
        <v>1107</v>
      </c>
      <c r="C109" s="460">
        <f>SUMPRODUCT(C101:C104,C105:C108)</f>
        <v>0.81699999999999995</v>
      </c>
      <c r="D109" s="432"/>
      <c r="F109" s="430"/>
      <c r="H109" s="430"/>
      <c r="I109" s="430"/>
      <c r="J109" s="430"/>
    </row>
    <row r="110" spans="1:10" x14ac:dyDescent="0.25">
      <c r="C110" s="3"/>
      <c r="F110" s="430"/>
      <c r="H110" s="430"/>
      <c r="I110" s="430"/>
      <c r="J110" s="430"/>
    </row>
    <row r="113" spans="1:14" x14ac:dyDescent="0.25">
      <c r="C113" s="3"/>
      <c r="E113" s="3"/>
      <c r="G113" s="3"/>
      <c r="I113" s="3"/>
    </row>
    <row r="114" spans="1:14" x14ac:dyDescent="0.25">
      <c r="C114" s="3"/>
      <c r="E114" s="3"/>
      <c r="G114" s="3"/>
      <c r="I114" s="3"/>
    </row>
    <row r="115" spans="1:14" x14ac:dyDescent="0.25">
      <c r="C115" s="3"/>
      <c r="E115" s="3"/>
      <c r="G115" s="3"/>
      <c r="I115" s="3"/>
    </row>
    <row r="116" spans="1:14" x14ac:dyDescent="0.25">
      <c r="C116" s="3"/>
      <c r="E116" s="3"/>
      <c r="G116" s="3"/>
      <c r="I116" s="3"/>
    </row>
    <row r="117" spans="1:14" x14ac:dyDescent="0.25">
      <c r="C117" s="3"/>
      <c r="E117" s="3"/>
      <c r="G117" s="3"/>
      <c r="I117" s="3"/>
      <c r="K117" s="3"/>
      <c r="L117" s="3"/>
      <c r="M117" s="3"/>
      <c r="N117" s="3"/>
    </row>
    <row r="118" spans="1:14" x14ac:dyDescent="0.25">
      <c r="C118" s="3"/>
      <c r="E118" s="3"/>
      <c r="G118" s="3"/>
      <c r="I118" s="3"/>
      <c r="K118" s="3"/>
      <c r="L118" s="3"/>
      <c r="M118" s="3"/>
      <c r="N118" s="3"/>
    </row>
    <row r="119" spans="1:14" x14ac:dyDescent="0.25">
      <c r="C119" s="3"/>
      <c r="E119" s="3"/>
      <c r="G119" s="3"/>
      <c r="I119" s="3"/>
      <c r="K119" s="3"/>
      <c r="L119" s="3"/>
      <c r="M119" s="3"/>
      <c r="N119" s="3"/>
    </row>
    <row r="120" spans="1:14" x14ac:dyDescent="0.25">
      <c r="C120" s="3"/>
      <c r="E120" s="3"/>
      <c r="G120" s="3"/>
      <c r="I120" s="3"/>
      <c r="K120" s="3"/>
      <c r="L120" s="3"/>
      <c r="M120" s="3"/>
      <c r="N120" s="3"/>
    </row>
    <row r="121" spans="1:14" s="430" customFormat="1" ht="17.25" customHeight="1" x14ac:dyDescent="0.25">
      <c r="A121" s="434"/>
      <c r="M121" s="434"/>
      <c r="N121" s="434"/>
    </row>
    <row r="122" spans="1:14" x14ac:dyDescent="0.25">
      <c r="B122" s="430"/>
      <c r="C122" s="430"/>
      <c r="D122" s="430"/>
      <c r="F122" s="430"/>
    </row>
    <row r="123" spans="1:14" x14ac:dyDescent="0.25">
      <c r="B123" s="430"/>
      <c r="C123" s="430"/>
      <c r="D123" s="430"/>
      <c r="F123" s="430"/>
    </row>
    <row r="124" spans="1:14" x14ac:dyDescent="0.25">
      <c r="B124" s="430"/>
      <c r="C124" s="430"/>
      <c r="D124" s="430"/>
      <c r="F124" s="430"/>
    </row>
    <row r="125" spans="1:14" x14ac:dyDescent="0.25">
      <c r="B125" s="430"/>
      <c r="C125" s="430"/>
      <c r="D125" s="430"/>
      <c r="F125" s="430"/>
    </row>
  </sheetData>
  <dataValidations count="15">
    <dataValidation type="list" allowBlank="1" showInputMessage="1" showErrorMessage="1" sqref="C49 C68">
      <formula1>"1,2,3"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9">
      <formula1>"0.8,0.9,1"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38">
      <formula1>"1.0,0.9"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65">
      <formula1>"1.0,0.8,0.6"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57:C58">
      <formula1>"0.0, 0.5, 1.0"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61">
      <formula1>"1.0, 0.75, 0.65, 0.5"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54" activePane="bottomLeft" state="frozen"/>
      <selection pane="bottomLeft" activeCell="C78" sqref="C78:K87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1172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1167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1168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4</v>
      </c>
      <c r="D10" s="345"/>
      <c r="F10" s="430" t="s">
        <v>1169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6871</v>
      </c>
      <c r="D11" s="345"/>
      <c r="F11" s="430" t="s">
        <v>1171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6.24</v>
      </c>
      <c r="D12" s="345"/>
      <c r="F12" s="430" t="s">
        <v>1170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143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20.6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16.399999999999999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24.2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26.3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9.9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3.77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4.0599999999999996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7.18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0.94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1131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1.05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12246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12246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12246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12246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0.51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28921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5.41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5.41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603.20000000000005</v>
      </c>
      <c r="D78" s="939">
        <v>0</v>
      </c>
      <c r="E78" s="939">
        <v>213.2</v>
      </c>
      <c r="F78" s="939">
        <v>0</v>
      </c>
      <c r="G78" s="430">
        <v>603.20000000000005</v>
      </c>
      <c r="H78" s="939">
        <v>0</v>
      </c>
      <c r="I78" s="939">
        <v>213.2</v>
      </c>
      <c r="J78" s="940">
        <v>0</v>
      </c>
      <c r="K78" s="941">
        <v>6871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324.8</v>
      </c>
      <c r="D83" s="955">
        <v>0</v>
      </c>
      <c r="E83" s="955">
        <v>114.8</v>
      </c>
      <c r="F83" s="955">
        <v>0</v>
      </c>
      <c r="G83" s="956">
        <v>324.8</v>
      </c>
      <c r="H83" s="955">
        <v>0</v>
      </c>
      <c r="I83" s="955">
        <v>115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6871</v>
      </c>
      <c r="D89" s="852">
        <f t="shared" ref="D89:D91" si="0">C89*10.74</f>
        <v>73794.540000000008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1632.8000000000002</v>
      </c>
      <c r="D90" s="442">
        <f t="shared" si="0"/>
        <v>17536.272000000001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879.40000000000009</v>
      </c>
      <c r="D91" s="442">
        <f t="shared" si="0"/>
        <v>9444.7560000000012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9383.1999999999989</v>
      </c>
      <c r="D92" s="444">
        <f>C92*10.74</f>
        <v>100775.56799999998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0.35005174747233503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54">
      <formula1>"0,0.4, 0.6, 0.65, 0.7"</formula1>
    </dataValidation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65" activePane="bottomLeft" state="frozen"/>
      <selection pane="bottomLeft" activeCell="C78" sqref="C78:K87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1162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1147</v>
      </c>
      <c r="I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1134</v>
      </c>
      <c r="I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12.19</v>
      </c>
      <c r="D10" s="345"/>
      <c r="F10" s="430" t="s">
        <v>1152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3134</v>
      </c>
      <c r="D11" s="345"/>
      <c r="F11" s="430" t="s">
        <v>1132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66.87</v>
      </c>
      <c r="D12" s="345"/>
      <c r="F12" s="430" t="s">
        <v>1153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43.26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6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0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95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21.5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21.4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24.5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24.6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3.61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4.87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0.97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1.36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1270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858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858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858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858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0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v>0</v>
      </c>
      <c r="M58" s="977">
        <v>0.08</v>
      </c>
      <c r="N58" s="978"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1874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1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46324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7.6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7.6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939">
        <v>481.6</v>
      </c>
      <c r="D78" s="939">
        <v>0</v>
      </c>
      <c r="E78" s="939">
        <v>172.56</v>
      </c>
      <c r="F78" s="939">
        <v>0</v>
      </c>
      <c r="G78" s="939">
        <v>481.6</v>
      </c>
      <c r="H78" s="939">
        <v>0</v>
      </c>
      <c r="I78" s="939">
        <v>172.56</v>
      </c>
      <c r="J78" s="940">
        <v>0</v>
      </c>
      <c r="K78" s="941">
        <v>783.66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83.2</v>
      </c>
      <c r="D83" s="955">
        <v>0</v>
      </c>
      <c r="E83" s="955">
        <v>33.659999999999997</v>
      </c>
      <c r="F83" s="955">
        <v>0</v>
      </c>
      <c r="G83" s="956">
        <v>83.2</v>
      </c>
      <c r="H83" s="955">
        <v>0</v>
      </c>
      <c r="I83" s="955">
        <v>33.659999999999997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v>783.66</v>
      </c>
      <c r="D89" s="852">
        <v>8416.5084000000006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v>1538.04</v>
      </c>
      <c r="D90" s="442">
        <v>16518.549599999998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v>233.72</v>
      </c>
      <c r="D91" s="442">
        <v>2510.1527999999998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v>2555.4199999999996</v>
      </c>
      <c r="D92" s="444">
        <v>27445.210799999997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v>0.13191402898812479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I95" s="430"/>
    </row>
    <row r="96" spans="1:14" x14ac:dyDescent="0.25">
      <c r="A96" s="434"/>
      <c r="C96" s="430"/>
      <c r="I96" s="430"/>
    </row>
    <row r="97" spans="1:9" x14ac:dyDescent="0.25">
      <c r="A97" s="434"/>
      <c r="C97" s="430"/>
      <c r="I97" s="430"/>
    </row>
    <row r="98" spans="1:9" x14ac:dyDescent="0.25">
      <c r="A98" s="434"/>
      <c r="E98" s="434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65" activePane="bottomLeft" state="frozen"/>
      <selection pane="bottomLeft" activeCell="C78" sqref="C78:K87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1163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1131</v>
      </c>
      <c r="I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1134</v>
      </c>
      <c r="I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30.48</v>
      </c>
      <c r="D10" s="345"/>
      <c r="F10" s="430" t="s">
        <v>1133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7836.6</v>
      </c>
      <c r="D11" s="345"/>
      <c r="F11" s="430" t="s">
        <v>1132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65.88</v>
      </c>
      <c r="D12" s="345"/>
      <c r="F12" s="430" t="s">
        <v>1154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42.44</v>
      </c>
      <c r="D13" s="345"/>
      <c r="F13" s="430" t="s">
        <v>1155</v>
      </c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6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0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95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21.7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24.4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29.4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3.61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4.93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0.87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1.28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1270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2000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2000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2000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2000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0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4778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1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46324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7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7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1204</v>
      </c>
      <c r="D78" s="939">
        <v>0</v>
      </c>
      <c r="E78" s="939">
        <v>431.4</v>
      </c>
      <c r="F78" s="939">
        <v>0</v>
      </c>
      <c r="G78" s="430">
        <v>1204</v>
      </c>
      <c r="H78" s="939">
        <v>0</v>
      </c>
      <c r="I78" s="939">
        <v>431.4</v>
      </c>
      <c r="J78" s="940">
        <v>0</v>
      </c>
      <c r="K78" s="941">
        <v>783.66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208</v>
      </c>
      <c r="D83" s="955">
        <v>0</v>
      </c>
      <c r="E83" s="955">
        <v>84.15</v>
      </c>
      <c r="F83" s="955">
        <v>0</v>
      </c>
      <c r="G83" s="956">
        <v>208</v>
      </c>
      <c r="H83" s="955">
        <v>0</v>
      </c>
      <c r="I83" s="955">
        <v>84.15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783.66</v>
      </c>
      <c r="D89" s="852">
        <f t="shared" ref="D89:D91" si="0">C89*10.74</f>
        <v>8416.5084000000006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3270.8</v>
      </c>
      <c r="D90" s="442">
        <f t="shared" si="0"/>
        <v>35128.392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584.29999999999995</v>
      </c>
      <c r="D91" s="442">
        <f t="shared" si="0"/>
        <v>6275.3819999999996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4638.76</v>
      </c>
      <c r="D92" s="444">
        <f>C92*10.74</f>
        <v>49820.282400000004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0.15156545874296384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E8" sqref="E8:F12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916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1161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1158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1159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3.1</v>
      </c>
      <c r="D10" s="345"/>
      <c r="F10" s="430" t="s">
        <v>1160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511</v>
      </c>
      <c r="D11" s="345"/>
      <c r="F11" s="430" t="s">
        <v>1165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21.2</v>
      </c>
      <c r="D12" s="345"/>
      <c r="F12" s="430" t="s">
        <v>1166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732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7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15.7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24.3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29.3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5.52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1.74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7.2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1.93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304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18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3.2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1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2.13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3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159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159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159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159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0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0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31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38253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7.1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7.1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67.709999999999994</v>
      </c>
      <c r="D78" s="939">
        <v>0</v>
      </c>
      <c r="E78" s="939">
        <v>45.14</v>
      </c>
      <c r="F78" s="939">
        <v>0</v>
      </c>
      <c r="G78" s="430">
        <v>67.709999999999994</v>
      </c>
      <c r="H78" s="939">
        <v>0</v>
      </c>
      <c r="I78" s="939">
        <v>45.14</v>
      </c>
      <c r="J78" s="940">
        <v>0</v>
      </c>
      <c r="K78" s="941">
        <v>599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20.65</v>
      </c>
      <c r="D83" s="955">
        <v>0</v>
      </c>
      <c r="E83" s="955">
        <v>11.16</v>
      </c>
      <c r="F83" s="955">
        <v>0</v>
      </c>
      <c r="G83" s="956">
        <v>16.739999999999998</v>
      </c>
      <c r="H83" s="955">
        <v>0</v>
      </c>
      <c r="I83" s="955">
        <v>11.16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599</v>
      </c>
      <c r="D89" s="852">
        <f t="shared" ref="D89:D91" si="0">C89*10.74</f>
        <v>6433.26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225.7</v>
      </c>
      <c r="D90" s="442">
        <f t="shared" si="0"/>
        <v>2424.018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59.709999999999994</v>
      </c>
      <c r="D91" s="442">
        <f t="shared" si="0"/>
        <v>641.28539999999998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884.41000000000008</v>
      </c>
      <c r="D92" s="444">
        <f>C92*10.74</f>
        <v>9498.5634000000009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0.20920780631372413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E8" sqref="E8:F10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1148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1149</v>
      </c>
      <c r="I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1150</v>
      </c>
      <c r="I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39.94</v>
      </c>
      <c r="D10" s="345"/>
      <c r="F10" s="430" t="s">
        <v>1151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46320.43</v>
      </c>
      <c r="D11" s="345"/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24.03</v>
      </c>
      <c r="D12" s="345"/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344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17.399999999999999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25.9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6.07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2.61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7.28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0.96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17485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5.86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1.1299999999999999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0.81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3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28040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28040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28040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28040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2493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1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1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239755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1.8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1.8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939">
        <v>2086</v>
      </c>
      <c r="D78" s="939">
        <v>0</v>
      </c>
      <c r="E78" s="939">
        <v>1390.67</v>
      </c>
      <c r="F78" s="939">
        <v>0</v>
      </c>
      <c r="G78" s="939">
        <v>2086</v>
      </c>
      <c r="H78" s="939">
        <v>0</v>
      </c>
      <c r="I78" s="939">
        <v>1390.67</v>
      </c>
      <c r="J78" s="940">
        <v>0</v>
      </c>
      <c r="K78" s="941">
        <v>3563.11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0.51100000000000001</v>
      </c>
      <c r="D79" s="943">
        <v>0.51100000000000001</v>
      </c>
      <c r="E79" s="943">
        <v>0.51100000000000001</v>
      </c>
      <c r="F79" s="943">
        <v>0.51100000000000001</v>
      </c>
      <c r="G79" s="943">
        <v>0.51100000000000001</v>
      </c>
      <c r="H79" s="943">
        <v>0.51100000000000001</v>
      </c>
      <c r="I79" s="943">
        <v>0.51100000000000001</v>
      </c>
      <c r="J79" s="944">
        <v>0.51100000000000001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1390.84</v>
      </c>
      <c r="D83" s="955">
        <v>0</v>
      </c>
      <c r="E83" s="955">
        <v>927.33</v>
      </c>
      <c r="F83" s="955">
        <v>0</v>
      </c>
      <c r="G83" s="956">
        <v>1390.84</v>
      </c>
      <c r="H83" s="955">
        <v>0</v>
      </c>
      <c r="I83" s="955">
        <v>927.33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3563.11</v>
      </c>
      <c r="D89" s="852">
        <f t="shared" ref="D89:D91" si="0">C89*10.74</f>
        <v>38267.801400000004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6953.34</v>
      </c>
      <c r="D90" s="442">
        <f t="shared" si="0"/>
        <v>74678.871599999999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4636.34</v>
      </c>
      <c r="D91" s="442">
        <f t="shared" si="0"/>
        <v>49794.291600000004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15152.79</v>
      </c>
      <c r="D92" s="444">
        <f>C92*10.74</f>
        <v>162740.96460000001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0.40004038075253157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I95" s="430"/>
    </row>
    <row r="96" spans="1:14" x14ac:dyDescent="0.25">
      <c r="A96" s="434"/>
      <c r="C96" s="430"/>
      <c r="I96" s="430"/>
    </row>
    <row r="97" spans="1:9" x14ac:dyDescent="0.25">
      <c r="A97" s="434"/>
      <c r="C97" s="430"/>
      <c r="I97" s="430"/>
    </row>
    <row r="98" spans="1:9" x14ac:dyDescent="0.25">
      <c r="A98" s="434"/>
      <c r="E98" s="434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C00000"/>
  </sheetPr>
  <dimension ref="A1:Z51"/>
  <sheetViews>
    <sheetView workbookViewId="0">
      <selection activeCell="S41" sqref="S41"/>
    </sheetView>
  </sheetViews>
  <sheetFormatPr defaultRowHeight="13.5" customHeight="1" x14ac:dyDescent="0.2"/>
  <cols>
    <col min="1" max="11" width="9.140625" style="273" customWidth="1"/>
    <col min="12" max="12" width="13.85546875" style="273" bestFit="1" customWidth="1"/>
    <col min="13" max="13" width="9.140625" style="273" customWidth="1"/>
    <col min="14" max="14" width="9.140625" style="345" customWidth="1"/>
    <col min="15" max="15" width="36.140625" style="273" bestFit="1" customWidth="1"/>
    <col min="16" max="16" width="13.42578125" style="273" bestFit="1" customWidth="1"/>
    <col min="17" max="17" width="12.7109375" style="273" bestFit="1" customWidth="1"/>
    <col min="18" max="18" width="11.5703125" style="273" customWidth="1"/>
    <col min="19" max="19" width="12" style="273" bestFit="1" customWidth="1"/>
    <col min="20" max="20" width="11.28515625" style="273" bestFit="1" customWidth="1"/>
    <col min="21" max="21" width="12" style="273" customWidth="1"/>
    <col min="22" max="22" width="11.7109375" style="273" customWidth="1"/>
    <col min="23" max="23" width="15.5703125" style="273" bestFit="1" customWidth="1"/>
    <col min="24" max="24" width="15.28515625" style="273" bestFit="1" customWidth="1"/>
    <col min="25" max="16384" width="9.140625" style="273"/>
  </cols>
  <sheetData>
    <row r="1" spans="1:26" s="265" customFormat="1" ht="13.5" customHeight="1" x14ac:dyDescent="0.25">
      <c r="A1" s="265" t="s">
        <v>587</v>
      </c>
      <c r="O1" s="265" t="s">
        <v>588</v>
      </c>
    </row>
    <row r="3" spans="1:26" s="267" customFormat="1" ht="13.5" customHeight="1" x14ac:dyDescent="0.25">
      <c r="A3" s="205" t="s">
        <v>669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O3" s="319" t="s">
        <v>707</v>
      </c>
      <c r="P3" s="314"/>
      <c r="Q3" s="314"/>
      <c r="R3" s="329" t="s">
        <v>725</v>
      </c>
      <c r="T3" s="331" t="s">
        <v>726</v>
      </c>
    </row>
    <row r="4" spans="1:26" s="267" customFormat="1" ht="23.25" customHeight="1" x14ac:dyDescent="0.25">
      <c r="A4" s="9" t="s">
        <v>373</v>
      </c>
      <c r="B4" s="7" t="s">
        <v>590</v>
      </c>
      <c r="C4" s="7" t="s">
        <v>591</v>
      </c>
      <c r="D4" s="7" t="s">
        <v>667</v>
      </c>
      <c r="E4" s="7" t="s">
        <v>668</v>
      </c>
      <c r="F4" s="7" t="s">
        <v>592</v>
      </c>
      <c r="G4" s="7" t="s">
        <v>593</v>
      </c>
      <c r="H4" s="7" t="s">
        <v>682</v>
      </c>
      <c r="I4" s="7" t="s">
        <v>594</v>
      </c>
      <c r="J4" s="7" t="s">
        <v>595</v>
      </c>
      <c r="K4" s="7" t="s">
        <v>596</v>
      </c>
      <c r="L4" s="7" t="s">
        <v>834</v>
      </c>
      <c r="O4" s="314" t="s">
        <v>689</v>
      </c>
      <c r="P4" s="314"/>
      <c r="Q4" s="270">
        <f ca="1">Calcs!K842</f>
        <v>11.694556883908255</v>
      </c>
      <c r="R4" s="316" t="s">
        <v>589</v>
      </c>
      <c r="S4" s="270">
        <f ca="1">Q4*Calcs!$N$23/Calcs!$N$20</f>
        <v>3.7071550095349526</v>
      </c>
      <c r="T4" s="330" t="s">
        <v>727</v>
      </c>
    </row>
    <row r="5" spans="1:26" s="267" customFormat="1" ht="13.5" customHeight="1" x14ac:dyDescent="0.25">
      <c r="A5" s="9" t="s">
        <v>114</v>
      </c>
      <c r="B5" s="269">
        <f ca="1">(Calcs!C558+Calcs!F558)/Calcs!$C$2/Calcs!$N$22</f>
        <v>5.2609594956981827</v>
      </c>
      <c r="C5" s="269">
        <f ca="1">(Calcs!D558+Calcs!G558)/Calcs!$C$2/Calcs!$N$22</f>
        <v>0.25587543515200845</v>
      </c>
      <c r="D5" s="269">
        <f>Calcs!J48/Calcs!$C$2/Calcs!$N$22</f>
        <v>2.1560712328767124</v>
      </c>
      <c r="E5" s="269">
        <f>Calcs!Q48</f>
        <v>5.6130257604424388E-2</v>
      </c>
      <c r="F5" s="269">
        <f ca="1">Calcs!L424</f>
        <v>0.21976798378729762</v>
      </c>
      <c r="G5" s="269">
        <f ca="1">Calcs!K701/Calcs!$C$2/Calcs!$N$22</f>
        <v>0.22734814845193677</v>
      </c>
      <c r="H5" s="269">
        <f>SUM(H22,H39)</f>
        <v>4.8356014285714286</v>
      </c>
      <c r="I5" s="269">
        <f ca="1">Calcs!M731/Calcs!$C$2</f>
        <v>0.23972854143780792</v>
      </c>
      <c r="J5" s="269">
        <f>Calcs!AR766/Calcs!$C$2/Calcs!$N$22</f>
        <v>0</v>
      </c>
      <c r="K5" s="269">
        <f t="shared" ref="K5:K16" ca="1" si="0">SUM(B5:I5)-J5</f>
        <v>13.251482523579798</v>
      </c>
      <c r="L5" s="379">
        <f ca="1">K5*Inputs!$C$11</f>
        <v>91050.936419516787</v>
      </c>
      <c r="O5" s="314" t="s">
        <v>690</v>
      </c>
      <c r="P5" s="314"/>
      <c r="Q5" s="270">
        <f ca="1">Calcs!V842</f>
        <v>80.244997038189481</v>
      </c>
      <c r="R5" s="316" t="s">
        <v>589</v>
      </c>
      <c r="S5" s="270">
        <f ca="1">Q5*Calcs!$N$23/Calcs!$N$20</f>
        <v>25.437530101681389</v>
      </c>
      <c r="T5" s="330" t="s">
        <v>727</v>
      </c>
      <c r="U5" s="273"/>
      <c r="V5" s="273"/>
      <c r="W5" s="273"/>
      <c r="Z5" s="268"/>
    </row>
    <row r="6" spans="1:26" s="267" customFormat="1" ht="13.5" customHeight="1" x14ac:dyDescent="0.25">
      <c r="A6" s="9" t="s">
        <v>115</v>
      </c>
      <c r="B6" s="269">
        <f ca="1">(Calcs!C559+Calcs!F559)/Calcs!$C$2/Calcs!$N$22</f>
        <v>3.3878712422516819</v>
      </c>
      <c r="C6" s="269">
        <f ca="1">(Calcs!D559+Calcs!G559)/Calcs!$C$2/Calcs!$N$22</f>
        <v>0.34224785881614367</v>
      </c>
      <c r="D6" s="269">
        <f>Calcs!J49/Calcs!$C$2/Calcs!$N$22</f>
        <v>1.9474191780821919</v>
      </c>
      <c r="E6" s="269">
        <f>Calcs!Q49</f>
        <v>5.0698297191092999E-2</v>
      </c>
      <c r="F6" s="269">
        <f ca="1">Calcs!L425</f>
        <v>0.17623912742471548</v>
      </c>
      <c r="G6" s="269">
        <f ca="1">Calcs!K702/Calcs!$C$2/Calcs!$N$22</f>
        <v>0.17342868128483038</v>
      </c>
      <c r="H6" s="269">
        <f t="shared" ref="H6:H16" si="1">SUM(H23,H40)</f>
        <v>4.3676400000000006</v>
      </c>
      <c r="I6" s="269">
        <f ca="1">Calcs!M732/Calcs!$C$2</f>
        <v>0.21652900516963292</v>
      </c>
      <c r="J6" s="269">
        <f>Calcs!AR767/Calcs!$C$2/Calcs!$N$22</f>
        <v>0</v>
      </c>
      <c r="K6" s="269">
        <f t="shared" ca="1" si="0"/>
        <v>10.662073390220289</v>
      </c>
      <c r="L6" s="379">
        <f ca="1">K6*Inputs!$C$11</f>
        <v>73259.106264203612</v>
      </c>
      <c r="O6" s="314" t="s">
        <v>688</v>
      </c>
      <c r="P6" s="314"/>
      <c r="Q6" s="270">
        <f ca="1">SUM(Q4:Q5)</f>
        <v>91.93955392209773</v>
      </c>
      <c r="R6" s="316" t="s">
        <v>589</v>
      </c>
      <c r="S6" s="270">
        <f ca="1">Q6*Calcs!$N$23/Calcs!$N$20</f>
        <v>29.14468511121634</v>
      </c>
      <c r="T6" s="330" t="s">
        <v>727</v>
      </c>
      <c r="Z6" s="268"/>
    </row>
    <row r="7" spans="1:26" s="267" customFormat="1" ht="13.5" customHeight="1" x14ac:dyDescent="0.25">
      <c r="A7" s="9" t="s">
        <v>116</v>
      </c>
      <c r="B7" s="269">
        <f ca="1">(Calcs!C560+Calcs!F560)/Calcs!$C$2/Calcs!$N$22</f>
        <v>1.2140328926852839</v>
      </c>
      <c r="C7" s="269">
        <f ca="1">(Calcs!D560+Calcs!G560)/Calcs!$C$2/Calcs!$N$22</f>
        <v>0.84178863968045303</v>
      </c>
      <c r="D7" s="269">
        <f>Calcs!J50/Calcs!$C$2/Calcs!$N$22</f>
        <v>2.1560712328767124</v>
      </c>
      <c r="E7" s="269">
        <f>Calcs!Q50</f>
        <v>5.6130257604424388E-2</v>
      </c>
      <c r="F7" s="269">
        <f ca="1">Calcs!L426</f>
        <v>0.20069483879297298</v>
      </c>
      <c r="G7" s="269">
        <f ca="1">Calcs!K703/Calcs!$C$2/Calcs!$N$22</f>
        <v>0.17165470561782914</v>
      </c>
      <c r="H7" s="269">
        <f t="shared" si="1"/>
        <v>4.8356014285714286</v>
      </c>
      <c r="I7" s="269">
        <f ca="1">Calcs!M733/Calcs!$C$2</f>
        <v>0.23972854143780792</v>
      </c>
      <c r="J7" s="269">
        <f>Calcs!AR768/Calcs!$C$2/Calcs!$N$22</f>
        <v>0</v>
      </c>
      <c r="K7" s="269">
        <f t="shared" ca="1" si="0"/>
        <v>9.7157025372669121</v>
      </c>
      <c r="L7" s="379">
        <f ca="1">K7*Inputs!$C$11</f>
        <v>66756.59213356096</v>
      </c>
      <c r="O7" s="320" t="s">
        <v>608</v>
      </c>
      <c r="P7" s="313"/>
      <c r="Q7" s="270">
        <f ca="1">K34</f>
        <v>108.20491761477751</v>
      </c>
      <c r="R7" s="316" t="s">
        <v>589</v>
      </c>
      <c r="S7" s="270">
        <f ca="1">Q7*Calcs!$N$23/Calcs!$N$20</f>
        <v>34.300778248716604</v>
      </c>
      <c r="T7" s="330" t="s">
        <v>727</v>
      </c>
      <c r="Z7" s="268"/>
    </row>
    <row r="8" spans="1:26" s="267" customFormat="1" ht="13.5" customHeight="1" x14ac:dyDescent="0.2">
      <c r="A8" s="9" t="s">
        <v>117</v>
      </c>
      <c r="B8" s="269">
        <f ca="1">(Calcs!C561+Calcs!F561)/Calcs!$C$2/Calcs!$N$22</f>
        <v>0.18465734570743073</v>
      </c>
      <c r="C8" s="269">
        <f ca="1">(Calcs!D561+Calcs!G561)/Calcs!$C$2/Calcs!$N$22</f>
        <v>1.7337637935672523</v>
      </c>
      <c r="D8" s="269">
        <f>Calcs!J51/Calcs!$C$2/Calcs!$N$22</f>
        <v>2.0865205479452054</v>
      </c>
      <c r="E8" s="269">
        <f>Calcs!Q51</f>
        <v>5.431960413331393E-2</v>
      </c>
      <c r="F8" s="269">
        <f ca="1">Calcs!L427</f>
        <v>0.3298697654734794</v>
      </c>
      <c r="G8" s="269">
        <f ca="1">Calcs!K704/Calcs!$C$2/Calcs!$N$22</f>
        <v>0.27061930873615336</v>
      </c>
      <c r="H8" s="269">
        <f t="shared" si="1"/>
        <v>4.6796142857142859</v>
      </c>
      <c r="I8" s="269">
        <f ca="1">Calcs!M734/Calcs!$C$2</f>
        <v>0.23199536268174958</v>
      </c>
      <c r="J8" s="269">
        <f>Calcs!AR769/Calcs!$C$2/Calcs!$N$22</f>
        <v>0</v>
      </c>
      <c r="K8" s="269">
        <f t="shared" ca="1" si="0"/>
        <v>9.5713600139588699</v>
      </c>
      <c r="L8" s="379">
        <f ca="1">K8*Inputs!$C$11</f>
        <v>65764.814655911396</v>
      </c>
      <c r="O8" s="320" t="s">
        <v>609</v>
      </c>
      <c r="P8" s="320"/>
      <c r="Q8" s="270">
        <f ca="1">K51</f>
        <v>28.09255661421626</v>
      </c>
      <c r="R8" s="316" t="s">
        <v>589</v>
      </c>
      <c r="S8" s="270">
        <f ca="1">Q8*Calcs!$N$23/Calcs!$N$20</f>
        <v>8.9052935495433587</v>
      </c>
      <c r="T8" s="330" t="s">
        <v>727</v>
      </c>
    </row>
    <row r="9" spans="1:26" s="267" customFormat="1" ht="13.5" customHeight="1" x14ac:dyDescent="0.2">
      <c r="A9" s="9" t="s">
        <v>118</v>
      </c>
      <c r="B9" s="269">
        <f ca="1">(Calcs!C562+Calcs!F562)/Calcs!$C$2/Calcs!$N$22</f>
        <v>3.2664378401494011E-3</v>
      </c>
      <c r="C9" s="269">
        <f ca="1">(Calcs!D562+Calcs!G562)/Calcs!$C$2/Calcs!$N$22</f>
        <v>3.1256885037743563</v>
      </c>
      <c r="D9" s="269">
        <f>Calcs!J52/Calcs!$C$2/Calcs!$N$22</f>
        <v>2.1560712328767124</v>
      </c>
      <c r="E9" s="269">
        <f>Calcs!Q52</f>
        <v>5.6130257604424388E-2</v>
      </c>
      <c r="F9" s="269">
        <f ca="1">Calcs!L428</f>
        <v>0.5576752754994454</v>
      </c>
      <c r="G9" s="269">
        <f ca="1">Calcs!K705/Calcs!$C$2/Calcs!$N$22</f>
        <v>0.47607793262464682</v>
      </c>
      <c r="H9" s="269">
        <f t="shared" si="1"/>
        <v>4.8356014285714286</v>
      </c>
      <c r="I9" s="269">
        <f ca="1">Calcs!M735/Calcs!$C$2</f>
        <v>0.23972854143780792</v>
      </c>
      <c r="J9" s="269">
        <f>Calcs!AR770/Calcs!$C$2/Calcs!$N$22</f>
        <v>0</v>
      </c>
      <c r="K9" s="269">
        <f t="shared" ca="1" si="0"/>
        <v>11.450239610228971</v>
      </c>
      <c r="L9" s="379">
        <f ca="1">K9*Inputs!$C$11</f>
        <v>78674.596361883261</v>
      </c>
      <c r="O9" s="320" t="s">
        <v>610</v>
      </c>
      <c r="P9" s="320"/>
      <c r="Q9" s="270">
        <f ca="1">K17</f>
        <v>136.29747422899376</v>
      </c>
      <c r="R9" s="316" t="s">
        <v>589</v>
      </c>
      <c r="S9" s="270">
        <f ca="1">Q9*Calcs!$N$23/Calcs!$N$20</f>
        <v>43.206071798259956</v>
      </c>
      <c r="T9" s="330" t="s">
        <v>727</v>
      </c>
    </row>
    <row r="10" spans="1:26" s="267" customFormat="1" ht="13.5" customHeight="1" x14ac:dyDescent="0.25">
      <c r="A10" s="9" t="s">
        <v>119</v>
      </c>
      <c r="B10" s="269">
        <f ca="1">(Calcs!C563+Calcs!F563)/Calcs!$C$2/Calcs!$N$22</f>
        <v>0</v>
      </c>
      <c r="C10" s="269">
        <f ca="1">(Calcs!D563+Calcs!G563)/Calcs!$C$2/Calcs!$N$22</f>
        <v>4.0422979510982806</v>
      </c>
      <c r="D10" s="269">
        <f>Calcs!J53/Calcs!$C$2/Calcs!$N$22</f>
        <v>2.0865205479452054</v>
      </c>
      <c r="E10" s="269">
        <f>Calcs!Q53</f>
        <v>5.431960413331393E-2</v>
      </c>
      <c r="F10" s="269">
        <f ca="1">Calcs!L429</f>
        <v>0.67017466762596467</v>
      </c>
      <c r="G10" s="269">
        <f ca="1">Calcs!K706/Calcs!$C$2/Calcs!$N$22</f>
        <v>0.61553671843271751</v>
      </c>
      <c r="H10" s="269">
        <f t="shared" si="1"/>
        <v>4.6796142857142859</v>
      </c>
      <c r="I10" s="269">
        <f ca="1">Calcs!M736/Calcs!$C$2</f>
        <v>0.23199536268174958</v>
      </c>
      <c r="J10" s="269">
        <f>Calcs!AR771/Calcs!$C$2/Calcs!$N$22</f>
        <v>0</v>
      </c>
      <c r="K10" s="269">
        <f t="shared" ca="1" si="0"/>
        <v>12.380459137631517</v>
      </c>
      <c r="L10" s="379">
        <f ca="1">K10*Inputs!$C$11</f>
        <v>85066.13473466615</v>
      </c>
      <c r="O10" s="314" t="s">
        <v>686</v>
      </c>
      <c r="P10" s="314"/>
      <c r="Q10" s="270">
        <f ca="1">Q20/Inputs!C11*1000</f>
        <v>394.78661959645052</v>
      </c>
      <c r="R10" s="312" t="s">
        <v>589</v>
      </c>
      <c r="S10" s="270">
        <f ca="1">Q10*Calcs!$N$23/Calcs!$N$20</f>
        <v>125.14669936303271</v>
      </c>
      <c r="T10" s="330" t="s">
        <v>727</v>
      </c>
    </row>
    <row r="11" spans="1:26" s="267" customFormat="1" ht="13.5" customHeight="1" x14ac:dyDescent="0.25">
      <c r="A11" s="9" t="s">
        <v>120</v>
      </c>
      <c r="B11" s="269">
        <f ca="1">(Calcs!C564+Calcs!F564)/Calcs!$C$2/Calcs!$N$22</f>
        <v>0</v>
      </c>
      <c r="C11" s="269">
        <f ca="1">(Calcs!D564+Calcs!G564)/Calcs!$C$2/Calcs!$N$22</f>
        <v>4.7987931345077435</v>
      </c>
      <c r="D11" s="269">
        <f>Calcs!J54/Calcs!$C$2/Calcs!$N$22</f>
        <v>2.1560712328767124</v>
      </c>
      <c r="E11" s="269">
        <f>Calcs!Q54</f>
        <v>5.6130257604424388E-2</v>
      </c>
      <c r="F11" s="269">
        <f ca="1">Calcs!L430</f>
        <v>0.77894836933256117</v>
      </c>
      <c r="G11" s="269">
        <f ca="1">Calcs!K707/Calcs!$C$2/Calcs!$N$22</f>
        <v>0.73073123609055157</v>
      </c>
      <c r="H11" s="269">
        <f t="shared" si="1"/>
        <v>4.8356014285714286</v>
      </c>
      <c r="I11" s="269">
        <f ca="1">Calcs!M737/Calcs!$C$2</f>
        <v>0.23972854143780792</v>
      </c>
      <c r="J11" s="269">
        <f>Calcs!AR772/Calcs!$C$2/Calcs!$N$22</f>
        <v>0</v>
      </c>
      <c r="K11" s="269">
        <f t="shared" ca="1" si="0"/>
        <v>13.596004200421229</v>
      </c>
      <c r="L11" s="379">
        <f ca="1">K11*Inputs!$C$11</f>
        <v>93418.144861094261</v>
      </c>
      <c r="O11" s="314"/>
      <c r="P11" s="314"/>
      <c r="Q11" s="314"/>
      <c r="R11" s="312"/>
      <c r="S11" s="314"/>
      <c r="T11" s="316"/>
    </row>
    <row r="12" spans="1:26" s="267" customFormat="1" ht="13.5" customHeight="1" x14ac:dyDescent="0.25">
      <c r="A12" s="9" t="s">
        <v>121</v>
      </c>
      <c r="B12" s="269">
        <f ca="1">(Calcs!C565+Calcs!F565)/Calcs!$C$2/Calcs!$N$22</f>
        <v>0</v>
      </c>
      <c r="C12" s="269">
        <f ca="1">(Calcs!D565+Calcs!G565)/Calcs!$C$2/Calcs!$N$22</f>
        <v>4.1851634268819424</v>
      </c>
      <c r="D12" s="269">
        <f>Calcs!J55/Calcs!$C$2/Calcs!$N$22</f>
        <v>2.1560712328767124</v>
      </c>
      <c r="E12" s="269">
        <f>Calcs!Q55</f>
        <v>5.6130257604424388E-2</v>
      </c>
      <c r="F12" s="269">
        <f ca="1">Calcs!L431</f>
        <v>0.69350621731898499</v>
      </c>
      <c r="G12" s="269">
        <f ca="1">Calcs!K708/Calcs!$C$2/Calcs!$N$22</f>
        <v>0.63729141024540592</v>
      </c>
      <c r="H12" s="269">
        <f t="shared" si="1"/>
        <v>4.8356014285714286</v>
      </c>
      <c r="I12" s="269">
        <f ca="1">Calcs!M738/Calcs!$C$2</f>
        <v>0.23972854143780792</v>
      </c>
      <c r="J12" s="269">
        <f>Calcs!AR773/Calcs!$C$2/Calcs!$N$22</f>
        <v>0</v>
      </c>
      <c r="K12" s="269">
        <f t="shared" ca="1" si="0"/>
        <v>12.803492514936707</v>
      </c>
      <c r="L12" s="379">
        <f ca="1">K12*Inputs!$C$11</f>
        <v>87972.797070130109</v>
      </c>
      <c r="O12" s="319" t="s">
        <v>708</v>
      </c>
      <c r="P12" s="314"/>
      <c r="Q12" s="314"/>
      <c r="R12" s="317"/>
      <c r="S12" s="314"/>
      <c r="T12" s="316"/>
    </row>
    <row r="13" spans="1:26" s="267" customFormat="1" ht="13.5" customHeight="1" x14ac:dyDescent="0.25">
      <c r="A13" s="9" t="s">
        <v>122</v>
      </c>
      <c r="B13" s="269">
        <f ca="1">(Calcs!C566+Calcs!F566)/Calcs!$C$2/Calcs!$N$22</f>
        <v>5.8553842124365047E-5</v>
      </c>
      <c r="C13" s="269">
        <f ca="1">(Calcs!D566+Calcs!G566)/Calcs!$C$2/Calcs!$N$22</f>
        <v>3.2974287501325192</v>
      </c>
      <c r="D13" s="269">
        <f>Calcs!J56/Calcs!$C$2/Calcs!$N$22</f>
        <v>2.0865205479452054</v>
      </c>
      <c r="E13" s="269">
        <f>Calcs!Q56</f>
        <v>5.431960413331393E-2</v>
      </c>
      <c r="F13" s="269">
        <f ca="1">Calcs!L432</f>
        <v>0.57108262455325898</v>
      </c>
      <c r="G13" s="269">
        <f ca="1">Calcs!K709/Calcs!$C$2/Calcs!$N$22</f>
        <v>0.50211463186803962</v>
      </c>
      <c r="H13" s="269">
        <f t="shared" si="1"/>
        <v>4.6796142857142859</v>
      </c>
      <c r="I13" s="269">
        <f ca="1">Calcs!M739/Calcs!$C$2</f>
        <v>0.23199536268174958</v>
      </c>
      <c r="J13" s="269">
        <f>Calcs!AR774/Calcs!$C$2/Calcs!$N$22</f>
        <v>0</v>
      </c>
      <c r="K13" s="269">
        <f t="shared" ca="1" si="0"/>
        <v>11.423134360870497</v>
      </c>
      <c r="L13" s="379">
        <f ca="1">K13*Inputs!$C$11</f>
        <v>78488.356193541185</v>
      </c>
      <c r="O13" s="320" t="s">
        <v>619</v>
      </c>
      <c r="P13" s="313"/>
      <c r="Q13" s="285">
        <f ca="1">Q7*Inputs!C11/1000</f>
        <v>743.47598893113627</v>
      </c>
      <c r="R13" s="312" t="s">
        <v>685</v>
      </c>
      <c r="S13" s="270">
        <f ca="1">Q13</f>
        <v>743.47598893113627</v>
      </c>
      <c r="T13" s="312" t="s">
        <v>685</v>
      </c>
    </row>
    <row r="14" spans="1:26" s="267" customFormat="1" ht="13.5" customHeight="1" x14ac:dyDescent="0.25">
      <c r="A14" s="9" t="s">
        <v>123</v>
      </c>
      <c r="B14" s="269">
        <f ca="1">(Calcs!C567+Calcs!F567)/Calcs!$C$2/Calcs!$N$22</f>
        <v>0.13304868628834568</v>
      </c>
      <c r="C14" s="269">
        <f ca="1">(Calcs!D567+Calcs!G567)/Calcs!$C$2/Calcs!$N$22</f>
        <v>1.8067384565679954</v>
      </c>
      <c r="D14" s="269">
        <f>Calcs!J57/Calcs!$C$2/Calcs!$N$22</f>
        <v>2.1560712328767124</v>
      </c>
      <c r="E14" s="269">
        <f>Calcs!Q57</f>
        <v>5.6130257604424388E-2</v>
      </c>
      <c r="F14" s="269">
        <f ca="1">Calcs!L433</f>
        <v>0.3411486022521838</v>
      </c>
      <c r="G14" s="269">
        <f ca="1">Calcs!K710/Calcs!$C$2/Calcs!$N$22</f>
        <v>0.27988344146347371</v>
      </c>
      <c r="H14" s="269">
        <f t="shared" si="1"/>
        <v>4.8356014285714286</v>
      </c>
      <c r="I14" s="269">
        <f ca="1">Calcs!M740/Calcs!$C$2</f>
        <v>0.23972854143780792</v>
      </c>
      <c r="J14" s="269">
        <f>Calcs!AR775/Calcs!$C$2/Calcs!$N$22</f>
        <v>0</v>
      </c>
      <c r="K14" s="269">
        <f t="shared" ca="1" si="0"/>
        <v>9.8483506470623716</v>
      </c>
      <c r="L14" s="379">
        <f ca="1">K14*Inputs!$C$11</f>
        <v>67668.017295965561</v>
      </c>
      <c r="O14" s="314" t="s">
        <v>620</v>
      </c>
      <c r="P14" s="315"/>
      <c r="Q14" s="285">
        <f ca="1">Q8*Inputs!C11/1000</f>
        <v>193.02395649627991</v>
      </c>
      <c r="R14" s="312" t="s">
        <v>685</v>
      </c>
      <c r="S14" s="270">
        <f ca="1">Q14*Calcs!$N$23/1000*10</f>
        <v>6.5862507815204463</v>
      </c>
      <c r="T14" s="330" t="s">
        <v>731</v>
      </c>
    </row>
    <row r="15" spans="1:26" s="267" customFormat="1" ht="13.5" customHeight="1" x14ac:dyDescent="0.25">
      <c r="A15" s="9" t="s">
        <v>124</v>
      </c>
      <c r="B15" s="269">
        <f ca="1">(Calcs!C568+Calcs!F568)/Calcs!$C$2/Calcs!$N$22</f>
        <v>1.122623854832183</v>
      </c>
      <c r="C15" s="269">
        <f ca="1">(Calcs!D568+Calcs!G568)/Calcs!$C$2/Calcs!$N$22</f>
        <v>0.68523590941215329</v>
      </c>
      <c r="D15" s="269">
        <f>Calcs!J58/Calcs!$C$2/Calcs!$N$22</f>
        <v>2.0865205479452054</v>
      </c>
      <c r="E15" s="269">
        <f>Calcs!Q58</f>
        <v>5.431960413331393E-2</v>
      </c>
      <c r="F15" s="269">
        <f ca="1">Calcs!L434</f>
        <v>0.17529931180738922</v>
      </c>
      <c r="G15" s="269">
        <f ca="1">Calcs!K711/Calcs!$C$2/Calcs!$N$22</f>
        <v>0.14454261706113</v>
      </c>
      <c r="H15" s="269">
        <f t="shared" si="1"/>
        <v>4.6796142857142859</v>
      </c>
      <c r="I15" s="269">
        <f ca="1">Calcs!M741/Calcs!$C$2</f>
        <v>0.23199536268174958</v>
      </c>
      <c r="J15" s="269">
        <f>Calcs!AR776/Calcs!$C$2/Calcs!$N$22</f>
        <v>0</v>
      </c>
      <c r="K15" s="269">
        <f t="shared" ca="1" si="0"/>
        <v>9.1801514935874096</v>
      </c>
      <c r="L15" s="379">
        <f ca="1">K15*Inputs!$C$11</f>
        <v>63076.820912439092</v>
      </c>
      <c r="O15" s="314" t="s">
        <v>621</v>
      </c>
      <c r="P15" s="321"/>
      <c r="Q15" s="285">
        <f ca="1">Q9*Inputs!C11/1000</f>
        <v>936.49994542741615</v>
      </c>
      <c r="R15" s="312" t="s">
        <v>685</v>
      </c>
      <c r="S15" s="270">
        <f ca="1">Q15*Calcs!$N$23/1000</f>
        <v>3.1954704532149867</v>
      </c>
      <c r="T15" s="330" t="s">
        <v>728</v>
      </c>
    </row>
    <row r="16" spans="1:26" s="267" customFormat="1" ht="13.5" customHeight="1" x14ac:dyDescent="0.25">
      <c r="A16" s="9" t="s">
        <v>125</v>
      </c>
      <c r="B16" s="269">
        <f ca="1">(Calcs!C569+Calcs!F569)/Calcs!$C$2/Calcs!$N$22</f>
        <v>4.4369278591095913</v>
      </c>
      <c r="C16" s="269">
        <f ca="1">(Calcs!D569+Calcs!G569)/Calcs!$C$2/Calcs!$N$22</f>
        <v>0.28825148849884691</v>
      </c>
      <c r="D16" s="269">
        <f>Calcs!J59/Calcs!$C$2/Calcs!$N$22</f>
        <v>2.1560712328767124</v>
      </c>
      <c r="E16" s="269">
        <f>Calcs!Q59</f>
        <v>5.6130257604424388E-2</v>
      </c>
      <c r="F16" s="269">
        <f ca="1">Calcs!L435</f>
        <v>0.19954182300711712</v>
      </c>
      <c r="G16" s="269">
        <f ca="1">Calcs!K712/Calcs!$C$2/Calcs!$N$22</f>
        <v>0.2027711681232848</v>
      </c>
      <c r="H16" s="269">
        <f t="shared" si="1"/>
        <v>4.8356014285714286</v>
      </c>
      <c r="I16" s="269">
        <f ca="1">Calcs!M742/Calcs!$C$2</f>
        <v>0.23972854143780792</v>
      </c>
      <c r="J16" s="269">
        <f>Calcs!AR777/Calcs!$C$2/Calcs!$N$22</f>
        <v>0</v>
      </c>
      <c r="K16" s="269">
        <f t="shared" ca="1" si="0"/>
        <v>12.415023799229212</v>
      </c>
      <c r="L16" s="379">
        <f ca="1">K16*Inputs!$C$11</f>
        <v>85303.628524503918</v>
      </c>
      <c r="O16" s="314"/>
      <c r="P16" s="313"/>
      <c r="Q16" s="314"/>
      <c r="R16" s="317"/>
      <c r="S16" s="314"/>
      <c r="T16" s="316"/>
    </row>
    <row r="17" spans="1:22" ht="13.5" customHeight="1" x14ac:dyDescent="0.25">
      <c r="A17" s="9" t="s">
        <v>178</v>
      </c>
      <c r="B17" s="279">
        <f ca="1">SUM(B5:B16)</f>
        <v>15.743446368254974</v>
      </c>
      <c r="C17" s="271">
        <f ca="1">SUM(C5:C16)</f>
        <v>25.403273348089694</v>
      </c>
      <c r="D17" s="271">
        <f>SUM(D5:D16)</f>
        <v>25.386000000000003</v>
      </c>
      <c r="E17" s="271">
        <f t="shared" ref="E17:H17" si="2">SUM(E5:E16)</f>
        <v>0.66088851695531936</v>
      </c>
      <c r="F17" s="271">
        <f ca="1">SUM(F5:F16)</f>
        <v>4.9139486068753708</v>
      </c>
      <c r="G17" s="271">
        <f ca="1">SUM(G5:G16)</f>
        <v>4.4319999999999986</v>
      </c>
      <c r="H17" s="271">
        <f t="shared" si="2"/>
        <v>56.935307142857148</v>
      </c>
      <c r="I17" s="271">
        <f ca="1">SUM(I5:I16)</f>
        <v>2.8226102459612861</v>
      </c>
      <c r="J17" s="271">
        <f>SUM(J5:J16)</f>
        <v>0</v>
      </c>
      <c r="K17" s="272">
        <f ca="1">SUM(K5:K16)</f>
        <v>136.29747422899376</v>
      </c>
      <c r="L17" s="383">
        <f ca="1">K17*Inputs!$C$11</f>
        <v>936499.94542741613</v>
      </c>
      <c r="O17" s="322" t="s">
        <v>709</v>
      </c>
      <c r="P17" s="315"/>
      <c r="Q17" s="315"/>
      <c r="R17" s="318"/>
      <c r="S17" s="315"/>
      <c r="T17" s="316"/>
    </row>
    <row r="18" spans="1:22" ht="13.5" customHeight="1" x14ac:dyDescent="0.25">
      <c r="L18" s="378"/>
      <c r="O18" s="314" t="s">
        <v>599</v>
      </c>
      <c r="P18" s="313"/>
      <c r="Q18" s="323">
        <f ca="1">Calcs!U4*Q13</f>
        <v>2501.7967027532736</v>
      </c>
      <c r="R18" s="312" t="s">
        <v>685</v>
      </c>
      <c r="S18" s="323">
        <f ca="1">Q18*Calcs!$N$23/1000</f>
        <v>8.5364846870867996</v>
      </c>
      <c r="T18" s="330" t="s">
        <v>728</v>
      </c>
    </row>
    <row r="19" spans="1:22" ht="13.5" customHeight="1" x14ac:dyDescent="0.25">
      <c r="L19" s="378"/>
      <c r="O19" s="314" t="s">
        <v>600</v>
      </c>
      <c r="P19" s="313"/>
      <c r="Q19" s="323">
        <f ca="1">Calcs!U5*Q14</f>
        <v>210.78216049393768</v>
      </c>
      <c r="R19" s="312" t="s">
        <v>685</v>
      </c>
      <c r="S19" s="323">
        <f ca="1">Q19*Calcs!$N$23/1000</f>
        <v>0.71921858534203276</v>
      </c>
      <c r="T19" s="330" t="s">
        <v>728</v>
      </c>
    </row>
    <row r="20" spans="1:22" s="212" customFormat="1" ht="13.5" customHeight="1" x14ac:dyDescent="0.25">
      <c r="A20" s="205" t="s">
        <v>417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O20" s="314" t="s">
        <v>687</v>
      </c>
      <c r="P20" s="313"/>
      <c r="Q20" s="270">
        <f ca="1">SUM(Q18:Q19)</f>
        <v>2712.5788632472113</v>
      </c>
      <c r="R20" s="312" t="s">
        <v>685</v>
      </c>
      <c r="S20" s="270">
        <f ca="1">Q20*Calcs!$N$23/1000</f>
        <v>9.2557032724288337</v>
      </c>
      <c r="T20" s="330" t="s">
        <v>728</v>
      </c>
      <c r="U20"/>
      <c r="V20"/>
    </row>
    <row r="21" spans="1:22" s="266" customFormat="1" ht="24" customHeight="1" x14ac:dyDescent="0.25">
      <c r="A21" s="9" t="s">
        <v>373</v>
      </c>
      <c r="B21" s="7" t="s">
        <v>590</v>
      </c>
      <c r="C21" s="7" t="s">
        <v>591</v>
      </c>
      <c r="D21" s="7" t="s">
        <v>667</v>
      </c>
      <c r="E21" s="7" t="s">
        <v>668</v>
      </c>
      <c r="F21" s="7" t="s">
        <v>592</v>
      </c>
      <c r="G21" s="7" t="s">
        <v>593</v>
      </c>
      <c r="H21" s="7" t="s">
        <v>682</v>
      </c>
      <c r="I21" s="7" t="s">
        <v>594</v>
      </c>
      <c r="J21" s="7" t="s">
        <v>595</v>
      </c>
      <c r="K21" s="380" t="s">
        <v>596</v>
      </c>
      <c r="L21" s="7" t="s">
        <v>834</v>
      </c>
      <c r="O21" s="314"/>
      <c r="P21" s="313"/>
      <c r="Q21" s="314"/>
      <c r="R21" s="317"/>
      <c r="S21" s="314"/>
      <c r="T21" s="316"/>
      <c r="U21" s="267"/>
      <c r="V21" s="267"/>
    </row>
    <row r="22" spans="1:22" ht="13.5" customHeight="1" x14ac:dyDescent="0.25">
      <c r="A22" s="9" t="s">
        <v>114</v>
      </c>
      <c r="B22" s="269">
        <f>Calcs!C558/Calcs!$C$2/Calcs!$N$22</f>
        <v>0</v>
      </c>
      <c r="C22" s="840">
        <f ca="1">Calcs!D558/Calcs!$C$2/Calcs!$N$22</f>
        <v>0.25587543515200845</v>
      </c>
      <c r="D22" s="269">
        <f t="shared" ref="D22:D33" si="3">D5</f>
        <v>2.1560712328767124</v>
      </c>
      <c r="E22" s="269">
        <f t="shared" ref="E22" si="4">E5</f>
        <v>5.6130257604424388E-2</v>
      </c>
      <c r="F22" s="269">
        <f t="shared" ref="F22:G33" ca="1" si="5">F5</f>
        <v>0.21976798378729762</v>
      </c>
      <c r="G22" s="269">
        <f t="shared" ca="1" si="5"/>
        <v>0.22734814845193677</v>
      </c>
      <c r="H22" s="269">
        <f>Calcs!H747</f>
        <v>4.0265014285714287</v>
      </c>
      <c r="I22" s="269">
        <f>IF(Inputs!$C$66=2,0,Outputs!I5)</f>
        <v>0</v>
      </c>
      <c r="J22" s="269">
        <f t="shared" ref="J22:J33" si="6">J5</f>
        <v>0</v>
      </c>
      <c r="K22" s="381">
        <f t="shared" ref="K22:K33" ca="1" si="7">SUM(B22:I22)-J22</f>
        <v>6.9416944864438079</v>
      </c>
      <c r="L22" s="379">
        <f ca="1">K22*Inputs!$C$11</f>
        <v>47696.382816355406</v>
      </c>
      <c r="O22" s="324" t="s">
        <v>710</v>
      </c>
      <c r="P22" s="313"/>
      <c r="Q22" s="313"/>
      <c r="R22" s="312"/>
      <c r="S22" s="313"/>
      <c r="T22" s="316"/>
    </row>
    <row r="23" spans="1:22" ht="13.5" customHeight="1" x14ac:dyDescent="0.25">
      <c r="A23" s="9" t="s">
        <v>115</v>
      </c>
      <c r="B23" s="269">
        <f>Calcs!C559/Calcs!$C$2/Calcs!$N$22</f>
        <v>0</v>
      </c>
      <c r="C23" s="840">
        <f ca="1">Calcs!D559/Calcs!$C$2/Calcs!$N$22</f>
        <v>0.34224785881614367</v>
      </c>
      <c r="D23" s="269">
        <f t="shared" si="3"/>
        <v>1.9474191780821919</v>
      </c>
      <c r="E23" s="269">
        <f t="shared" ref="E23:E33" si="8">E6</f>
        <v>5.0698297191092999E-2</v>
      </c>
      <c r="F23" s="269">
        <f t="shared" ca="1" si="5"/>
        <v>0.17623912742471548</v>
      </c>
      <c r="G23" s="269">
        <f t="shared" ca="1" si="5"/>
        <v>0.17342868128483038</v>
      </c>
      <c r="H23" s="269">
        <f>Calcs!H748</f>
        <v>3.6368400000000003</v>
      </c>
      <c r="I23" s="269">
        <f>IF(Inputs!$C$66=2,0,Outputs!I6)</f>
        <v>0</v>
      </c>
      <c r="J23" s="269">
        <f t="shared" si="6"/>
        <v>0</v>
      </c>
      <c r="K23" s="381">
        <f t="shared" ca="1" si="7"/>
        <v>6.3268731427989753</v>
      </c>
      <c r="L23" s="379">
        <f ca="1">K23*Inputs!$C$11</f>
        <v>43471.945364171763</v>
      </c>
      <c r="O23" s="313" t="s">
        <v>616</v>
      </c>
      <c r="P23" s="313"/>
      <c r="Q23" s="270">
        <f ca="1">Calcs!U9*$Q$13+SUM(Calcs!T15:U15)*$Q$14</f>
        <v>488.68708835125517</v>
      </c>
      <c r="R23" s="312" t="s">
        <v>622</v>
      </c>
      <c r="S23" s="270">
        <f ca="1">Q23</f>
        <v>488.68708835125517</v>
      </c>
      <c r="T23" s="312" t="s">
        <v>622</v>
      </c>
    </row>
    <row r="24" spans="1:22" ht="13.5" customHeight="1" x14ac:dyDescent="0.25">
      <c r="A24" s="9" t="s">
        <v>116</v>
      </c>
      <c r="B24" s="269">
        <f>Calcs!C560/Calcs!$C$2/Calcs!$N$22</f>
        <v>0</v>
      </c>
      <c r="C24" s="840">
        <f ca="1">Calcs!D560/Calcs!$C$2/Calcs!$N$22</f>
        <v>0.84178863968045303</v>
      </c>
      <c r="D24" s="269">
        <f t="shared" si="3"/>
        <v>2.1560712328767124</v>
      </c>
      <c r="E24" s="269">
        <f t="shared" si="8"/>
        <v>5.6130257604424388E-2</v>
      </c>
      <c r="F24" s="269">
        <f t="shared" ca="1" si="5"/>
        <v>0.20069483879297298</v>
      </c>
      <c r="G24" s="269">
        <f t="shared" ca="1" si="5"/>
        <v>0.17165470561782914</v>
      </c>
      <c r="H24" s="269">
        <f>Calcs!H749</f>
        <v>4.0265014285714287</v>
      </c>
      <c r="I24" s="269">
        <f>IF(Inputs!$C$66=2,0,Outputs!I7)</f>
        <v>0</v>
      </c>
      <c r="J24" s="269">
        <f t="shared" si="6"/>
        <v>0</v>
      </c>
      <c r="K24" s="381">
        <f t="shared" ca="1" si="7"/>
        <v>7.45284110314382</v>
      </c>
      <c r="L24" s="379">
        <f ca="1">K24*Inputs!$C$11</f>
        <v>51208.47121970119</v>
      </c>
      <c r="O24" s="313" t="s">
        <v>617</v>
      </c>
      <c r="P24" s="313"/>
      <c r="Q24" s="285">
        <f ca="1">Calcs!U10*$Q$13+SUM(Calcs!T16:U16)*$Q$14</f>
        <v>0.87040025620363926</v>
      </c>
      <c r="R24" s="312" t="s">
        <v>622</v>
      </c>
      <c r="S24" s="285">
        <f t="shared" ref="S24:S25" ca="1" si="9">Q24</f>
        <v>0.87040025620363926</v>
      </c>
      <c r="T24" s="312" t="s">
        <v>622</v>
      </c>
    </row>
    <row r="25" spans="1:22" ht="13.5" customHeight="1" x14ac:dyDescent="0.25">
      <c r="A25" s="9" t="s">
        <v>117</v>
      </c>
      <c r="B25" s="269">
        <f>Calcs!C561/Calcs!$C$2/Calcs!$N$22</f>
        <v>0</v>
      </c>
      <c r="C25" s="840">
        <f ca="1">Calcs!D561/Calcs!$C$2/Calcs!$N$22</f>
        <v>1.7337637935672523</v>
      </c>
      <c r="D25" s="269">
        <f t="shared" si="3"/>
        <v>2.0865205479452054</v>
      </c>
      <c r="E25" s="269">
        <f t="shared" si="8"/>
        <v>5.431960413331393E-2</v>
      </c>
      <c r="F25" s="269">
        <f t="shared" ca="1" si="5"/>
        <v>0.3298697654734794</v>
      </c>
      <c r="G25" s="269">
        <f t="shared" ca="1" si="5"/>
        <v>0.27061930873615336</v>
      </c>
      <c r="H25" s="269">
        <f>Calcs!H750</f>
        <v>3.896614285714286</v>
      </c>
      <c r="I25" s="269">
        <f>IF(Inputs!$C$66=2,0,Outputs!I8)</f>
        <v>0</v>
      </c>
      <c r="J25" s="269">
        <f t="shared" si="6"/>
        <v>0</v>
      </c>
      <c r="K25" s="381">
        <f t="shared" ca="1" si="7"/>
        <v>8.3717073055696893</v>
      </c>
      <c r="L25" s="379">
        <f ca="1">K25*Inputs!$C$11</f>
        <v>57522.000896569334</v>
      </c>
      <c r="O25" s="313" t="s">
        <v>618</v>
      </c>
      <c r="P25" s="313"/>
      <c r="Q25" s="285">
        <f ca="1">Calcs!U11*$Q$13+SUM(Calcs!T17:U17)*$Q$14</f>
        <v>1.9661775973624684</v>
      </c>
      <c r="R25" s="312" t="s">
        <v>622</v>
      </c>
      <c r="S25" s="285">
        <f t="shared" ca="1" si="9"/>
        <v>1.9661775973624684</v>
      </c>
      <c r="T25" s="312" t="s">
        <v>622</v>
      </c>
    </row>
    <row r="26" spans="1:22" ht="13.5" customHeight="1" x14ac:dyDescent="0.25">
      <c r="A26" s="9" t="s">
        <v>118</v>
      </c>
      <c r="B26" s="269">
        <f>Calcs!C562/Calcs!$C$2/Calcs!$N$22</f>
        <v>0</v>
      </c>
      <c r="C26" s="840">
        <f ca="1">Calcs!D562/Calcs!$C$2/Calcs!$N$22</f>
        <v>3.1256885037743563</v>
      </c>
      <c r="D26" s="269">
        <f t="shared" si="3"/>
        <v>2.1560712328767124</v>
      </c>
      <c r="E26" s="269">
        <f t="shared" si="8"/>
        <v>5.6130257604424388E-2</v>
      </c>
      <c r="F26" s="269">
        <f t="shared" ca="1" si="5"/>
        <v>0.5576752754994454</v>
      </c>
      <c r="G26" s="269">
        <f t="shared" ca="1" si="5"/>
        <v>0.47607793262464682</v>
      </c>
      <c r="H26" s="269">
        <f>Calcs!H751</f>
        <v>4.0265014285714287</v>
      </c>
      <c r="I26" s="269">
        <f>IF(Inputs!$C$66=2,0,Outputs!I9)</f>
        <v>0</v>
      </c>
      <c r="J26" s="269">
        <f t="shared" si="6"/>
        <v>0</v>
      </c>
      <c r="K26" s="381">
        <f t="shared" ca="1" si="7"/>
        <v>10.398144630951013</v>
      </c>
      <c r="L26" s="379">
        <f ca="1">K26*Inputs!$C$11</f>
        <v>71445.651759264409</v>
      </c>
      <c r="O26" s="313"/>
      <c r="P26" s="313"/>
      <c r="Q26" s="313"/>
      <c r="R26" s="312"/>
      <c r="S26" s="313"/>
      <c r="T26" s="316"/>
    </row>
    <row r="27" spans="1:22" ht="13.5" customHeight="1" x14ac:dyDescent="0.25">
      <c r="A27" s="9" t="s">
        <v>119</v>
      </c>
      <c r="B27" s="269">
        <f>Calcs!C563/Calcs!$C$2/Calcs!$N$22</f>
        <v>0</v>
      </c>
      <c r="C27" s="840">
        <f ca="1">Calcs!D563/Calcs!$C$2/Calcs!$N$22</f>
        <v>4.0422979510982806</v>
      </c>
      <c r="D27" s="269">
        <f t="shared" si="3"/>
        <v>2.0865205479452054</v>
      </c>
      <c r="E27" s="269">
        <f t="shared" si="8"/>
        <v>5.431960413331393E-2</v>
      </c>
      <c r="F27" s="269">
        <f t="shared" ca="1" si="5"/>
        <v>0.67017466762596467</v>
      </c>
      <c r="G27" s="269">
        <f t="shared" ca="1" si="5"/>
        <v>0.61553671843271751</v>
      </c>
      <c r="H27" s="269">
        <f>Calcs!H752</f>
        <v>3.896614285714286</v>
      </c>
      <c r="I27" s="269">
        <f>IF(Inputs!$C$66=2,0,Outputs!I10)</f>
        <v>0</v>
      </c>
      <c r="J27" s="269">
        <f t="shared" si="6"/>
        <v>0</v>
      </c>
      <c r="K27" s="381">
        <f t="shared" ca="1" si="7"/>
        <v>11.365463774949768</v>
      </c>
      <c r="L27" s="379">
        <f ca="1">K27*Inputs!$C$11</f>
        <v>78092.101597679866</v>
      </c>
      <c r="O27" s="324" t="s">
        <v>711</v>
      </c>
      <c r="P27" s="313"/>
      <c r="Q27" s="313"/>
      <c r="R27" s="312"/>
      <c r="S27" s="313"/>
      <c r="T27" s="316"/>
    </row>
    <row r="28" spans="1:22" ht="13.5" customHeight="1" x14ac:dyDescent="0.25">
      <c r="A28" s="9" t="s">
        <v>120</v>
      </c>
      <c r="B28" s="269">
        <f>Calcs!C564/Calcs!$C$2/Calcs!$N$22</f>
        <v>0</v>
      </c>
      <c r="C28" s="840">
        <f ca="1">Calcs!D564/Calcs!$C$2/Calcs!$N$22</f>
        <v>4.7987931345077435</v>
      </c>
      <c r="D28" s="269">
        <f t="shared" si="3"/>
        <v>2.1560712328767124</v>
      </c>
      <c r="E28" s="269">
        <f t="shared" si="8"/>
        <v>5.6130257604424388E-2</v>
      </c>
      <c r="F28" s="269">
        <f t="shared" ca="1" si="5"/>
        <v>0.77894836933256117</v>
      </c>
      <c r="G28" s="269">
        <f t="shared" ca="1" si="5"/>
        <v>0.73073123609055157</v>
      </c>
      <c r="H28" s="269">
        <f>Calcs!H753</f>
        <v>4.0265014285714287</v>
      </c>
      <c r="I28" s="269">
        <f>IF(Inputs!$C$66=2,0,Outputs!I11)</f>
        <v>0</v>
      </c>
      <c r="J28" s="269">
        <f t="shared" si="6"/>
        <v>0</v>
      </c>
      <c r="K28" s="381">
        <f t="shared" ca="1" si="7"/>
        <v>12.547175658983422</v>
      </c>
      <c r="L28" s="379">
        <f ca="1">K28*Inputs!$C$11</f>
        <v>86211.643952875093</v>
      </c>
      <c r="O28" s="313" t="s">
        <v>694</v>
      </c>
      <c r="P28" s="313"/>
      <c r="Q28" s="325">
        <f>Calcs!C819</f>
        <v>118</v>
      </c>
      <c r="R28" s="312" t="s">
        <v>589</v>
      </c>
      <c r="S28" s="325">
        <f>Q28*Calcs!$N$23/Calcs!$N$20</f>
        <v>37.405803013113648</v>
      </c>
      <c r="T28" s="330" t="s">
        <v>727</v>
      </c>
    </row>
    <row r="29" spans="1:22" ht="13.5" customHeight="1" x14ac:dyDescent="0.25">
      <c r="A29" s="9" t="s">
        <v>121</v>
      </c>
      <c r="B29" s="269">
        <f>Calcs!C565/Calcs!$C$2/Calcs!$N$22</f>
        <v>0</v>
      </c>
      <c r="C29" s="840">
        <f ca="1">Calcs!D565/Calcs!$C$2/Calcs!$N$22</f>
        <v>4.1851634268819424</v>
      </c>
      <c r="D29" s="269">
        <f t="shared" si="3"/>
        <v>2.1560712328767124</v>
      </c>
      <c r="E29" s="269">
        <f t="shared" si="8"/>
        <v>5.6130257604424388E-2</v>
      </c>
      <c r="F29" s="269">
        <f t="shared" ca="1" si="5"/>
        <v>0.69350621731898499</v>
      </c>
      <c r="G29" s="269">
        <f t="shared" ca="1" si="5"/>
        <v>0.63729141024540592</v>
      </c>
      <c r="H29" s="269">
        <f>Calcs!H754</f>
        <v>4.0265014285714287</v>
      </c>
      <c r="I29" s="269">
        <f>IF(Inputs!$C$66=2,0,Outputs!I12)</f>
        <v>0</v>
      </c>
      <c r="J29" s="269">
        <f t="shared" si="6"/>
        <v>0</v>
      </c>
      <c r="K29" s="381">
        <f t="shared" ca="1" si="7"/>
        <v>11.7546639734989</v>
      </c>
      <c r="L29" s="379">
        <f ca="1">K29*Inputs!$C$11</f>
        <v>80766.296161910941</v>
      </c>
      <c r="O29" s="313" t="s">
        <v>695</v>
      </c>
      <c r="P29" s="313"/>
      <c r="Q29" s="325">
        <f>Calcs!C820</f>
        <v>200</v>
      </c>
      <c r="R29" s="312" t="s">
        <v>589</v>
      </c>
      <c r="S29" s="325">
        <f>Q29*Calcs!$N$23/Calcs!$N$20</f>
        <v>63.399666123921442</v>
      </c>
      <c r="T29" s="330" t="s">
        <v>727</v>
      </c>
    </row>
    <row r="30" spans="1:22" ht="13.5" customHeight="1" x14ac:dyDescent="0.25">
      <c r="A30" s="9" t="s">
        <v>122</v>
      </c>
      <c r="B30" s="269">
        <f>Calcs!C566/Calcs!$C$2/Calcs!$N$22</f>
        <v>0</v>
      </c>
      <c r="C30" s="840">
        <f ca="1">Calcs!D566/Calcs!$C$2/Calcs!$N$22</f>
        <v>3.2974287501325192</v>
      </c>
      <c r="D30" s="269">
        <f t="shared" si="3"/>
        <v>2.0865205479452054</v>
      </c>
      <c r="E30" s="269">
        <f t="shared" si="8"/>
        <v>5.431960413331393E-2</v>
      </c>
      <c r="F30" s="269">
        <f t="shared" ca="1" si="5"/>
        <v>0.57108262455325898</v>
      </c>
      <c r="G30" s="269">
        <f t="shared" ca="1" si="5"/>
        <v>0.50211463186803962</v>
      </c>
      <c r="H30" s="269">
        <f>Calcs!H755</f>
        <v>3.896614285714286</v>
      </c>
      <c r="I30" s="269">
        <f>IF(Inputs!$C$66=2,0,Outputs!I13)</f>
        <v>0</v>
      </c>
      <c r="J30" s="269">
        <f t="shared" si="6"/>
        <v>0</v>
      </c>
      <c r="K30" s="381">
        <f t="shared" ca="1" si="7"/>
        <v>10.408080444346622</v>
      </c>
      <c r="L30" s="379">
        <f ca="1">K30*Inputs!$C$11</f>
        <v>71513.920733105639</v>
      </c>
      <c r="O30" s="313" t="s">
        <v>696</v>
      </c>
      <c r="P30" s="313"/>
      <c r="Q30" s="325">
        <f>Calcs!C821</f>
        <v>468.87013482310863</v>
      </c>
      <c r="R30" s="312" t="s">
        <v>589</v>
      </c>
      <c r="S30" s="325">
        <f>Q30*Calcs!$N$23/Calcs!$N$20</f>
        <v>148.63105001631558</v>
      </c>
      <c r="T30" s="330" t="s">
        <v>727</v>
      </c>
    </row>
    <row r="31" spans="1:22" ht="13.5" customHeight="1" x14ac:dyDescent="0.25">
      <c r="A31" s="9" t="s">
        <v>123</v>
      </c>
      <c r="B31" s="269">
        <f>Calcs!C567/Calcs!$C$2/Calcs!$N$22</f>
        <v>0</v>
      </c>
      <c r="C31" s="840">
        <f ca="1">Calcs!D567/Calcs!$C$2/Calcs!$N$22</f>
        <v>1.8067384565679954</v>
      </c>
      <c r="D31" s="269">
        <f t="shared" si="3"/>
        <v>2.1560712328767124</v>
      </c>
      <c r="E31" s="269">
        <f t="shared" si="8"/>
        <v>5.6130257604424388E-2</v>
      </c>
      <c r="F31" s="269">
        <f t="shared" ca="1" si="5"/>
        <v>0.3411486022521838</v>
      </c>
      <c r="G31" s="269">
        <f t="shared" ca="1" si="5"/>
        <v>0.27988344146347371</v>
      </c>
      <c r="H31" s="269">
        <f>Calcs!H756</f>
        <v>4.0265014285714287</v>
      </c>
      <c r="I31" s="269">
        <f>IF(Inputs!$C$66=2,0,Outputs!I14)</f>
        <v>0</v>
      </c>
      <c r="J31" s="269">
        <f t="shared" si="6"/>
        <v>0</v>
      </c>
      <c r="K31" s="381">
        <f t="shared" ca="1" si="7"/>
        <v>8.6664734193362172</v>
      </c>
      <c r="L31" s="379">
        <f ca="1">K31*Inputs!$C$11</f>
        <v>59547.338864259145</v>
      </c>
      <c r="O31" s="313"/>
      <c r="P31" s="313"/>
      <c r="Q31" s="313"/>
      <c r="R31" s="313"/>
      <c r="S31" s="313"/>
      <c r="T31" s="316"/>
    </row>
    <row r="32" spans="1:22" ht="13.5" customHeight="1" x14ac:dyDescent="0.25">
      <c r="A32" s="9" t="s">
        <v>124</v>
      </c>
      <c r="B32" s="269">
        <f>Calcs!C568/Calcs!$C$2/Calcs!$N$22</f>
        <v>0</v>
      </c>
      <c r="C32" s="840">
        <f ca="1">Calcs!D568/Calcs!$C$2/Calcs!$N$22</f>
        <v>0.68523590941215329</v>
      </c>
      <c r="D32" s="269">
        <f t="shared" si="3"/>
        <v>2.0865205479452054</v>
      </c>
      <c r="E32" s="269">
        <f t="shared" si="8"/>
        <v>5.431960413331393E-2</v>
      </c>
      <c r="F32" s="269">
        <f t="shared" ca="1" si="5"/>
        <v>0.17529931180738922</v>
      </c>
      <c r="G32" s="269">
        <f t="shared" ca="1" si="5"/>
        <v>0.14454261706113</v>
      </c>
      <c r="H32" s="269">
        <f>Calcs!H757</f>
        <v>3.896614285714286</v>
      </c>
      <c r="I32" s="269">
        <f>IF(Inputs!$C$66=2,0,Outputs!I15)</f>
        <v>0</v>
      </c>
      <c r="J32" s="269">
        <f t="shared" si="6"/>
        <v>0</v>
      </c>
      <c r="K32" s="381">
        <f t="shared" ca="1" si="7"/>
        <v>7.0425322760734783</v>
      </c>
      <c r="L32" s="379">
        <f ca="1">K32*Inputs!$C$11</f>
        <v>48389.23926890087</v>
      </c>
      <c r="O32" s="324" t="s">
        <v>712</v>
      </c>
      <c r="P32" s="313"/>
      <c r="Q32" s="313"/>
      <c r="R32" s="313"/>
      <c r="S32" s="313"/>
      <c r="T32" s="316"/>
    </row>
    <row r="33" spans="1:20" ht="13.5" customHeight="1" x14ac:dyDescent="0.25">
      <c r="A33" s="9" t="s">
        <v>125</v>
      </c>
      <c r="B33" s="269">
        <f>Calcs!C569/Calcs!$C$2/Calcs!$N$22</f>
        <v>0</v>
      </c>
      <c r="C33" s="840">
        <f ca="1">Calcs!D569/Calcs!$C$2/Calcs!$N$22</f>
        <v>0.28825148849884691</v>
      </c>
      <c r="D33" s="269">
        <f t="shared" si="3"/>
        <v>2.1560712328767124</v>
      </c>
      <c r="E33" s="269">
        <f t="shared" si="8"/>
        <v>5.6130257604424388E-2</v>
      </c>
      <c r="F33" s="269">
        <f t="shared" ca="1" si="5"/>
        <v>0.19954182300711712</v>
      </c>
      <c r="G33" s="269">
        <f t="shared" ca="1" si="5"/>
        <v>0.2027711681232848</v>
      </c>
      <c r="H33" s="269">
        <f>Calcs!H758</f>
        <v>4.0265014285714287</v>
      </c>
      <c r="I33" s="269">
        <f>IF(Inputs!$C$66=2,0,Outputs!I16)</f>
        <v>0</v>
      </c>
      <c r="J33" s="269">
        <f t="shared" si="6"/>
        <v>0</v>
      </c>
      <c r="K33" s="381">
        <f t="shared" ca="1" si="7"/>
        <v>6.9292673986818141</v>
      </c>
      <c r="L33" s="379">
        <f ca="1">K33*Inputs!$C$11</f>
        <v>47610.996296342746</v>
      </c>
      <c r="O33" s="314" t="s">
        <v>693</v>
      </c>
      <c r="P33" s="313"/>
      <c r="Q33" s="285">
        <f ca="1">Q6/Q28</f>
        <v>0.77914876205167571</v>
      </c>
      <c r="R33" s="313"/>
      <c r="S33" s="285">
        <f ca="1">Q33</f>
        <v>0.77914876205167571</v>
      </c>
      <c r="T33" s="316"/>
    </row>
    <row r="34" spans="1:20" ht="13.5" customHeight="1" x14ac:dyDescent="0.25">
      <c r="A34" s="9" t="s">
        <v>178</v>
      </c>
      <c r="B34" s="272">
        <f t="shared" ref="B34:I34" si="10">SUM(B22:B33)</f>
        <v>0</v>
      </c>
      <c r="C34" s="272">
        <f ca="1">SUM(C22:C33)</f>
        <v>25.403273348089694</v>
      </c>
      <c r="D34" s="272">
        <f>SUM(D22:D33)</f>
        <v>25.386000000000003</v>
      </c>
      <c r="E34" s="272">
        <f t="shared" si="10"/>
        <v>0.66088851695531936</v>
      </c>
      <c r="F34" s="272">
        <f ca="1">SUM(F22:F33)</f>
        <v>4.9139486068753708</v>
      </c>
      <c r="G34" s="272">
        <f ca="1">SUM(G22:G33)</f>
        <v>4.4319999999999986</v>
      </c>
      <c r="H34" s="272">
        <f t="shared" si="10"/>
        <v>47.408807142857142</v>
      </c>
      <c r="I34" s="272">
        <f t="shared" si="10"/>
        <v>0</v>
      </c>
      <c r="J34" s="272">
        <f>SUM(J22:J33)</f>
        <v>0</v>
      </c>
      <c r="K34" s="382">
        <f ca="1">SUM(K22:K33)</f>
        <v>108.20491761477751</v>
      </c>
      <c r="L34" s="383">
        <f ca="1">K34*Inputs!$C$11</f>
        <v>743475.98893113632</v>
      </c>
      <c r="O34" s="314" t="s">
        <v>691</v>
      </c>
      <c r="P34" s="313"/>
      <c r="Q34" s="285">
        <f ca="1">Q9/Q29</f>
        <v>0.68148737114496882</v>
      </c>
      <c r="R34" s="313"/>
      <c r="S34" s="285">
        <f t="shared" ref="S34:S35" ca="1" si="11">Q34</f>
        <v>0.68148737114496882</v>
      </c>
      <c r="T34" s="316"/>
    </row>
    <row r="35" spans="1:20" ht="13.5" customHeight="1" x14ac:dyDescent="0.25">
      <c r="L35" s="378"/>
      <c r="O35" s="314" t="s">
        <v>692</v>
      </c>
      <c r="P35" s="313"/>
      <c r="Q35" s="285">
        <f ca="1">Q10/Q30</f>
        <v>0.84199566207259557</v>
      </c>
      <c r="R35" s="313"/>
      <c r="S35" s="285">
        <f t="shared" ca="1" si="11"/>
        <v>0.84199566207259557</v>
      </c>
      <c r="T35" s="316"/>
    </row>
    <row r="36" spans="1:20" ht="13.5" customHeight="1" x14ac:dyDescent="0.2">
      <c r="A36" s="212"/>
      <c r="B36" s="212"/>
      <c r="C36" s="212"/>
      <c r="D36" s="212"/>
      <c r="E36" s="212"/>
      <c r="F36" s="212"/>
      <c r="G36" s="212"/>
      <c r="H36" s="212"/>
      <c r="I36" s="212"/>
      <c r="J36" s="212"/>
      <c r="K36" s="212"/>
      <c r="L36" s="378"/>
    </row>
    <row r="37" spans="1:20" ht="13.5" customHeight="1" x14ac:dyDescent="0.2">
      <c r="A37" s="205" t="s">
        <v>597</v>
      </c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P37" s="345"/>
      <c r="Q37" s="345"/>
      <c r="R37" s="345"/>
      <c r="S37" s="345"/>
    </row>
    <row r="38" spans="1:20" ht="25.5" x14ac:dyDescent="0.2">
      <c r="A38" s="9" t="s">
        <v>373</v>
      </c>
      <c r="B38" s="7" t="s">
        <v>590</v>
      </c>
      <c r="C38" s="7" t="s">
        <v>591</v>
      </c>
      <c r="D38" s="7" t="s">
        <v>667</v>
      </c>
      <c r="E38" s="7" t="s">
        <v>668</v>
      </c>
      <c r="F38" s="7" t="s">
        <v>592</v>
      </c>
      <c r="G38" s="7" t="s">
        <v>593</v>
      </c>
      <c r="H38" s="7" t="s">
        <v>682</v>
      </c>
      <c r="I38" s="7" t="s">
        <v>594</v>
      </c>
      <c r="J38" s="7" t="s">
        <v>595</v>
      </c>
      <c r="K38" s="380" t="s">
        <v>596</v>
      </c>
      <c r="L38" s="7" t="s">
        <v>834</v>
      </c>
      <c r="O38" s="345"/>
      <c r="P38" s="345"/>
      <c r="Q38" s="345"/>
      <c r="R38" s="345"/>
      <c r="S38" s="345"/>
    </row>
    <row r="39" spans="1:20" ht="13.5" customHeight="1" x14ac:dyDescent="0.2">
      <c r="A39" s="9" t="s">
        <v>114</v>
      </c>
      <c r="B39" s="269">
        <f ca="1">Calcs!F558/Calcs!$C$2/Calcs!$N$22</f>
        <v>5.2609594956981827</v>
      </c>
      <c r="C39" s="269">
        <f>(Calcs!G558)/Calcs!$C$2/Calcs!$N$22</f>
        <v>0</v>
      </c>
      <c r="D39" s="269"/>
      <c r="E39" s="269"/>
      <c r="F39" s="269"/>
      <c r="G39" s="269"/>
      <c r="H39" s="269">
        <f>Calcs!I747</f>
        <v>0.80909999999999993</v>
      </c>
      <c r="I39" s="269">
        <f t="shared" ref="I39:I50" ca="1" si="12">I5-I22</f>
        <v>0.23972854143780792</v>
      </c>
      <c r="J39" s="269"/>
      <c r="K39" s="381">
        <f t="shared" ref="K39:K50" ca="1" si="13">SUM(B39:I39)-J39</f>
        <v>6.3097880371359905</v>
      </c>
      <c r="L39" s="379">
        <f ca="1">K39*Inputs!$C$11</f>
        <v>43354.553603161388</v>
      </c>
      <c r="O39" s="345"/>
      <c r="P39" s="345"/>
      <c r="Q39" s="345"/>
      <c r="R39" s="345"/>
      <c r="S39" s="345"/>
    </row>
    <row r="40" spans="1:20" ht="13.5" customHeight="1" x14ac:dyDescent="0.2">
      <c r="A40" s="9" t="s">
        <v>115</v>
      </c>
      <c r="B40" s="269">
        <f ca="1">Calcs!F559/Calcs!$C$2/Calcs!$N$22</f>
        <v>3.3878712422516819</v>
      </c>
      <c r="C40" s="269">
        <f>(Calcs!G559)/Calcs!$C$2/Calcs!$N$22</f>
        <v>0</v>
      </c>
      <c r="D40" s="269"/>
      <c r="E40" s="269"/>
      <c r="F40" s="269"/>
      <c r="G40" s="269"/>
      <c r="H40" s="269">
        <f>Calcs!I748</f>
        <v>0.73080000000000001</v>
      </c>
      <c r="I40" s="269">
        <f t="shared" ca="1" si="12"/>
        <v>0.21652900516963292</v>
      </c>
      <c r="J40" s="269"/>
      <c r="K40" s="381">
        <f t="shared" ca="1" si="13"/>
        <v>4.3352002474213149</v>
      </c>
      <c r="L40" s="379">
        <f ca="1">K40*Inputs!$C$11</f>
        <v>29787.160900031857</v>
      </c>
      <c r="O40" s="345"/>
      <c r="P40" s="345"/>
      <c r="Q40" s="345"/>
      <c r="R40" s="345"/>
      <c r="S40" s="345"/>
    </row>
    <row r="41" spans="1:20" ht="13.5" customHeight="1" x14ac:dyDescent="0.2">
      <c r="A41" s="9" t="s">
        <v>116</v>
      </c>
      <c r="B41" s="269">
        <f ca="1">Calcs!F560/Calcs!$C$2/Calcs!$N$22</f>
        <v>1.2140328926852839</v>
      </c>
      <c r="C41" s="269">
        <f>(Calcs!G560)/Calcs!$C$2/Calcs!$N$22</f>
        <v>0</v>
      </c>
      <c r="D41" s="269"/>
      <c r="E41" s="269"/>
      <c r="F41" s="269"/>
      <c r="G41" s="269"/>
      <c r="H41" s="269">
        <f>Calcs!I749</f>
        <v>0.80909999999999993</v>
      </c>
      <c r="I41" s="269">
        <f t="shared" ca="1" si="12"/>
        <v>0.23972854143780792</v>
      </c>
      <c r="J41" s="269"/>
      <c r="K41" s="381">
        <f t="shared" ca="1" si="13"/>
        <v>2.2628614341230917</v>
      </c>
      <c r="L41" s="379">
        <f ca="1">K41*Inputs!$C$11</f>
        <v>15548.120913859762</v>
      </c>
      <c r="O41" s="345"/>
      <c r="P41" s="345"/>
      <c r="Q41" s="345"/>
      <c r="R41" s="345"/>
      <c r="S41" s="345"/>
    </row>
    <row r="42" spans="1:20" ht="13.5" customHeight="1" x14ac:dyDescent="0.2">
      <c r="A42" s="9" t="s">
        <v>117</v>
      </c>
      <c r="B42" s="269">
        <f ca="1">Calcs!F561/Calcs!$C$2/Calcs!$N$22</f>
        <v>0.18465734570743073</v>
      </c>
      <c r="C42" s="269">
        <f>(Calcs!G561)/Calcs!$C$2/Calcs!$N$22</f>
        <v>0</v>
      </c>
      <c r="D42" s="269"/>
      <c r="E42" s="269"/>
      <c r="F42" s="269"/>
      <c r="G42" s="269"/>
      <c r="H42" s="269">
        <f>Calcs!I750</f>
        <v>0.78299999999999992</v>
      </c>
      <c r="I42" s="269">
        <f t="shared" ca="1" si="12"/>
        <v>0.23199536268174958</v>
      </c>
      <c r="J42" s="269"/>
      <c r="K42" s="381">
        <f t="shared" ca="1" si="13"/>
        <v>1.1996527083891801</v>
      </c>
      <c r="L42" s="379">
        <f ca="1">K42*Inputs!$C$11</f>
        <v>8242.8137593420561</v>
      </c>
    </row>
    <row r="43" spans="1:20" ht="13.5" customHeight="1" x14ac:dyDescent="0.2">
      <c r="A43" s="9" t="s">
        <v>118</v>
      </c>
      <c r="B43" s="269">
        <f ca="1">Calcs!F562/Calcs!$C$2/Calcs!$N$22</f>
        <v>3.2664378401494011E-3</v>
      </c>
      <c r="C43" s="269">
        <f>(Calcs!G562)/Calcs!$C$2/Calcs!$N$22</f>
        <v>0</v>
      </c>
      <c r="D43" s="269"/>
      <c r="E43" s="269"/>
      <c r="F43" s="269"/>
      <c r="G43" s="269"/>
      <c r="H43" s="269">
        <f>Calcs!I751</f>
        <v>0.80909999999999993</v>
      </c>
      <c r="I43" s="269">
        <f t="shared" ca="1" si="12"/>
        <v>0.23972854143780792</v>
      </c>
      <c r="J43" s="269"/>
      <c r="K43" s="381">
        <f t="shared" ca="1" si="13"/>
        <v>1.0520949792779573</v>
      </c>
      <c r="L43" s="379">
        <f ca="1">K43*Inputs!$C$11</f>
        <v>7228.9446026188443</v>
      </c>
    </row>
    <row r="44" spans="1:20" ht="13.5" customHeight="1" x14ac:dyDescent="0.2">
      <c r="A44" s="9" t="s">
        <v>119</v>
      </c>
      <c r="B44" s="269">
        <f ca="1">Calcs!F563/Calcs!$C$2/Calcs!$N$22</f>
        <v>0</v>
      </c>
      <c r="C44" s="269">
        <f>(Calcs!G563)/Calcs!$C$2/Calcs!$N$22</f>
        <v>0</v>
      </c>
      <c r="D44" s="269"/>
      <c r="E44" s="269"/>
      <c r="F44" s="269"/>
      <c r="G44" s="269"/>
      <c r="H44" s="269">
        <f>Calcs!I752</f>
        <v>0.78299999999999992</v>
      </c>
      <c r="I44" s="269">
        <f t="shared" ca="1" si="12"/>
        <v>0.23199536268174958</v>
      </c>
      <c r="J44" s="269"/>
      <c r="K44" s="381">
        <f t="shared" ca="1" si="13"/>
        <v>1.0149953626817494</v>
      </c>
      <c r="L44" s="379">
        <f ca="1">K44*Inputs!$C$11</f>
        <v>6974.0331369862997</v>
      </c>
    </row>
    <row r="45" spans="1:20" ht="13.5" customHeight="1" x14ac:dyDescent="0.2">
      <c r="A45" s="9" t="s">
        <v>120</v>
      </c>
      <c r="B45" s="269">
        <f ca="1">Calcs!F564/Calcs!$C$2/Calcs!$N$22</f>
        <v>0</v>
      </c>
      <c r="C45" s="269">
        <f>(Calcs!G564)/Calcs!$C$2/Calcs!$N$22</f>
        <v>0</v>
      </c>
      <c r="D45" s="269"/>
      <c r="E45" s="269"/>
      <c r="F45" s="269"/>
      <c r="G45" s="269"/>
      <c r="H45" s="269">
        <f>Calcs!I753</f>
        <v>0.80909999999999993</v>
      </c>
      <c r="I45" s="269">
        <f t="shared" ca="1" si="12"/>
        <v>0.23972854143780792</v>
      </c>
      <c r="J45" s="269"/>
      <c r="K45" s="381">
        <f t="shared" ca="1" si="13"/>
        <v>1.0488285414378078</v>
      </c>
      <c r="L45" s="379">
        <f ca="1">K45*Inputs!$C$11</f>
        <v>7206.5009082191773</v>
      </c>
    </row>
    <row r="46" spans="1:20" ht="13.5" customHeight="1" x14ac:dyDescent="0.2">
      <c r="A46" s="9" t="s">
        <v>121</v>
      </c>
      <c r="B46" s="269">
        <f ca="1">Calcs!F565/Calcs!$C$2/Calcs!$N$22</f>
        <v>0</v>
      </c>
      <c r="C46" s="269">
        <f>(Calcs!G565)/Calcs!$C$2/Calcs!$N$22</f>
        <v>0</v>
      </c>
      <c r="D46" s="269"/>
      <c r="E46" s="269"/>
      <c r="F46" s="269"/>
      <c r="G46" s="269"/>
      <c r="H46" s="269">
        <f>Calcs!I754</f>
        <v>0.80909999999999993</v>
      </c>
      <c r="I46" s="269">
        <f t="shared" ca="1" si="12"/>
        <v>0.23972854143780792</v>
      </c>
      <c r="J46" s="269"/>
      <c r="K46" s="381">
        <f t="shared" ca="1" si="13"/>
        <v>1.0488285414378078</v>
      </c>
      <c r="L46" s="379">
        <f ca="1">K46*Inputs!$C$11</f>
        <v>7206.5009082191773</v>
      </c>
    </row>
    <row r="47" spans="1:20" ht="13.5" customHeight="1" x14ac:dyDescent="0.2">
      <c r="A47" s="9" t="s">
        <v>122</v>
      </c>
      <c r="B47" s="269">
        <f ca="1">Calcs!F566/Calcs!$C$2/Calcs!$N$22</f>
        <v>5.8553842124365047E-5</v>
      </c>
      <c r="C47" s="269">
        <f>(Calcs!G566)/Calcs!$C$2/Calcs!$N$22</f>
        <v>0</v>
      </c>
      <c r="D47" s="269"/>
      <c r="E47" s="269"/>
      <c r="F47" s="269"/>
      <c r="G47" s="269"/>
      <c r="H47" s="269">
        <f>Calcs!I755</f>
        <v>0.78299999999999992</v>
      </c>
      <c r="I47" s="269">
        <f t="shared" ca="1" si="12"/>
        <v>0.23199536268174958</v>
      </c>
      <c r="J47" s="269"/>
      <c r="K47" s="381">
        <f t="shared" ca="1" si="13"/>
        <v>1.0150539165238739</v>
      </c>
      <c r="L47" s="379">
        <f ca="1">K47*Inputs!$C$11</f>
        <v>6974.4354604355376</v>
      </c>
    </row>
    <row r="48" spans="1:20" ht="13.5" customHeight="1" x14ac:dyDescent="0.2">
      <c r="A48" s="9" t="s">
        <v>123</v>
      </c>
      <c r="B48" s="269">
        <f ca="1">Calcs!F567/Calcs!$C$2/Calcs!$N$22</f>
        <v>0.13304868628834568</v>
      </c>
      <c r="C48" s="269">
        <f>(Calcs!G567)/Calcs!$C$2/Calcs!$N$22</f>
        <v>0</v>
      </c>
      <c r="D48" s="269"/>
      <c r="E48" s="269"/>
      <c r="F48" s="269"/>
      <c r="G48" s="269"/>
      <c r="H48" s="269">
        <f>Calcs!I756</f>
        <v>0.80909999999999993</v>
      </c>
      <c r="I48" s="269">
        <f t="shared" ca="1" si="12"/>
        <v>0.23972854143780792</v>
      </c>
      <c r="J48" s="269"/>
      <c r="K48" s="381">
        <f t="shared" ca="1" si="13"/>
        <v>1.1818772277261536</v>
      </c>
      <c r="L48" s="379">
        <f ca="1">K48*Inputs!$C$11</f>
        <v>8120.6784317064012</v>
      </c>
    </row>
    <row r="49" spans="1:12" ht="13.5" customHeight="1" x14ac:dyDescent="0.2">
      <c r="A49" s="9" t="s">
        <v>124</v>
      </c>
      <c r="B49" s="269">
        <f ca="1">Calcs!F568/Calcs!$C$2/Calcs!$N$22</f>
        <v>1.122623854832183</v>
      </c>
      <c r="C49" s="269">
        <f>(Calcs!G568)/Calcs!$C$2/Calcs!$N$22</f>
        <v>0</v>
      </c>
      <c r="D49" s="269"/>
      <c r="E49" s="269"/>
      <c r="F49" s="269"/>
      <c r="G49" s="269"/>
      <c r="H49" s="269">
        <f>Calcs!I757</f>
        <v>0.78299999999999992</v>
      </c>
      <c r="I49" s="269">
        <f t="shared" ca="1" si="12"/>
        <v>0.23199536268174958</v>
      </c>
      <c r="J49" s="269"/>
      <c r="K49" s="381">
        <f t="shared" ca="1" si="13"/>
        <v>2.1376192175139326</v>
      </c>
      <c r="L49" s="379">
        <f ca="1">K49*Inputs!$C$11</f>
        <v>14687.581643538231</v>
      </c>
    </row>
    <row r="50" spans="1:12" ht="13.5" customHeight="1" x14ac:dyDescent="0.2">
      <c r="A50" s="9" t="s">
        <v>125</v>
      </c>
      <c r="B50" s="269">
        <f ca="1">Calcs!F569/Calcs!$C$2/Calcs!$N$22</f>
        <v>4.4369278591095913</v>
      </c>
      <c r="C50" s="269">
        <f>(Calcs!G569)/Calcs!$C$2/Calcs!$N$22</f>
        <v>0</v>
      </c>
      <c r="D50" s="269"/>
      <c r="E50" s="269"/>
      <c r="F50" s="269"/>
      <c r="G50" s="269"/>
      <c r="H50" s="269">
        <f>Calcs!I758</f>
        <v>0.80909999999999993</v>
      </c>
      <c r="I50" s="269">
        <f t="shared" ca="1" si="12"/>
        <v>0.23972854143780792</v>
      </c>
      <c r="J50" s="269"/>
      <c r="K50" s="381">
        <f t="shared" ca="1" si="13"/>
        <v>5.4857564005473991</v>
      </c>
      <c r="L50" s="379">
        <f ca="1">K50*Inputs!$C$11</f>
        <v>37692.632228161179</v>
      </c>
    </row>
    <row r="51" spans="1:12" ht="13.5" customHeight="1" x14ac:dyDescent="0.2">
      <c r="A51" s="9" t="s">
        <v>178</v>
      </c>
      <c r="B51" s="272">
        <f ca="1">SUM(B39:B50)</f>
        <v>15.743446368254974</v>
      </c>
      <c r="C51" s="272">
        <f t="shared" ref="C51:J51" si="14">SUM(C39:C50)</f>
        <v>0</v>
      </c>
      <c r="D51" s="272">
        <f t="shared" si="14"/>
        <v>0</v>
      </c>
      <c r="E51" s="272"/>
      <c r="F51" s="272">
        <f t="shared" si="14"/>
        <v>0</v>
      </c>
      <c r="G51" s="272">
        <f t="shared" si="14"/>
        <v>0</v>
      </c>
      <c r="H51" s="272">
        <f t="shared" si="14"/>
        <v>9.5264999999999986</v>
      </c>
      <c r="I51" s="272">
        <f ca="1">SUM(I39:I50)</f>
        <v>2.8226102459612861</v>
      </c>
      <c r="J51" s="272">
        <f t="shared" si="14"/>
        <v>0</v>
      </c>
      <c r="K51" s="382">
        <f ca="1">SUM(K39:K50)</f>
        <v>28.09255661421626</v>
      </c>
      <c r="L51" s="383">
        <f ca="1">K51*Inputs!$C$11</f>
        <v>193023.95649627992</v>
      </c>
    </row>
  </sheetData>
  <pageMargins left="0.7" right="0.7" top="0.75" bottom="0.75" header="0.3" footer="0.3"/>
  <pageSetup paperSize="9" scale="5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72B823F3BA574E9519CD853457C998" ma:contentTypeVersion="0" ma:contentTypeDescription="Create a new document." ma:contentTypeScope="" ma:versionID="f328b7b53083385af346eb000e392524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5E1FBF2-E163-4992-82DD-E1B8A149D1BA}">
  <ds:schemaRefs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5D7F41E-4F32-42BF-9DC6-0B99912ED3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3267C0-D48B-479D-A8A7-3AB52B3124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143</vt:i4>
      </vt:variant>
    </vt:vector>
  </HeadingPairs>
  <TitlesOfParts>
    <vt:vector size="156" baseType="lpstr">
      <vt:lpstr>Notes</vt:lpstr>
      <vt:lpstr>ismfile</vt:lpstr>
      <vt:lpstr>Inputs</vt:lpstr>
      <vt:lpstr>PrimarySchool</vt:lpstr>
      <vt:lpstr>AptMidrise</vt:lpstr>
      <vt:lpstr>AptHighrise</vt:lpstr>
      <vt:lpstr>OfficeSmall</vt:lpstr>
      <vt:lpstr>OfficeLarge</vt:lpstr>
      <vt:lpstr>Outputs</vt:lpstr>
      <vt:lpstr>Calcs</vt:lpstr>
      <vt:lpstr>Weather</vt:lpstr>
      <vt:lpstr>OfficeMedium</vt:lpstr>
      <vt:lpstr>RetailStandalone</vt:lpstr>
      <vt:lpstr>acool</vt:lpstr>
      <vt:lpstr>Days_Occ</vt:lpstr>
      <vt:lpstr>Days_Unocc</vt:lpstr>
      <vt:lpstr>DHWDistEff</vt:lpstr>
      <vt:lpstr>AptHighrise!DHWSysEff</vt:lpstr>
      <vt:lpstr>AptMidrise!DHWSysEff</vt:lpstr>
      <vt:lpstr>OfficeLarge!DHWSysEff</vt:lpstr>
      <vt:lpstr>OfficeMedium!DHWSysEff</vt:lpstr>
      <vt:lpstr>OfficeSmall!DHWSysEff</vt:lpstr>
      <vt:lpstr>PrimarySchool!DHWSysEff</vt:lpstr>
      <vt:lpstr>RetailStandalone!DHWSysEff</vt:lpstr>
      <vt:lpstr>DHWSysEff</vt:lpstr>
      <vt:lpstr>HC</vt:lpstr>
      <vt:lpstr>hours_occ</vt:lpstr>
      <vt:lpstr>hours_unocc</vt:lpstr>
      <vt:lpstr>AptHighrise!LPD</vt:lpstr>
      <vt:lpstr>AptMidrise!LPD</vt:lpstr>
      <vt:lpstr>OfficeLarge!LPD</vt:lpstr>
      <vt:lpstr>OfficeMedium!LPD</vt:lpstr>
      <vt:lpstr>OfficeSmall!LPD</vt:lpstr>
      <vt:lpstr>PrimarySchool!LPD</vt:lpstr>
      <vt:lpstr>RetailStandalone!LPD</vt:lpstr>
      <vt:lpstr>LPD</vt:lpstr>
      <vt:lpstr>AptHighrise!PeoDOcc</vt:lpstr>
      <vt:lpstr>AptMidrise!PeoDOcc</vt:lpstr>
      <vt:lpstr>OfficeLarge!PeoDOcc</vt:lpstr>
      <vt:lpstr>OfficeMedium!PeoDOcc</vt:lpstr>
      <vt:lpstr>OfficeSmall!PeoDOcc</vt:lpstr>
      <vt:lpstr>PrimarySchool!PeoDOcc</vt:lpstr>
      <vt:lpstr>RetailStandalone!PeoDOcc</vt:lpstr>
      <vt:lpstr>PeoDOcc</vt:lpstr>
      <vt:lpstr>AptHighrise!PeoDUnocc</vt:lpstr>
      <vt:lpstr>AptMidrise!PeoDUnocc</vt:lpstr>
      <vt:lpstr>OfficeLarge!PeoDUnocc</vt:lpstr>
      <vt:lpstr>OfficeMedium!PeoDUnocc</vt:lpstr>
      <vt:lpstr>OfficeSmall!PeoDUnocc</vt:lpstr>
      <vt:lpstr>PrimarySchool!PeoDUnocc</vt:lpstr>
      <vt:lpstr>RetailStandalone!PeoDUnocc</vt:lpstr>
      <vt:lpstr>PeoDUnocc</vt:lpstr>
      <vt:lpstr>AptHighrise!Qinf</vt:lpstr>
      <vt:lpstr>AptMidrise!Qinf</vt:lpstr>
      <vt:lpstr>OfficeLarge!Qinf</vt:lpstr>
      <vt:lpstr>OfficeMedium!Qinf</vt:lpstr>
      <vt:lpstr>OfficeSmall!Qinf</vt:lpstr>
      <vt:lpstr>PrimarySchool!Qinf</vt:lpstr>
      <vt:lpstr>RetailStandalone!Qinf</vt:lpstr>
      <vt:lpstr>Qinf</vt:lpstr>
      <vt:lpstr>AptHighrise!RoofAbs</vt:lpstr>
      <vt:lpstr>AptMidrise!RoofAbs</vt:lpstr>
      <vt:lpstr>OfficeLarge!RoofAbs</vt:lpstr>
      <vt:lpstr>OfficeMedium!RoofAbs</vt:lpstr>
      <vt:lpstr>OfficeSmall!RoofAbs</vt:lpstr>
      <vt:lpstr>PrimarySchool!RoofAbs</vt:lpstr>
      <vt:lpstr>RetailStandalone!RoofAbs</vt:lpstr>
      <vt:lpstr>RoofAbs</vt:lpstr>
      <vt:lpstr>AptHighrise!RoofEmis</vt:lpstr>
      <vt:lpstr>AptMidrise!RoofEmis</vt:lpstr>
      <vt:lpstr>OfficeLarge!RoofEmis</vt:lpstr>
      <vt:lpstr>OfficeMedium!RoofEmis</vt:lpstr>
      <vt:lpstr>OfficeSmall!RoofEmis</vt:lpstr>
      <vt:lpstr>PrimarySchool!RoofEmis</vt:lpstr>
      <vt:lpstr>RetailStandalone!RoofEmis</vt:lpstr>
      <vt:lpstr>RoofEmis</vt:lpstr>
      <vt:lpstr>AptHighrise!RoofU</vt:lpstr>
      <vt:lpstr>AptMidrise!RoofU</vt:lpstr>
      <vt:lpstr>OfficeLarge!RoofU</vt:lpstr>
      <vt:lpstr>OfficeMedium!RoofU</vt:lpstr>
      <vt:lpstr>OfficeSmall!RoofU</vt:lpstr>
      <vt:lpstr>PrimarySchool!RoofU</vt:lpstr>
      <vt:lpstr>RetailStandalone!RoofU</vt:lpstr>
      <vt:lpstr>RoofU</vt:lpstr>
      <vt:lpstr>AptHighrise!SHGC</vt:lpstr>
      <vt:lpstr>AptMidrise!SHGC</vt:lpstr>
      <vt:lpstr>OfficeLarge!SHGC</vt:lpstr>
      <vt:lpstr>OfficeMedium!SHGC</vt:lpstr>
      <vt:lpstr>OfficeSmall!SHGC</vt:lpstr>
      <vt:lpstr>PrimarySchool!SHGC</vt:lpstr>
      <vt:lpstr>RetailStandalone!SHGC</vt:lpstr>
      <vt:lpstr>SHGC</vt:lpstr>
      <vt:lpstr>AptHighrise!TCoolOcc</vt:lpstr>
      <vt:lpstr>AptMidrise!TCoolOcc</vt:lpstr>
      <vt:lpstr>OfficeLarge!TCoolOcc</vt:lpstr>
      <vt:lpstr>OfficeMedium!TCoolOcc</vt:lpstr>
      <vt:lpstr>OfficeSmall!TCoolOcc</vt:lpstr>
      <vt:lpstr>PrimarySchool!TCoolOcc</vt:lpstr>
      <vt:lpstr>RetailStandalone!TCoolOcc</vt:lpstr>
      <vt:lpstr>TCoolOcc</vt:lpstr>
      <vt:lpstr>AptHighrise!TCoolUnocc</vt:lpstr>
      <vt:lpstr>AptMidrise!TCoolUnocc</vt:lpstr>
      <vt:lpstr>OfficeLarge!TCoolUnocc</vt:lpstr>
      <vt:lpstr>OfficeMedium!TCoolUnocc</vt:lpstr>
      <vt:lpstr>OfficeSmall!TCoolUnocc</vt:lpstr>
      <vt:lpstr>PrimarySchool!TCoolUnocc</vt:lpstr>
      <vt:lpstr>RetailStandalone!TCoolUnocc</vt:lpstr>
      <vt:lpstr>TCoolUnocc</vt:lpstr>
      <vt:lpstr>AptHighrise!THeatOcc</vt:lpstr>
      <vt:lpstr>AptMidrise!THeatOcc</vt:lpstr>
      <vt:lpstr>OfficeLarge!THeatOcc</vt:lpstr>
      <vt:lpstr>OfficeMedium!THeatOcc</vt:lpstr>
      <vt:lpstr>OfficeSmall!THeatOcc</vt:lpstr>
      <vt:lpstr>PrimarySchool!THeatOcc</vt:lpstr>
      <vt:lpstr>RetailStandalone!THeatOcc</vt:lpstr>
      <vt:lpstr>THeatOcc</vt:lpstr>
      <vt:lpstr>AptHighrise!THeatUnocc</vt:lpstr>
      <vt:lpstr>AptMidrise!THeatUnocc</vt:lpstr>
      <vt:lpstr>OfficeLarge!THeatUnocc</vt:lpstr>
      <vt:lpstr>OfficeMedium!THeatUnocc</vt:lpstr>
      <vt:lpstr>OfficeSmall!THeatUnocc</vt:lpstr>
      <vt:lpstr>PrimarySchool!THeatUnocc</vt:lpstr>
      <vt:lpstr>RetailStandalone!THeatUnocc</vt:lpstr>
      <vt:lpstr>THeatUnocc</vt:lpstr>
      <vt:lpstr>AptHighrise!WallAbs</vt:lpstr>
      <vt:lpstr>AptMidrise!WallAbs</vt:lpstr>
      <vt:lpstr>OfficeLarge!WallAbs</vt:lpstr>
      <vt:lpstr>OfficeMedium!WallAbs</vt:lpstr>
      <vt:lpstr>OfficeSmall!WallAbs</vt:lpstr>
      <vt:lpstr>PrimarySchool!WallAbs</vt:lpstr>
      <vt:lpstr>RetailStandalone!WallAbs</vt:lpstr>
      <vt:lpstr>WallAbs</vt:lpstr>
      <vt:lpstr>AptHighrise!WallEmis</vt:lpstr>
      <vt:lpstr>AptMidrise!WallEmis</vt:lpstr>
      <vt:lpstr>OfficeLarge!WallEmis</vt:lpstr>
      <vt:lpstr>OfficeMedium!WallEmis</vt:lpstr>
      <vt:lpstr>OfficeSmall!WallEmis</vt:lpstr>
      <vt:lpstr>PrimarySchool!WallEmis</vt:lpstr>
      <vt:lpstr>RetailStandalone!WallEmis</vt:lpstr>
      <vt:lpstr>WallEmis</vt:lpstr>
      <vt:lpstr>AptHighrise!WallU</vt:lpstr>
      <vt:lpstr>AptMidrise!WallU</vt:lpstr>
      <vt:lpstr>OfficeLarge!WallU</vt:lpstr>
      <vt:lpstr>OfficeMedium!WallU</vt:lpstr>
      <vt:lpstr>OfficeSmall!WallU</vt:lpstr>
      <vt:lpstr>PrimarySchool!WallU</vt:lpstr>
      <vt:lpstr>RetailStandalone!WallU</vt:lpstr>
      <vt:lpstr>WallU</vt:lpstr>
      <vt:lpstr>AptHighrise!WinU</vt:lpstr>
      <vt:lpstr>AptMidrise!WinU</vt:lpstr>
      <vt:lpstr>OfficeLarge!WinU</vt:lpstr>
      <vt:lpstr>OfficeMedium!WinU</vt:lpstr>
      <vt:lpstr>OfficeSmall!WinU</vt:lpstr>
      <vt:lpstr>PrimarySchool!WinU</vt:lpstr>
      <vt:lpstr>RetailStandalone!WinU</vt:lpstr>
      <vt:lpstr>WinU</vt:lpstr>
    </vt:vector>
  </TitlesOfParts>
  <Company>Argonne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Muehleisen;Fei Zhao</dc:creator>
  <cp:lastModifiedBy>Ralph T. Muehleisen</cp:lastModifiedBy>
  <cp:lastPrinted>2012-10-06T15:10:43Z</cp:lastPrinted>
  <dcterms:created xsi:type="dcterms:W3CDTF">2010-10-08T16:54:52Z</dcterms:created>
  <dcterms:modified xsi:type="dcterms:W3CDTF">2013-11-20T21:00:42Z</dcterms:modified>
</cp:coreProperties>
</file>