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12"/>
  </bookViews>
  <sheets>
    <sheet name="Notes" sheetId="51" r:id="rId1"/>
    <sheet name="ismfile" sheetId="50" r:id="rId2"/>
    <sheet name="Inputs" sheetId="1" r:id="rId3"/>
    <sheet name="Outputs" sheetId="5" r:id="rId4"/>
    <sheet name="Calcs" sheetId="2" state="hidden" r:id="rId5"/>
    <sheet name="Weather" sheetId="4" state="hidden" r:id="rId6"/>
    <sheet name="OfficeMedium" sheetId="68" r:id="rId7"/>
    <sheet name="OfficeLarge" sheetId="59" r:id="rId8"/>
    <sheet name="AptMidrise" sheetId="60" r:id="rId9"/>
    <sheet name="AptHighrise" sheetId="61" r:id="rId10"/>
    <sheet name="OfficeSmall" sheetId="64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9">AptHighrise!$C$64</definedName>
    <definedName name="DHWSysEff" localSheetId="8">AptMidrise!$C$64</definedName>
    <definedName name="DHWSysEff" localSheetId="7">OfficeLarge!$C$64</definedName>
    <definedName name="DHWSysEff" localSheetId="6">OfficeMedium!$C$64</definedName>
    <definedName name="DHWSysEff" localSheetId="10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9">AptHighrise!$C$33</definedName>
    <definedName name="LPD" localSheetId="8">AptMidrise!$C$33</definedName>
    <definedName name="LPD" localSheetId="7">OfficeLarge!$C$33</definedName>
    <definedName name="LPD" localSheetId="6">OfficeMedium!$C$33</definedName>
    <definedName name="LPD" localSheetId="10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9">AptHighrise!$C$12</definedName>
    <definedName name="PeoDOcc" localSheetId="8">AptMidrise!$C$12</definedName>
    <definedName name="PeoDOcc" localSheetId="7">OfficeLarge!$C$12</definedName>
    <definedName name="PeoDOcc" localSheetId="6">OfficeMedium!$C$12</definedName>
    <definedName name="PeoDOcc" localSheetId="10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9">AptHighrise!$C$13</definedName>
    <definedName name="PeoDUnocc" localSheetId="8">AptMidrise!$C$13</definedName>
    <definedName name="PeoDUnocc" localSheetId="7">OfficeLarge!$C$13</definedName>
    <definedName name="PeoDUnocc" localSheetId="6">OfficeMedium!$C$13</definedName>
    <definedName name="PeoDUnocc" localSheetId="10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9">AptHighrise!$C$75</definedName>
    <definedName name="Qinf" localSheetId="8">AptMidrise!$C$75</definedName>
    <definedName name="Qinf" localSheetId="7">OfficeLarge!$C$75</definedName>
    <definedName name="Qinf" localSheetId="6">OfficeMedium!$C$75</definedName>
    <definedName name="Qinf" localSheetId="10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9">AptHighrise!$K$80</definedName>
    <definedName name="RoofAbs" localSheetId="8">AptMidrise!$K$80</definedName>
    <definedName name="RoofAbs" localSheetId="7">OfficeLarge!$K$80</definedName>
    <definedName name="RoofAbs" localSheetId="6">OfficeMedium!$K$80</definedName>
    <definedName name="RoofAbs" localSheetId="10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9">AptHighrise!$K$81</definedName>
    <definedName name="RoofEmis" localSheetId="8">AptMidrise!$K$81</definedName>
    <definedName name="RoofEmis" localSheetId="7">OfficeLarge!$K$81</definedName>
    <definedName name="RoofEmis" localSheetId="6">OfficeMedium!$K$81</definedName>
    <definedName name="RoofEmis" localSheetId="10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9">AptHighrise!$K$79</definedName>
    <definedName name="RoofU" localSheetId="8">AptMidrise!$K$79</definedName>
    <definedName name="RoofU" localSheetId="7">OfficeLarge!$K$79</definedName>
    <definedName name="RoofU" localSheetId="6">OfficeMedium!$K$79</definedName>
    <definedName name="RoofU" localSheetId="10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9">AptHighrise!$J$85</definedName>
    <definedName name="SHGC" localSheetId="8">AptMidrise!$J$85</definedName>
    <definedName name="SHGC" localSheetId="7">OfficeLarge!$J$85</definedName>
    <definedName name="SHGC" localSheetId="6">OfficeMedium!$J$85</definedName>
    <definedName name="SHGC" localSheetId="10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9">AptHighrise!$C$23</definedName>
    <definedName name="TCoolOcc" localSheetId="8">AptMidrise!$C$23</definedName>
    <definedName name="TCoolOcc" localSheetId="7">OfficeLarge!$C$23</definedName>
    <definedName name="TCoolOcc" localSheetId="6">OfficeMedium!$C$23</definedName>
    <definedName name="TCoolOcc" localSheetId="10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9">AptHighrise!$C$24</definedName>
    <definedName name="TCoolUnocc" localSheetId="8">AptMidrise!$C$24</definedName>
    <definedName name="TCoolUnocc" localSheetId="7">OfficeLarge!$C$24</definedName>
    <definedName name="TCoolUnocc" localSheetId="6">OfficeMedium!$C$24</definedName>
    <definedName name="TCoolUnocc" localSheetId="10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9">AptHighrise!$C$21</definedName>
    <definedName name="THeatOcc" localSheetId="8">AptMidrise!$C$21</definedName>
    <definedName name="THeatOcc" localSheetId="7">OfficeLarge!$C$21</definedName>
    <definedName name="THeatOcc" localSheetId="6">OfficeMedium!$C$21</definedName>
    <definedName name="THeatOcc" localSheetId="10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9">AptHighrise!$C$22</definedName>
    <definedName name="THeatUnocc" localSheetId="8">AptMidrise!$C$22</definedName>
    <definedName name="THeatUnocc" localSheetId="7">OfficeLarge!$C$22</definedName>
    <definedName name="THeatUnocc" localSheetId="6">OfficeMedium!$C$22</definedName>
    <definedName name="THeatUnocc" localSheetId="10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9">AptHighrise!$J$80</definedName>
    <definedName name="WallAbs" localSheetId="8">AptMidrise!$J$80</definedName>
    <definedName name="WallAbs" localSheetId="7">OfficeLarge!$J$80</definedName>
    <definedName name="WallAbs" localSheetId="6">OfficeMedium!$J$80</definedName>
    <definedName name="WallAbs" localSheetId="10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9">AptHighrise!$J$81</definedName>
    <definedName name="WallEmis" localSheetId="8">AptMidrise!$J$81</definedName>
    <definedName name="WallEmis" localSheetId="7">OfficeLarge!$J$81</definedName>
    <definedName name="WallEmis" localSheetId="6">OfficeMedium!$J$81</definedName>
    <definedName name="WallEmis" localSheetId="10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9">AptHighrise!$J$79</definedName>
    <definedName name="WallU" localSheetId="8">AptMidrise!$J$79</definedName>
    <definedName name="WallU" localSheetId="7">OfficeLarge!$J$79</definedName>
    <definedName name="WallU" localSheetId="6">OfficeMedium!$J$79</definedName>
    <definedName name="WallU" localSheetId="10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9">AptHighrise!$J$84</definedName>
    <definedName name="WinU" localSheetId="8">AptMidrise!$J$84</definedName>
    <definedName name="WinU" localSheetId="7">OfficeLarge!$J$84</definedName>
    <definedName name="WinU" localSheetId="6">OfficeMedium!$J$84</definedName>
    <definedName name="WinU" localSheetId="10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<sst xmlns="http://schemas.openxmlformats.org/spreadsheetml/2006/main" count="3483" uniqueCount="1178">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</sst>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9" s="430" customFormat="1" ht="15" x14ac:dyDescent="0.25">
      <c r="A97" s="434"/>
      <c r="D97" s="956"/>
      <c r="E97" s="955"/>
    </row>
    <row r="98" spans="1:9" x14ac:dyDescent="0.25">
      <c r="A98" s="434"/>
      <c r="D98" s="979"/>
      <c r="E98" s="979"/>
      <c r="I98" s="430"/>
    </row>
    <row r="99" spans="1:9" s="430" customFormat="1" x14ac:dyDescent="0.25">
      <c r="A99" s="434"/>
      <c r="E99" s="434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isomodel_template.xlsx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RetailStandalone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6.1</v>
      </c>
    </row>
    <row r="8" spans="1:6" x14ac:dyDescent="0.25">
      <c r="A8" s="429" t="str">
        <f>"floorArea = "&amp;Inputs!C11</f>
        <v>floorArea = 2294</v>
      </c>
    </row>
    <row r="9" spans="1:6" x14ac:dyDescent="0.25">
      <c r="A9" s="429" t="str">
        <f>"peopleDensityOccupied = "&amp;Inputs!C12</f>
        <v>peopleDensityOccupied = 9.5</v>
      </c>
    </row>
    <row r="10" spans="1:6" s="429" customFormat="1" x14ac:dyDescent="0.25">
      <c r="A10" s="429" t="str">
        <f>"peopleDensityUnoccupied = "&amp;Inputs!C13</f>
        <v>peopleDensityUnoccupied = 63.6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5</v>
      </c>
    </row>
    <row r="13" spans="1:6" x14ac:dyDescent="0.25">
      <c r="A13" s="429" t="str">
        <f>"occupancyHourStart= "&amp;Inputs!C16</f>
        <v>occupancyHourStart= 10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13.72</v>
      </c>
    </row>
    <row r="17" spans="1:1" x14ac:dyDescent="0.25">
      <c r="A17" s="429" t="str">
        <f>"lightingPowerDensityUnoccupied = "&amp;Inputs!C34</f>
        <v>lightingPowerDensityUnoccupied = 3.25</v>
      </c>
    </row>
    <row r="18" spans="1:1" x14ac:dyDescent="0.25">
      <c r="A18" s="429" t="str">
        <f>"electricAppliancePowerDensityOccupied = "&amp;Inputs!C27</f>
        <v>electricAppliancePowerDensityOccupied = 4.76</v>
      </c>
    </row>
    <row r="19" spans="1:1" x14ac:dyDescent="0.25">
      <c r="A19" s="429" t="str">
        <f>"electricAppliancePowerDensityUnoccupied = "&amp;Inputs!C28</f>
        <v>electricAppliancePowerDensityUnoccupied = 1.8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1525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21.1</v>
      </c>
    </row>
    <row r="30" spans="1:1" x14ac:dyDescent="0.25">
      <c r="A30" s="429" t="str">
        <f>"heatingSetpointUnoccupied = "&amp;Inputs!C22</f>
        <v>heatingSetpointUnoccupied = 17.7</v>
      </c>
    </row>
    <row r="31" spans="1:1" x14ac:dyDescent="0.25">
      <c r="A31" s="429" t="str">
        <f>"coolingSetpointOccupied = "&amp;Inputs!C23</f>
        <v>coolingSetpointOccupied = 24.3</v>
      </c>
    </row>
    <row r="32" spans="1:1" x14ac:dyDescent="0.25">
      <c r="A32" s="429" t="str">
        <f>"coolingSetpointUnoccupied = "&amp;Inputs!C24</f>
        <v>coolingSetpointUnoccupied = 27.6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0.25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</v>
      </c>
    </row>
    <row r="39" spans="1:1" x14ac:dyDescent="0.25">
      <c r="A39" s="429" t="str">
        <f>"coolingSystemIPLVToCopRatio= "&amp;Inputs!C44</f>
        <v>coolingSystemIPLVToCopRatio= 1.05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3600</v>
      </c>
    </row>
    <row r="47" spans="1:1" s="429" customFormat="1" x14ac:dyDescent="0.25">
      <c r="A47" s="429" t="str">
        <f>"ventilationIntakeRateUnoccupied= "&amp;Inputs!C51</f>
        <v>ventilationIntakeRateUnoccupied= 3600</v>
      </c>
    </row>
    <row r="48" spans="1:1" x14ac:dyDescent="0.25">
      <c r="A48" s="429" t="str">
        <f>"ventilationExhaustRateOccupied= "&amp;Inputs!C52</f>
        <v>ventilationExhaustRateOccupied= 3600</v>
      </c>
    </row>
    <row r="49" spans="1:1" s="429" customFormat="1" x14ac:dyDescent="0.25">
      <c r="A49" s="429" t="str">
        <f>"ventilationExhaustRateUnoccupied= "&amp;Inputs!C53</f>
        <v>ventilationExhaustRateUnoccupied= 3600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268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144263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0.43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9.6</v>
      </c>
    </row>
    <row r="70" spans="1:1" s="429" customFormat="1" x14ac:dyDescent="0.25">
      <c r="A70" s="429" t="str">
        <f>"infiltrationRateUnoccupied= "&amp;Inputs!C76</f>
        <v>infiltrationRateUnoccupied= 9.6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2294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35.4</v>
      </c>
    </row>
    <row r="81" spans="1:1" x14ac:dyDescent="0.25">
      <c r="A81" s="429" t="str">
        <f>"skylightUValue= "&amp;Inputs!K84</f>
        <v>skylightUValue= 5.72</v>
      </c>
    </row>
    <row r="82" spans="1:1" s="429" customFormat="1" x14ac:dyDescent="0.25">
      <c r="A82" s="429" t="str">
        <f>"skylightSHGC= "&amp;Inputs!K85</f>
        <v>skylightSHGC= 0.506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246.89</v>
      </c>
    </row>
    <row r="86" spans="1:1" x14ac:dyDescent="0.25">
      <c r="A86" s="429" t="str">
        <f>"WallUvalueS= "&amp;Inputs!C79</f>
        <v>WallUvalueS= 0.511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0.511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257.68</v>
      </c>
    </row>
    <row r="94" spans="1:1" x14ac:dyDescent="0.25">
      <c r="A94" s="429" t="str">
        <f>"WallUvalueE= "&amp;Inputs!E79</f>
        <v>WallUvalueE= 0.511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0.511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330.83</v>
      </c>
    </row>
    <row r="102" spans="1:1" x14ac:dyDescent="0.25">
      <c r="A102" s="429" t="str">
        <f>"WallUvalueN= "&amp;Inputs!G79</f>
        <v>WallUvalueN= 0.511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0.511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257.68</v>
      </c>
    </row>
    <row r="110" spans="1:1" x14ac:dyDescent="0.25">
      <c r="A110" s="429" t="str">
        <f>"WallUvalueW= "&amp;Inputs!I79</f>
        <v>WallUvalueW= 0.511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83.89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0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0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0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G86" sqref="G86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145.9  kWh/m2 = 46.3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1173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3" t="s">
        <v>1177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27.666010848084966</v>
      </c>
      <c r="R4" s="316" t="s">
        <v>589</v>
      </c>
      <c r="S4" s="270">
        <f ca="1">Q4*Calcs!$N$23/Calcs!$N$20</f>
        <v>8.7700792537468768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13.773896767265091</v>
      </c>
      <c r="C5" s="269">
        <f ca="1">(Calcs!D558+Calcs!G558)/Calcs!$C$2/Calcs!$N$22</f>
        <v>1.5493384327989774E-3</v>
      </c>
      <c r="D5" s="269">
        <f>Calcs!J48/Calcs!$C$2/Calcs!$N$22</f>
        <v>3.7723178082191784</v>
      </c>
      <c r="E5" s="269">
        <f>Calcs!Q48</f>
        <v>0.22668918918918918</v>
      </c>
      <c r="F5" s="269">
        <f ca="1">Calcs!L424</f>
        <v>0.36935678350264822</v>
      </c>
      <c r="G5" s="269">
        <f ca="1">Calcs!K701/Calcs!$C$2/Calcs!$N$22</f>
        <v>0.50232894345151002</v>
      </c>
      <c r="H5" s="269">
        <f>SUM(H22,H39)</f>
        <v>1.9684114285714289</v>
      </c>
      <c r="I5" s="269">
        <f ca="1">Calcs!M731/Calcs!$C$2</f>
        <v>0.71803609774157728</v>
      </c>
      <c r="J5" s="269">
        <f>Calcs!AR766/Calcs!$C$2/Calcs!$N$22</f>
        <v>0</v>
      </c>
      <c r="K5" s="269">
        <f t="shared" ref="K5:K16" ca="1" si="0">SUM(B5:I5)-J5</f>
        <v>21.332586356373426</v>
      </c>
      <c r="L5" s="379">
        <f ca="1">K5*Inputs!$C$11</f>
        <v>48936.953101520638</v>
      </c>
      <c r="O5" s="314" t="s">
        <v>690</v>
      </c>
      <c r="P5" s="314"/>
      <c r="Q5" s="270">
        <f ca="1">Calcs!V842</f>
        <v>50.372046458962764</v>
      </c>
      <c r="R5" s="316" t="s">
        <v>589</v>
      </c>
      <c r="S5" s="270">
        <f ca="1">Q5*Calcs!$N$23/Calcs!$N$20</f>
        <v>15.967854637384493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9.8510983855144847</v>
      </c>
      <c r="C6" s="269">
        <f ca="1">(Calcs!D559+Calcs!G559)/Calcs!$C$2/Calcs!$N$22</f>
        <v>3.5949709034916741E-3</v>
      </c>
      <c r="D6" s="269">
        <f>Calcs!J49/Calcs!$C$2/Calcs!$N$22</f>
        <v>3.407254794520548</v>
      </c>
      <c r="E6" s="269">
        <f>Calcs!Q49</f>
        <v>0.20475152571926766</v>
      </c>
      <c r="F6" s="269">
        <f ca="1">Calcs!L425</f>
        <v>0.26766222771436488</v>
      </c>
      <c r="G6" s="269">
        <f ca="1">Calcs!K702/Calcs!$C$2/Calcs!$N$22</f>
        <v>0.3597120768467163</v>
      </c>
      <c r="H6" s="269">
        <f t="shared" ref="H6:H16" si="1">SUM(H23,H40)</f>
        <v>1.7779200000000002</v>
      </c>
      <c r="I6" s="269">
        <f ca="1">Calcs!M732/Calcs!$C$2</f>
        <v>0.6485487334440051</v>
      </c>
      <c r="J6" s="269">
        <f>Calcs!AR767/Calcs!$C$2/Calcs!$N$22</f>
        <v>0</v>
      </c>
      <c r="K6" s="269">
        <f t="shared" ca="1" si="0"/>
        <v>16.520542714662877</v>
      </c>
      <c r="L6" s="379">
        <f ca="1">K6*Inputs!$C$11</f>
        <v>37898.12498743664</v>
      </c>
      <c r="O6" s="314" t="s">
        <v>688</v>
      </c>
      <c r="P6" s="314"/>
      <c r="Q6" s="270">
        <f ca="1">SUM(Q4:Q5)</f>
        <v>78.038057307047723</v>
      </c>
      <c r="R6" s="316" t="s">
        <v>589</v>
      </c>
      <c r="S6" s="270">
        <f ca="1">Q6*Calcs!$N$23/Calcs!$N$20</f>
        <v>24.73793389113137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3.9350850386565188</v>
      </c>
      <c r="C7" s="269">
        <f ca="1">(Calcs!D560+Calcs!G560)/Calcs!$C$2/Calcs!$N$22</f>
        <v>3.685552604042814E-2</v>
      </c>
      <c r="D7" s="269">
        <f>Calcs!J50/Calcs!$C$2/Calcs!$N$22</f>
        <v>3.7723178082191784</v>
      </c>
      <c r="E7" s="269">
        <f>Calcs!Q50</f>
        <v>0.22668918918918918</v>
      </c>
      <c r="F7" s="269">
        <f ca="1">Calcs!L426</f>
        <v>0.14344401544401542</v>
      </c>
      <c r="G7" s="269">
        <f ca="1">Calcs!K703/Calcs!$C$2/Calcs!$N$22</f>
        <v>0.15004356265710775</v>
      </c>
      <c r="H7" s="269">
        <f t="shared" si="1"/>
        <v>1.9684114285714289</v>
      </c>
      <c r="I7" s="269">
        <f ca="1">Calcs!M733/Calcs!$C$2</f>
        <v>0.71803609774157728</v>
      </c>
      <c r="J7" s="269">
        <f>Calcs!AR768/Calcs!$C$2/Calcs!$N$22</f>
        <v>0</v>
      </c>
      <c r="K7" s="269">
        <f t="shared" ca="1" si="0"/>
        <v>10.950882666519444</v>
      </c>
      <c r="L7" s="379">
        <f ca="1">K7*Inputs!$C$11</f>
        <v>25121.324836995605</v>
      </c>
      <c r="O7" s="320" t="s">
        <v>608</v>
      </c>
      <c r="P7" s="313"/>
      <c r="Q7" s="270">
        <f ca="1">K34</f>
        <v>94.35189276001681</v>
      </c>
      <c r="R7" s="316" t="s">
        <v>589</v>
      </c>
      <c r="S7" s="270">
        <f ca="1">Q7*Calcs!$N$23/Calcs!$N$20</f>
        <v>29.90939249572553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0.16812227717174641</v>
      </c>
      <c r="C8" s="269">
        <f ca="1">(Calcs!D561+Calcs!G561)/Calcs!$C$2/Calcs!$N$22</f>
        <v>0.47776192587577337</v>
      </c>
      <c r="D8" s="269">
        <f>Calcs!J51/Calcs!$C$2/Calcs!$N$22</f>
        <v>3.6506301369863019</v>
      </c>
      <c r="E8" s="269">
        <f>Calcs!Q51</f>
        <v>0.21937663469921531</v>
      </c>
      <c r="F8" s="269">
        <f ca="1">Calcs!L427</f>
        <v>0.13881678913936973</v>
      </c>
      <c r="G8" s="269">
        <f ca="1">Calcs!K704/Calcs!$C$2/Calcs!$N$22</f>
        <v>9.1838286175559378E-2</v>
      </c>
      <c r="H8" s="269">
        <f t="shared" si="1"/>
        <v>1.9049142857142858</v>
      </c>
      <c r="I8" s="269">
        <f ca="1">Calcs!M734/Calcs!$C$2</f>
        <v>0.69487364297571985</v>
      </c>
      <c r="J8" s="269">
        <f>Calcs!AR769/Calcs!$C$2/Calcs!$N$22</f>
        <v>0</v>
      </c>
      <c r="K8" s="269">
        <f t="shared" ca="1" si="0"/>
        <v>7.3463339787379729</v>
      </c>
      <c r="L8" s="379">
        <f ca="1">K8*Inputs!$C$11</f>
        <v>16852.490147224911</v>
      </c>
      <c r="O8" s="320" t="s">
        <v>609</v>
      </c>
      <c r="P8" s="320"/>
      <c r="Q8" s="270">
        <f ca="1">K51</f>
        <v>51.561399142210298</v>
      </c>
      <c r="R8" s="316" t="s">
        <v>589</v>
      </c>
      <c r="S8" s="270">
        <f ca="1">Q8*Calcs!$N$23/Calcs!$N$20</f>
        <v>16.344877452491911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1.29013030791558E-4</v>
      </c>
      <c r="C9" s="269">
        <f ca="1">(Calcs!D562+Calcs!G562)/Calcs!$C$2/Calcs!$N$22</f>
        <v>2.0539302707042375</v>
      </c>
      <c r="D9" s="269">
        <f>Calcs!J52/Calcs!$C$2/Calcs!$N$22</f>
        <v>3.7723178082191784</v>
      </c>
      <c r="E9" s="269">
        <f>Calcs!Q52</f>
        <v>0.22668918918918918</v>
      </c>
      <c r="F9" s="269">
        <f ca="1">Calcs!L428</f>
        <v>0.32143923971515448</v>
      </c>
      <c r="G9" s="269">
        <f ca="1">Calcs!K705/Calcs!$C$2/Calcs!$N$22</f>
        <v>0.36847906973282746</v>
      </c>
      <c r="H9" s="269">
        <f t="shared" si="1"/>
        <v>1.9684114285714289</v>
      </c>
      <c r="I9" s="269">
        <f ca="1">Calcs!M735/Calcs!$C$2</f>
        <v>0.71803609774157728</v>
      </c>
      <c r="J9" s="269">
        <f>Calcs!AR770/Calcs!$C$2/Calcs!$N$22</f>
        <v>0</v>
      </c>
      <c r="K9" s="269">
        <f t="shared" ca="1" si="0"/>
        <v>9.4294321169043851</v>
      </c>
      <c r="L9" s="379">
        <f ca="1">K9*Inputs!$C$11</f>
        <v>21631.117276178658</v>
      </c>
      <c r="O9" s="320" t="s">
        <v>610</v>
      </c>
      <c r="P9" s="320"/>
      <c r="Q9" s="270">
        <f ca="1">K17</f>
        <v>145.91329190222712</v>
      </c>
      <c r="R9" s="316" t="s">
        <v>589</v>
      </c>
      <c r="S9" s="270">
        <f ca="1">Q9*Calcs!$N$23/Calcs!$N$20</f>
        <v>46.254269948217448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3.1156978507463999</v>
      </c>
      <c r="D10" s="269">
        <f>Calcs!J53/Calcs!$C$2/Calcs!$N$22</f>
        <v>3.6506301369863019</v>
      </c>
      <c r="E10" s="269">
        <f>Calcs!Q53</f>
        <v>0.21937663469921531</v>
      </c>
      <c r="F10" s="269">
        <f ca="1">Calcs!L429</f>
        <v>0.45720397928691264</v>
      </c>
      <c r="G10" s="269">
        <f ca="1">Calcs!K706/Calcs!$C$2/Calcs!$N$22</f>
        <v>0.55895509723959047</v>
      </c>
      <c r="H10" s="269">
        <f t="shared" si="1"/>
        <v>1.9049142857142858</v>
      </c>
      <c r="I10" s="269">
        <f ca="1">Calcs!M736/Calcs!$C$2</f>
        <v>0.69487364297571985</v>
      </c>
      <c r="J10" s="269">
        <f>Calcs!AR771/Calcs!$C$2/Calcs!$N$22</f>
        <v>0</v>
      </c>
      <c r="K10" s="269">
        <f t="shared" ca="1" si="0"/>
        <v>10.601651627648426</v>
      </c>
      <c r="L10" s="379">
        <f ca="1">K10*Inputs!$C$11</f>
        <v>24320.18883382549</v>
      </c>
      <c r="O10" s="314" t="s">
        <v>686</v>
      </c>
      <c r="P10" s="314"/>
      <c r="Q10" s="270">
        <f ca="1">Q20/Inputs!C11*1000</f>
        <v>373.79916700075023</v>
      </c>
      <c r="R10" s="312" t="s">
        <v>589</v>
      </c>
      <c r="S10" s="270">
        <f ca="1">Q10*Calcs!$N$23/Calcs!$N$20</f>
        <v>118.49371192623758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3.9460524279280933</v>
      </c>
      <c r="D11" s="269">
        <f>Calcs!J54/Calcs!$C$2/Calcs!$N$22</f>
        <v>3.7723178082191784</v>
      </c>
      <c r="E11" s="269">
        <f>Calcs!Q54</f>
        <v>0.22668918918918918</v>
      </c>
      <c r="F11" s="269">
        <f ca="1">Calcs!L430</f>
        <v>0.56291783578708854</v>
      </c>
      <c r="G11" s="269">
        <f ca="1">Calcs!K707/Calcs!$C$2/Calcs!$N$22</f>
        <v>0.7079204159789364</v>
      </c>
      <c r="H11" s="269">
        <f t="shared" si="1"/>
        <v>1.9684114285714289</v>
      </c>
      <c r="I11" s="269">
        <f ca="1">Calcs!M737/Calcs!$C$2</f>
        <v>0.71803609774157728</v>
      </c>
      <c r="J11" s="269">
        <f>Calcs!AR772/Calcs!$C$2/Calcs!$N$22</f>
        <v>0</v>
      </c>
      <c r="K11" s="269">
        <f t="shared" ca="1" si="0"/>
        <v>11.902345203415493</v>
      </c>
      <c r="L11" s="379">
        <f ca="1">K11*Inputs!$C$11</f>
        <v>27303.979896635141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3.3160049783076913</v>
      </c>
      <c r="D12" s="269">
        <f>Calcs!J55/Calcs!$C$2/Calcs!$N$22</f>
        <v>3.7723178082191784</v>
      </c>
      <c r="E12" s="269">
        <f>Calcs!Q55</f>
        <v>0.22668918918918918</v>
      </c>
      <c r="F12" s="269">
        <f ca="1">Calcs!L431</f>
        <v>0.48664756338889753</v>
      </c>
      <c r="G12" s="269">
        <f ca="1">Calcs!K708/Calcs!$C$2/Calcs!$N$22</f>
        <v>0.59489012538648955</v>
      </c>
      <c r="H12" s="269">
        <f t="shared" si="1"/>
        <v>1.9684114285714289</v>
      </c>
      <c r="I12" s="269">
        <f ca="1">Calcs!M738/Calcs!$C$2</f>
        <v>0.71803609774157728</v>
      </c>
      <c r="J12" s="269">
        <f>Calcs!AR773/Calcs!$C$2/Calcs!$N$22</f>
        <v>0</v>
      </c>
      <c r="K12" s="269">
        <f t="shared" ca="1" si="0"/>
        <v>11.082997190804454</v>
      </c>
      <c r="L12" s="379">
        <f ca="1">K12*Inputs!$C$11</f>
        <v>25424.395555705418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1.9060082885855332E-7</v>
      </c>
      <c r="C13" s="269">
        <f ca="1">(Calcs!D566+Calcs!G566)/Calcs!$C$2/Calcs!$N$22</f>
        <v>2.4192398092923848</v>
      </c>
      <c r="D13" s="269">
        <f>Calcs!J56/Calcs!$C$2/Calcs!$N$22</f>
        <v>3.6506301369863019</v>
      </c>
      <c r="E13" s="269">
        <f>Calcs!Q56</f>
        <v>0.21937663469921531</v>
      </c>
      <c r="F13" s="269">
        <f ca="1">Calcs!L432</f>
        <v>0.37274209060257135</v>
      </c>
      <c r="G13" s="269">
        <f ca="1">Calcs!K709/Calcs!$C$2/Calcs!$N$22</f>
        <v>0.43401077680579403</v>
      </c>
      <c r="H13" s="269">
        <f t="shared" si="1"/>
        <v>1.9049142857142858</v>
      </c>
      <c r="I13" s="269">
        <f ca="1">Calcs!M739/Calcs!$C$2</f>
        <v>0.69487364297571985</v>
      </c>
      <c r="J13" s="269">
        <f>Calcs!AR774/Calcs!$C$2/Calcs!$N$22</f>
        <v>0</v>
      </c>
      <c r="K13" s="269">
        <f t="shared" ca="1" si="0"/>
        <v>9.6957875676771028</v>
      </c>
      <c r="L13" s="379">
        <f ca="1">K13*Inputs!$C$11</f>
        <v>22242.136680251275</v>
      </c>
      <c r="O13" s="320" t="s">
        <v>619</v>
      </c>
      <c r="P13" s="313"/>
      <c r="Q13" s="285">
        <f ca="1">Q7*Inputs!C11/1000</f>
        <v>216.44324199147857</v>
      </c>
      <c r="R13" s="312" t="s">
        <v>685</v>
      </c>
      <c r="S13" s="270">
        <f ca="1">Q13</f>
        <v>216.44324199147857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9.8076227072644198E-2</v>
      </c>
      <c r="C14" s="269">
        <f ca="1">(Calcs!D567+Calcs!G567)/Calcs!$C$2/Calcs!$N$22</f>
        <v>0.54801649670993025</v>
      </c>
      <c r="D14" s="269">
        <f>Calcs!J57/Calcs!$C$2/Calcs!$N$22</f>
        <v>3.7723178082191784</v>
      </c>
      <c r="E14" s="269">
        <f>Calcs!Q57</f>
        <v>0.22668918918918918</v>
      </c>
      <c r="F14" s="269">
        <f ca="1">Calcs!L433</f>
        <v>0.14344401544401542</v>
      </c>
      <c r="G14" s="269">
        <f ca="1">Calcs!K710/Calcs!$C$2/Calcs!$N$22</f>
        <v>0.10188879128401618</v>
      </c>
      <c r="H14" s="269">
        <f t="shared" si="1"/>
        <v>1.9684114285714289</v>
      </c>
      <c r="I14" s="269">
        <f ca="1">Calcs!M740/Calcs!$C$2</f>
        <v>0.71803609774157728</v>
      </c>
      <c r="J14" s="269">
        <f>Calcs!AR775/Calcs!$C$2/Calcs!$N$22</f>
        <v>0</v>
      </c>
      <c r="K14" s="269">
        <f t="shared" ca="1" si="0"/>
        <v>7.576880054231979</v>
      </c>
      <c r="L14" s="379">
        <f ca="1">K14*Inputs!$C$11</f>
        <v>17381.362844408159</v>
      </c>
      <c r="O14" s="314" t="s">
        <v>620</v>
      </c>
      <c r="P14" s="315"/>
      <c r="Q14" s="285">
        <f ca="1">Q8*Inputs!C11/1000</f>
        <v>118.28184963223043</v>
      </c>
      <c r="R14" s="312" t="s">
        <v>685</v>
      </c>
      <c r="S14" s="270">
        <f ca="1">Q14*Calcs!$N$23/1000*10</f>
        <v>4.035944235735192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3.7863406155290402</v>
      </c>
      <c r="C15" s="269">
        <f ca="1">(Calcs!D568+Calcs!G568)/Calcs!$C$2/Calcs!$N$22</f>
        <v>2.5045144754969554E-2</v>
      </c>
      <c r="D15" s="269">
        <f>Calcs!J58/Calcs!$C$2/Calcs!$N$22</f>
        <v>3.6506301369863019</v>
      </c>
      <c r="E15" s="269">
        <f>Calcs!Q58</f>
        <v>0.21937663469921531</v>
      </c>
      <c r="F15" s="269">
        <f ca="1">Calcs!L434</f>
        <v>0.13881678913936973</v>
      </c>
      <c r="G15" s="269">
        <f ca="1">Calcs!K711/Calcs!$C$2/Calcs!$N$22</f>
        <v>0.14250313166344278</v>
      </c>
      <c r="H15" s="269">
        <f t="shared" si="1"/>
        <v>1.9049142857142858</v>
      </c>
      <c r="I15" s="269">
        <f ca="1">Calcs!M741/Calcs!$C$2</f>
        <v>0.69487364297571985</v>
      </c>
      <c r="J15" s="269">
        <f>Calcs!AR776/Calcs!$C$2/Calcs!$N$22</f>
        <v>0</v>
      </c>
      <c r="K15" s="269">
        <f t="shared" ca="1" si="0"/>
        <v>10.562500381462346</v>
      </c>
      <c r="L15" s="379">
        <f ca="1">K15*Inputs!$C$11</f>
        <v>24230.375875074624</v>
      </c>
      <c r="O15" s="314" t="s">
        <v>621</v>
      </c>
      <c r="P15" s="321"/>
      <c r="Q15" s="285">
        <f ca="1">Q9*Inputs!C11/1000</f>
        <v>334.72509162370903</v>
      </c>
      <c r="R15" s="312" t="s">
        <v>685</v>
      </c>
      <c r="S15" s="270">
        <f ca="1">Q15*Calcs!$N$23/1000</f>
        <v>1.1421294207818418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11.494354637831227</v>
      </c>
      <c r="C16" s="269">
        <f ca="1">(Calcs!D569+Calcs!G569)/Calcs!$C$2/Calcs!$N$22</f>
        <v>2.6019678840167666E-3</v>
      </c>
      <c r="D16" s="269">
        <f>Calcs!J59/Calcs!$C$2/Calcs!$N$22</f>
        <v>3.7723178082191784</v>
      </c>
      <c r="E16" s="269">
        <f>Calcs!Q59</f>
        <v>0.22668918918918918</v>
      </c>
      <c r="F16" s="269">
        <f ca="1">Calcs!L435</f>
        <v>0.30951119157459756</v>
      </c>
      <c r="G16" s="269">
        <f ca="1">Calcs!K712/Calcs!$C$2/Calcs!$N$22</f>
        <v>0.41942972277801027</v>
      </c>
      <c r="H16" s="269">
        <f t="shared" si="1"/>
        <v>1.9684114285714289</v>
      </c>
      <c r="I16" s="269">
        <f ca="1">Calcs!M742/Calcs!$C$2</f>
        <v>0.71803609774157728</v>
      </c>
      <c r="J16" s="269">
        <f>Calcs!AR777/Calcs!$C$2/Calcs!$N$22</f>
        <v>0</v>
      </c>
      <c r="K16" s="269">
        <f t="shared" ca="1" si="0"/>
        <v>18.911352043789226</v>
      </c>
      <c r="L16" s="379">
        <f ca="1">K16*Inputs!$C$11</f>
        <v>43382.641588452483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43.107103152672373</v>
      </c>
      <c r="C17" s="271">
        <f ca="1">SUM(C5:C16)</f>
        <v>15.946350707580217</v>
      </c>
      <c r="D17" s="271">
        <f>SUM(D5:D16)</f>
        <v>44.416000000000004</v>
      </c>
      <c r="E17" s="271">
        <f t="shared" ref="E17:H17" si="2">SUM(E5:E16)</f>
        <v>2.6690823888404531</v>
      </c>
      <c r="F17" s="271">
        <f ca="1">SUM(F5:F16)</f>
        <v>3.7120025207390057</v>
      </c>
      <c r="G17" s="271">
        <f ca="1">SUM(G5:G16)</f>
        <v>4.4320000000000004</v>
      </c>
      <c r="H17" s="271">
        <f t="shared" si="2"/>
        <v>23.176457142857146</v>
      </c>
      <c r="I17" s="271">
        <f ca="1">SUM(I5:I16)</f>
        <v>8.4542959895379255</v>
      </c>
      <c r="J17" s="271">
        <f>SUM(J5:J16)</f>
        <v>0</v>
      </c>
      <c r="K17" s="272">
        <f ca="1">SUM(K5:K16)</f>
        <v>145.91329190222712</v>
      </c>
      <c r="L17" s="383">
        <f ca="1">K17*Inputs!$C$11</f>
        <v>334725.09162370901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728.33150930132547</v>
      </c>
      <c r="R18" s="312" t="s">
        <v>685</v>
      </c>
      <c r="S18" s="323">
        <f ca="1">Q18*Calcs!$N$23/1000</f>
        <v>2.4851702656060057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129.16377979839564</v>
      </c>
      <c r="R19" s="312" t="s">
        <v>685</v>
      </c>
      <c r="S19" s="323">
        <f ca="1">Q19*Calcs!$N$23/1000</f>
        <v>0.44072511054228308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857.49528909972105</v>
      </c>
      <c r="R20" s="312" t="s">
        <v>685</v>
      </c>
      <c r="S20" s="270">
        <f ca="1">Q20*Calcs!$N$23/1000</f>
        <v>2.9258953761482887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1.5493384327989774E-3</v>
      </c>
      <c r="D22" s="269">
        <f t="shared" ref="D22:D33" si="3">D5</f>
        <v>3.7723178082191784</v>
      </c>
      <c r="E22" s="269">
        <f t="shared" ref="E22" si="4">E5</f>
        <v>0.22668918918918918</v>
      </c>
      <c r="F22" s="269">
        <f t="shared" ref="F22:G33" ca="1" si="5">F5</f>
        <v>0.36935678350264822</v>
      </c>
      <c r="G22" s="269">
        <f t="shared" ca="1" si="5"/>
        <v>0.50232894345151002</v>
      </c>
      <c r="H22" s="269">
        <f>Calcs!H747</f>
        <v>1.9684114285714289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6.840653491366754</v>
      </c>
      <c r="L22" s="379">
        <f ca="1">K22*Inputs!$C$11</f>
        <v>15692.459109195333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3.5949709034916741E-3</v>
      </c>
      <c r="D23" s="269">
        <f t="shared" si="3"/>
        <v>3.407254794520548</v>
      </c>
      <c r="E23" s="269">
        <f t="shared" ref="E23:E33" si="8">E6</f>
        <v>0.20475152571926766</v>
      </c>
      <c r="F23" s="269">
        <f t="shared" ca="1" si="5"/>
        <v>0.26766222771436488</v>
      </c>
      <c r="G23" s="269">
        <f t="shared" ca="1" si="5"/>
        <v>0.3597120768467163</v>
      </c>
      <c r="H23" s="269">
        <f>Calcs!H748</f>
        <v>1.7779200000000002</v>
      </c>
      <c r="I23" s="269">
        <f>IF(Inputs!$C$66=2,0,Outputs!I6)</f>
        <v>0</v>
      </c>
      <c r="J23" s="269">
        <f t="shared" si="6"/>
        <v>0</v>
      </c>
      <c r="K23" s="381">
        <f t="shared" ca="1" si="7"/>
        <v>6.0208955957043884</v>
      </c>
      <c r="L23" s="379">
        <f ca="1">K23*Inputs!$C$11</f>
        <v>13811.934496545868</v>
      </c>
      <c r="O23" s="313" t="s">
        <v>616</v>
      </c>
      <c r="P23" s="313"/>
      <c r="Q23" s="270">
        <f ca="1">Calcs!U9*$Q$13+SUM(Calcs!T15:U15)*$Q$14</f>
        <v>155.01484264848349</v>
      </c>
      <c r="R23" s="312" t="s">
        <v>622</v>
      </c>
      <c r="S23" s="270">
        <f ca="1">Q23</f>
        <v>155.01484264848349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3.685552604042814E-2</v>
      </c>
      <c r="D24" s="269">
        <f t="shared" si="3"/>
        <v>3.7723178082191784</v>
      </c>
      <c r="E24" s="269">
        <f t="shared" si="8"/>
        <v>0.22668918918918918</v>
      </c>
      <c r="F24" s="269">
        <f t="shared" ca="1" si="5"/>
        <v>0.14344401544401542</v>
      </c>
      <c r="G24" s="269">
        <f t="shared" ca="1" si="5"/>
        <v>0.15004356265710775</v>
      </c>
      <c r="H24" s="269">
        <f>Calcs!H749</f>
        <v>1.9684114285714289</v>
      </c>
      <c r="I24" s="269">
        <f>IF(Inputs!$C$66=2,0,Outputs!I7)</f>
        <v>0</v>
      </c>
      <c r="J24" s="269">
        <f t="shared" si="6"/>
        <v>0</v>
      </c>
      <c r="K24" s="381">
        <f t="shared" ca="1" si="7"/>
        <v>6.2977615301213481</v>
      </c>
      <c r="L24" s="379">
        <f ca="1">K24*Inputs!$C$11</f>
        <v>14447.064950098373</v>
      </c>
      <c r="O24" s="313" t="s">
        <v>617</v>
      </c>
      <c r="P24" s="313"/>
      <c r="Q24" s="285">
        <f ca="1">Calcs!U10*$Q$13+SUM(Calcs!T16:U16)*$Q$14</f>
        <v>0.26552274053635411</v>
      </c>
      <c r="R24" s="312" t="s">
        <v>622</v>
      </c>
      <c r="S24" s="285">
        <f t="shared" ref="S24:S25" ca="1" si="9">Q24</f>
        <v>0.26552274053635411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0.47776192587577337</v>
      </c>
      <c r="D25" s="269">
        <f t="shared" si="3"/>
        <v>3.6506301369863019</v>
      </c>
      <c r="E25" s="269">
        <f t="shared" si="8"/>
        <v>0.21937663469921531</v>
      </c>
      <c r="F25" s="269">
        <f t="shared" ca="1" si="5"/>
        <v>0.13881678913936973</v>
      </c>
      <c r="G25" s="269">
        <f t="shared" ca="1" si="5"/>
        <v>9.1838286175559378E-2</v>
      </c>
      <c r="H25" s="269">
        <f>Calcs!H750</f>
        <v>1.9049142857142858</v>
      </c>
      <c r="I25" s="269">
        <f>IF(Inputs!$C$66=2,0,Outputs!I8)</f>
        <v>0</v>
      </c>
      <c r="J25" s="269">
        <f t="shared" si="6"/>
        <v>0</v>
      </c>
      <c r="K25" s="381">
        <f t="shared" ca="1" si="7"/>
        <v>6.4833380585905065</v>
      </c>
      <c r="L25" s="379">
        <f ca="1">K25*Inputs!$C$11</f>
        <v>14872.777506406623</v>
      </c>
      <c r="O25" s="313" t="s">
        <v>618</v>
      </c>
      <c r="P25" s="313"/>
      <c r="Q25" s="285">
        <f ca="1">Calcs!U11*$Q$13+SUM(Calcs!T17:U17)*$Q$14</f>
        <v>0.68828449824078231</v>
      </c>
      <c r="R25" s="312" t="s">
        <v>622</v>
      </c>
      <c r="S25" s="285">
        <f t="shared" ca="1" si="9"/>
        <v>0.68828449824078231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2.0539302707042375</v>
      </c>
      <c r="D26" s="269">
        <f t="shared" si="3"/>
        <v>3.7723178082191784</v>
      </c>
      <c r="E26" s="269">
        <f t="shared" si="8"/>
        <v>0.22668918918918918</v>
      </c>
      <c r="F26" s="269">
        <f t="shared" ca="1" si="5"/>
        <v>0.32143923971515448</v>
      </c>
      <c r="G26" s="269">
        <f t="shared" ca="1" si="5"/>
        <v>0.36847906973282746</v>
      </c>
      <c r="H26" s="269">
        <f>Calcs!H751</f>
        <v>1.9684114285714289</v>
      </c>
      <c r="I26" s="269">
        <f>IF(Inputs!$C$66=2,0,Outputs!I9)</f>
        <v>0</v>
      </c>
      <c r="J26" s="269">
        <f t="shared" si="6"/>
        <v>0</v>
      </c>
      <c r="K26" s="381">
        <f t="shared" ca="1" si="7"/>
        <v>8.7112670061320152</v>
      </c>
      <c r="L26" s="379">
        <f ca="1">K26*Inputs!$C$11</f>
        <v>19983.646512066844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3.1156978507463999</v>
      </c>
      <c r="D27" s="269">
        <f t="shared" si="3"/>
        <v>3.6506301369863019</v>
      </c>
      <c r="E27" s="269">
        <f t="shared" si="8"/>
        <v>0.21937663469921531</v>
      </c>
      <c r="F27" s="269">
        <f t="shared" ca="1" si="5"/>
        <v>0.45720397928691264</v>
      </c>
      <c r="G27" s="269">
        <f t="shared" ca="1" si="5"/>
        <v>0.55895509723959047</v>
      </c>
      <c r="H27" s="269">
        <f>Calcs!H752</f>
        <v>1.9049142857142858</v>
      </c>
      <c r="I27" s="269">
        <f>IF(Inputs!$C$66=2,0,Outputs!I10)</f>
        <v>0</v>
      </c>
      <c r="J27" s="269">
        <f t="shared" si="6"/>
        <v>0</v>
      </c>
      <c r="K27" s="381">
        <f t="shared" ca="1" si="7"/>
        <v>9.906777984672706</v>
      </c>
      <c r="L27" s="379">
        <f ca="1">K27*Inputs!$C$11</f>
        <v>22726.148696839187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3.9460524279280933</v>
      </c>
      <c r="D28" s="269">
        <f t="shared" si="3"/>
        <v>3.7723178082191784</v>
      </c>
      <c r="E28" s="269">
        <f t="shared" si="8"/>
        <v>0.22668918918918918</v>
      </c>
      <c r="F28" s="269">
        <f t="shared" ca="1" si="5"/>
        <v>0.56291783578708854</v>
      </c>
      <c r="G28" s="269">
        <f t="shared" ca="1" si="5"/>
        <v>0.7079204159789364</v>
      </c>
      <c r="H28" s="269">
        <f>Calcs!H753</f>
        <v>1.9684114285714289</v>
      </c>
      <c r="I28" s="269">
        <f>IF(Inputs!$C$66=2,0,Outputs!I11)</f>
        <v>0</v>
      </c>
      <c r="J28" s="269">
        <f t="shared" si="6"/>
        <v>0</v>
      </c>
      <c r="K28" s="381">
        <f t="shared" ca="1" si="7"/>
        <v>11.184309105673915</v>
      </c>
      <c r="L28" s="379">
        <f ca="1">K28*Inputs!$C$11</f>
        <v>25656.80508841596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3.3160049783076913</v>
      </c>
      <c r="D29" s="269">
        <f t="shared" si="3"/>
        <v>3.7723178082191784</v>
      </c>
      <c r="E29" s="269">
        <f t="shared" si="8"/>
        <v>0.22668918918918918</v>
      </c>
      <c r="F29" s="269">
        <f t="shared" ca="1" si="5"/>
        <v>0.48664756338889753</v>
      </c>
      <c r="G29" s="269">
        <f t="shared" ca="1" si="5"/>
        <v>0.59489012538648955</v>
      </c>
      <c r="H29" s="269">
        <f>Calcs!H754</f>
        <v>1.9684114285714289</v>
      </c>
      <c r="I29" s="269">
        <f>IF(Inputs!$C$66=2,0,Outputs!I12)</f>
        <v>0</v>
      </c>
      <c r="J29" s="269">
        <f t="shared" si="6"/>
        <v>0</v>
      </c>
      <c r="K29" s="381">
        <f t="shared" ca="1" si="7"/>
        <v>10.364961093062876</v>
      </c>
      <c r="L29" s="379">
        <f ca="1">K29*Inputs!$C$11</f>
        <v>23777.220747486237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2.4192398092923848</v>
      </c>
      <c r="D30" s="269">
        <f t="shared" si="3"/>
        <v>3.6506301369863019</v>
      </c>
      <c r="E30" s="269">
        <f t="shared" si="8"/>
        <v>0.21937663469921531</v>
      </c>
      <c r="F30" s="269">
        <f t="shared" ca="1" si="5"/>
        <v>0.37274209060257135</v>
      </c>
      <c r="G30" s="269">
        <f t="shared" ca="1" si="5"/>
        <v>0.43401077680579403</v>
      </c>
      <c r="H30" s="269">
        <f>Calcs!H755</f>
        <v>1.9049142857142858</v>
      </c>
      <c r="I30" s="269">
        <f>IF(Inputs!$C$66=2,0,Outputs!I13)</f>
        <v>0</v>
      </c>
      <c r="J30" s="269">
        <f t="shared" si="6"/>
        <v>0</v>
      </c>
      <c r="K30" s="381">
        <f t="shared" ca="1" si="7"/>
        <v>9.0009137341005534</v>
      </c>
      <c r="L30" s="379">
        <f ca="1">K30*Inputs!$C$11</f>
        <v>20648.096106026671</v>
      </c>
      <c r="O30" s="313" t="s">
        <v>696</v>
      </c>
      <c r="P30" s="313"/>
      <c r="Q30" s="325">
        <f>Calcs!C821</f>
        <v>392.93168122390477</v>
      </c>
      <c r="R30" s="312" t="s">
        <v>589</v>
      </c>
      <c r="S30" s="325">
        <f>Q30*Calcs!$N$23/Calcs!$N$20</f>
        <v>124.55868699553346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0.54801649670993025</v>
      </c>
      <c r="D31" s="269">
        <f t="shared" si="3"/>
        <v>3.7723178082191784</v>
      </c>
      <c r="E31" s="269">
        <f t="shared" si="8"/>
        <v>0.22668918918918918</v>
      </c>
      <c r="F31" s="269">
        <f t="shared" ca="1" si="5"/>
        <v>0.14344401544401542</v>
      </c>
      <c r="G31" s="269">
        <f t="shared" ca="1" si="5"/>
        <v>0.10188879128401618</v>
      </c>
      <c r="H31" s="269">
        <f>Calcs!H756</f>
        <v>1.9684114285714289</v>
      </c>
      <c r="I31" s="269">
        <f>IF(Inputs!$C$66=2,0,Outputs!I14)</f>
        <v>0</v>
      </c>
      <c r="J31" s="269">
        <f t="shared" si="6"/>
        <v>0</v>
      </c>
      <c r="K31" s="381">
        <f t="shared" ca="1" si="7"/>
        <v>6.7607677294177577</v>
      </c>
      <c r="L31" s="379">
        <f ca="1">K31*Inputs!$C$11</f>
        <v>15509.201171284336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2.5045144754969554E-2</v>
      </c>
      <c r="D32" s="269">
        <f t="shared" si="3"/>
        <v>3.6506301369863019</v>
      </c>
      <c r="E32" s="269">
        <f t="shared" si="8"/>
        <v>0.21937663469921531</v>
      </c>
      <c r="F32" s="269">
        <f t="shared" ca="1" si="5"/>
        <v>0.13881678913936973</v>
      </c>
      <c r="G32" s="269">
        <f t="shared" ca="1" si="5"/>
        <v>0.14250313166344278</v>
      </c>
      <c r="H32" s="269">
        <f>Calcs!H757</f>
        <v>1.9049142857142858</v>
      </c>
      <c r="I32" s="269">
        <f>IF(Inputs!$C$66=2,0,Outputs!I15)</f>
        <v>0</v>
      </c>
      <c r="J32" s="269">
        <f t="shared" si="6"/>
        <v>0</v>
      </c>
      <c r="K32" s="381">
        <f t="shared" ca="1" si="7"/>
        <v>6.081286122957585</v>
      </c>
      <c r="L32" s="379">
        <f ca="1">K32*Inputs!$C$11</f>
        <v>13950.470366064699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2.6019678840167666E-3</v>
      </c>
      <c r="D33" s="269">
        <f t="shared" si="3"/>
        <v>3.7723178082191784</v>
      </c>
      <c r="E33" s="269">
        <f t="shared" si="8"/>
        <v>0.22668918918918918</v>
      </c>
      <c r="F33" s="269">
        <f t="shared" ca="1" si="5"/>
        <v>0.30951119157459756</v>
      </c>
      <c r="G33" s="269">
        <f t="shared" ca="1" si="5"/>
        <v>0.41942972277801027</v>
      </c>
      <c r="H33" s="269">
        <f>Calcs!H758</f>
        <v>1.9684114285714289</v>
      </c>
      <c r="I33" s="269">
        <f>IF(Inputs!$C$66=2,0,Outputs!I16)</f>
        <v>0</v>
      </c>
      <c r="J33" s="269">
        <f t="shared" si="6"/>
        <v>0</v>
      </c>
      <c r="K33" s="381">
        <f t="shared" ca="1" si="7"/>
        <v>6.698961308216421</v>
      </c>
      <c r="L33" s="379">
        <f ca="1">K33*Inputs!$C$11</f>
        <v>15367.41724104847</v>
      </c>
      <c r="O33" s="314" t="s">
        <v>693</v>
      </c>
      <c r="P33" s="313"/>
      <c r="Q33" s="285">
        <f ca="1">Q6/Q28</f>
        <v>0.66133946870379423</v>
      </c>
      <c r="R33" s="313"/>
      <c r="S33" s="285">
        <f ca="1">Q33</f>
        <v>0.66133946870379423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15.946350707580217</v>
      </c>
      <c r="D34" s="272">
        <f>SUM(D22:D33)</f>
        <v>44.416000000000004</v>
      </c>
      <c r="E34" s="272">
        <f t="shared" si="10"/>
        <v>2.6690823888404531</v>
      </c>
      <c r="F34" s="272">
        <f ca="1">SUM(F22:F33)</f>
        <v>3.7120025207390057</v>
      </c>
      <c r="G34" s="272">
        <f ca="1">SUM(G22:G33)</f>
        <v>4.4320000000000004</v>
      </c>
      <c r="H34" s="272">
        <f t="shared" si="10"/>
        <v>23.176457142857146</v>
      </c>
      <c r="I34" s="272">
        <f t="shared" si="10"/>
        <v>0</v>
      </c>
      <c r="J34" s="272">
        <f>SUM(J22:J33)</f>
        <v>0</v>
      </c>
      <c r="K34" s="382">
        <f ca="1">SUM(K22:K33)</f>
        <v>94.35189276001681</v>
      </c>
      <c r="L34" s="383">
        <f ca="1">K34*Inputs!$C$11</f>
        <v>216443.24199147857</v>
      </c>
      <c r="O34" s="314" t="s">
        <v>691</v>
      </c>
      <c r="P34" s="313"/>
      <c r="Q34" s="285">
        <f ca="1">Q9/Q29</f>
        <v>0.72956645951113552</v>
      </c>
      <c r="R34" s="313"/>
      <c r="S34" s="285">
        <f t="shared" ref="S34:S35" ca="1" si="11">Q34</f>
        <v>0.72956645951113552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0.95130829317819188</v>
      </c>
      <c r="R35" s="313"/>
      <c r="S35" s="285">
        <f t="shared" ca="1" si="11"/>
        <v>0.95130829317819188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13.773896767265091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0.71803609774157728</v>
      </c>
      <c r="J39" s="269"/>
      <c r="K39" s="381">
        <f t="shared" ref="K39:K50" ca="1" si="13">SUM(B39:I39)-J39</f>
        <v>14.491932865006669</v>
      </c>
      <c r="L39" s="379">
        <f ca="1">K39*Inputs!$C$11</f>
        <v>33244.493992325297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9.8510983855144847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0.6485487334440051</v>
      </c>
      <c r="J40" s="269"/>
      <c r="K40" s="381">
        <f t="shared" ca="1" si="13"/>
        <v>10.499647118958491</v>
      </c>
      <c r="L40" s="379">
        <f ca="1">K40*Inputs!$C$11</f>
        <v>24086.190490890778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3.9350850386565188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0.71803609774157728</v>
      </c>
      <c r="J41" s="269"/>
      <c r="K41" s="381">
        <f t="shared" ca="1" si="13"/>
        <v>4.653121136398096</v>
      </c>
      <c r="L41" s="379">
        <f ca="1">K41*Inputs!$C$11</f>
        <v>10674.259886897233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0.16812227717174641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0.69487364297571985</v>
      </c>
      <c r="J42" s="269"/>
      <c r="K42" s="381">
        <f t="shared" ca="1" si="13"/>
        <v>0.86299592014746629</v>
      </c>
      <c r="L42" s="379">
        <f ca="1">K42*Inputs!$C$11</f>
        <v>1979.7126408182876</v>
      </c>
    </row>
    <row r="43" spans="1:20" ht="13.5" customHeight="1" x14ac:dyDescent="0.2">
      <c r="A43" s="9" t="s">
        <v>118</v>
      </c>
      <c r="B43" s="269">
        <f ca="1">Calcs!F562/Calcs!$C$2/Calcs!$N$22</f>
        <v>1.29013030791558E-4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0.71803609774157728</v>
      </c>
      <c r="J43" s="269"/>
      <c r="K43" s="381">
        <f t="shared" ca="1" si="13"/>
        <v>0.71816511077236889</v>
      </c>
      <c r="L43" s="379">
        <f ca="1">K43*Inputs!$C$11</f>
        <v>1647.4707641118143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0.69487364297571985</v>
      </c>
      <c r="J44" s="269"/>
      <c r="K44" s="381">
        <f t="shared" ca="1" si="13"/>
        <v>0.69487364297571985</v>
      </c>
      <c r="L44" s="379">
        <f ca="1">K44*Inputs!$C$11</f>
        <v>1594.0401369863014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0.71803609774157728</v>
      </c>
      <c r="J45" s="269"/>
      <c r="K45" s="381">
        <f t="shared" ca="1" si="13"/>
        <v>0.71803609774157728</v>
      </c>
      <c r="L45" s="379">
        <f ca="1">K45*Inputs!$C$11</f>
        <v>1647.1748082191782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0.71803609774157728</v>
      </c>
      <c r="J46" s="269"/>
      <c r="K46" s="381">
        <f t="shared" ca="1" si="13"/>
        <v>0.71803609774157728</v>
      </c>
      <c r="L46" s="379">
        <f ca="1">K46*Inputs!$C$11</f>
        <v>1647.1748082191782</v>
      </c>
    </row>
    <row r="47" spans="1:20" ht="13.5" customHeight="1" x14ac:dyDescent="0.2">
      <c r="A47" s="9" t="s">
        <v>122</v>
      </c>
      <c r="B47" s="269">
        <f ca="1">Calcs!F566/Calcs!$C$2/Calcs!$N$22</f>
        <v>1.9060082885855332E-7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0.69487364297571985</v>
      </c>
      <c r="J47" s="269"/>
      <c r="K47" s="381">
        <f t="shared" ca="1" si="13"/>
        <v>0.69487383357654875</v>
      </c>
      <c r="L47" s="379">
        <f ca="1">K47*Inputs!$C$11</f>
        <v>1594.0405742246028</v>
      </c>
    </row>
    <row r="48" spans="1:20" ht="13.5" customHeight="1" x14ac:dyDescent="0.2">
      <c r="A48" s="9" t="s">
        <v>123</v>
      </c>
      <c r="B48" s="269">
        <f ca="1">Calcs!F567/Calcs!$C$2/Calcs!$N$22</f>
        <v>9.8076227072644198E-2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0.71803609774157728</v>
      </c>
      <c r="J48" s="269"/>
      <c r="K48" s="381">
        <f t="shared" ca="1" si="13"/>
        <v>0.81611232481422147</v>
      </c>
      <c r="L48" s="379">
        <f ca="1">K48*Inputs!$C$11</f>
        <v>1872.1616731238241</v>
      </c>
    </row>
    <row r="49" spans="1:12" ht="13.5" customHeight="1" x14ac:dyDescent="0.2">
      <c r="A49" s="9" t="s">
        <v>124</v>
      </c>
      <c r="B49" s="269">
        <f ca="1">Calcs!F568/Calcs!$C$2/Calcs!$N$22</f>
        <v>3.7863406155290402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0.69487364297571985</v>
      </c>
      <c r="J49" s="269"/>
      <c r="K49" s="381">
        <f t="shared" ca="1" si="13"/>
        <v>4.4812142585047603</v>
      </c>
      <c r="L49" s="379">
        <f ca="1">K49*Inputs!$C$11</f>
        <v>10279.905509009921</v>
      </c>
    </row>
    <row r="50" spans="1:12" ht="13.5" customHeight="1" x14ac:dyDescent="0.2">
      <c r="A50" s="9" t="s">
        <v>125</v>
      </c>
      <c r="B50" s="269">
        <f ca="1">Calcs!F569/Calcs!$C$2/Calcs!$N$22</f>
        <v>11.494354637831227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0.71803609774157728</v>
      </c>
      <c r="J50" s="269"/>
      <c r="K50" s="381">
        <f t="shared" ca="1" si="13"/>
        <v>12.212390735572805</v>
      </c>
      <c r="L50" s="379">
        <f ca="1">K50*Inputs!$C$11</f>
        <v>28015.224347404015</v>
      </c>
    </row>
    <row r="51" spans="1:12" ht="13.5" customHeight="1" x14ac:dyDescent="0.2">
      <c r="A51" s="9" t="s">
        <v>178</v>
      </c>
      <c r="B51" s="272">
        <f ca="1">SUM(B39:B50)</f>
        <v>43.107103152672373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8.4542959895379255</v>
      </c>
      <c r="J51" s="272">
        <f t="shared" si="14"/>
        <v>0</v>
      </c>
      <c r="K51" s="382">
        <f ca="1">SUM(K39:K50)</f>
        <v>51.561399142210298</v>
      </c>
      <c r="L51" s="383">
        <f ca="1">K51*Inputs!$C$11</f>
        <v>118281.84963223043</v>
      </c>
    </row>
  </sheetData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2294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0.76525714285714275</v>
      </c>
      <c r="AB5" s="569">
        <f>O5*$F$18</f>
        <v>1.2754285714285714</v>
      </c>
      <c r="AC5" s="569">
        <f>O5*$G$18</f>
        <v>0.12754285714285712</v>
      </c>
      <c r="AD5" s="569">
        <f>O5*$H$18</f>
        <v>0.5101714285714285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-3.5145161290322586</v>
      </c>
      <c r="CS5" s="584">
        <f t="shared" ref="CS5:CS16" ca="1" si="1">SUMPRODUCT($BP$19:$CM$19,AR5:BO5)/SUM($BP$19:$CM$19)</f>
        <v>-5.212674731182795</v>
      </c>
      <c r="CT5" s="510"/>
      <c r="CU5" s="584">
        <f t="shared" ref="CU5:CU16" ca="1" si="2">SUMPRODUCT($BP$18:$CM$18,BP5:CM5)/SUM($BP$18:$CM$18)</f>
        <v>205.31048387096772</v>
      </c>
      <c r="CV5" s="584">
        <f t="shared" ref="CV5:CV16" ca="1" si="3">SUMPRODUCT($BP$19:$CM$19,BP5:CM5)/SUM($BP$19:$CM$19)</f>
        <v>7.592741935483871</v>
      </c>
      <c r="CW5" s="584">
        <f t="shared" ref="CW5:CW16" ca="1" si="4">$CU5*AA5</f>
        <v>157.11531428571425</v>
      </c>
      <c r="CX5" s="584">
        <f t="shared" ref="CX5:CX16" ca="1" si="5">$CV5*AB5</f>
        <v>9.6839999999999993</v>
      </c>
      <c r="CY5" s="584">
        <f t="shared" ref="CY5:CY16" ca="1" si="6">$CU5*AC5</f>
        <v>26.185885714285707</v>
      </c>
      <c r="CZ5" s="584">
        <f t="shared" ref="CZ5:CZ16" ca="1" si="7">$CV5*AD5</f>
        <v>3.8735999999999993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0.79811171400879344</v>
      </c>
      <c r="DD5" s="569">
        <f t="shared" ref="DD5:DD16" ca="1" si="10">CX5/$DA5</f>
        <v>4.9192619278386342E-2</v>
      </c>
      <c r="DE5" s="569">
        <f t="shared" ref="DE5:DE16" ca="1" si="11">CY5/$DA5</f>
        <v>0.13301861900146558</v>
      </c>
      <c r="DF5" s="569">
        <f t="shared" ref="DF5:DF16" ca="1" si="12">CZ5/$DA5</f>
        <v>1.9677047711354534E-2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10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0.69119999999999993</v>
      </c>
      <c r="AB6" s="569">
        <f t="shared" ref="AB6:AB16" si="14">O6*$F$18</f>
        <v>1.1519999999999999</v>
      </c>
      <c r="AC6" s="569">
        <f t="shared" ref="AC6:AC16" si="15">O6*$G$18</f>
        <v>0.1152</v>
      </c>
      <c r="AD6" s="569">
        <f t="shared" ref="AD6:AD16" si="16">O6*$H$18</f>
        <v>0.46079999999999999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-1.2660714285714285</v>
      </c>
      <c r="CS6" s="584">
        <f t="shared" ca="1" si="1"/>
        <v>-3.1607142857142865</v>
      </c>
      <c r="CT6" s="510"/>
      <c r="CU6" s="584">
        <f t="shared" ca="1" si="2"/>
        <v>279.42857142857144</v>
      </c>
      <c r="CV6" s="584">
        <f t="shared" ca="1" si="3"/>
        <v>16.120535714285715</v>
      </c>
      <c r="CW6" s="584">
        <f t="shared" ca="1" si="4"/>
        <v>193.14102857142856</v>
      </c>
      <c r="CX6" s="584">
        <f t="shared" ca="1" si="5"/>
        <v>18.570857142857143</v>
      </c>
      <c r="CY6" s="584">
        <f t="shared" ca="1" si="6"/>
        <v>32.190171428571432</v>
      </c>
      <c r="CZ6" s="584">
        <f t="shared" ca="1" si="7"/>
        <v>7.4283428571428578</v>
      </c>
      <c r="DA6" s="691">
        <f t="shared" ca="1" si="8"/>
        <v>251.3304</v>
      </c>
      <c r="DB6" s="539"/>
      <c r="DC6" s="569">
        <f t="shared" ca="1" si="9"/>
        <v>0.76847459985512523</v>
      </c>
      <c r="DD6" s="569">
        <f t="shared" ca="1" si="10"/>
        <v>7.389021440644325E-2</v>
      </c>
      <c r="DE6" s="569">
        <f t="shared" ca="1" si="11"/>
        <v>0.12807909997585423</v>
      </c>
      <c r="DF6" s="569">
        <f t="shared" ca="1" si="12"/>
        <v>2.9556085762577299E-2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6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0.76525714285714275</v>
      </c>
      <c r="AB7" s="569">
        <f t="shared" si="14"/>
        <v>1.2754285714285714</v>
      </c>
      <c r="AC7" s="569">
        <f t="shared" si="15"/>
        <v>0.12754285714285712</v>
      </c>
      <c r="AD7" s="569">
        <f t="shared" si="16"/>
        <v>0.5101714285714285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5.780241935483871</v>
      </c>
      <c r="CS7" s="584">
        <f t="shared" ca="1" si="1"/>
        <v>2.8473790322580643</v>
      </c>
      <c r="CT7" s="510"/>
      <c r="CU7" s="584">
        <f t="shared" ca="1" si="2"/>
        <v>374.14516129032256</v>
      </c>
      <c r="CV7" s="584">
        <f t="shared" ca="1" si="3"/>
        <v>27.9375</v>
      </c>
      <c r="CW7" s="584">
        <f t="shared" ca="1" si="4"/>
        <v>286.3172571428571</v>
      </c>
      <c r="CX7" s="584">
        <f t="shared" ca="1" si="5"/>
        <v>35.632285714285715</v>
      </c>
      <c r="CY7" s="584">
        <f t="shared" ca="1" si="6"/>
        <v>47.719542857142848</v>
      </c>
      <c r="CZ7" s="584">
        <f t="shared" ca="1" si="7"/>
        <v>14.252914285714283</v>
      </c>
      <c r="DA7" s="691">
        <f t="shared" ca="1" si="8"/>
        <v>383.92199999999997</v>
      </c>
      <c r="DB7" s="539"/>
      <c r="DC7" s="569">
        <f t="shared" ca="1" si="9"/>
        <v>0.74576934154035746</v>
      </c>
      <c r="DD7" s="569">
        <f t="shared" ca="1" si="10"/>
        <v>9.2811263002083019E-2</v>
      </c>
      <c r="DE7" s="569">
        <f t="shared" ca="1" si="11"/>
        <v>0.12429489025672624</v>
      </c>
      <c r="DF7" s="569">
        <f t="shared" ca="1" si="12"/>
        <v>3.7124505200833199E-2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8</v>
      </c>
      <c r="E8" s="510"/>
      <c r="F8" s="531" t="s">
        <v>93</v>
      </c>
      <c r="G8" s="532">
        <f>IF(G7-G6&lt;0,7+(G7-G6),G7-G6)</f>
        <v>6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0.74057142857142855</v>
      </c>
      <c r="AB8" s="569">
        <f t="shared" si="14"/>
        <v>1.2342857142857142</v>
      </c>
      <c r="AC8" s="569">
        <f t="shared" si="15"/>
        <v>0.12342857142857143</v>
      </c>
      <c r="AD8" s="569">
        <f t="shared" si="16"/>
        <v>0.49371428571428572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11.669583333333335</v>
      </c>
      <c r="CS8" s="584">
        <f t="shared" ca="1" si="1"/>
        <v>9.0731249999999992</v>
      </c>
      <c r="CT8" s="510"/>
      <c r="CU8" s="584">
        <f t="shared" ca="1" si="2"/>
        <v>453.60833333333335</v>
      </c>
      <c r="CV8" s="584">
        <f t="shared" ca="1" si="3"/>
        <v>47.829166666666666</v>
      </c>
      <c r="CW8" s="584">
        <f t="shared" ca="1" si="4"/>
        <v>335.92937142857141</v>
      </c>
      <c r="CX8" s="584">
        <f t="shared" ca="1" si="5"/>
        <v>59.034857142857135</v>
      </c>
      <c r="CY8" s="584">
        <f t="shared" ca="1" si="6"/>
        <v>55.988228571428571</v>
      </c>
      <c r="CZ8" s="584">
        <f t="shared" ca="1" si="7"/>
        <v>23.613942857142856</v>
      </c>
      <c r="DA8" s="691">
        <f t="shared" ca="1" si="8"/>
        <v>474.56639999999993</v>
      </c>
      <c r="DB8" s="539"/>
      <c r="DC8" s="569">
        <f t="shared" ca="1" si="9"/>
        <v>0.70786589912090592</v>
      </c>
      <c r="DD8" s="569">
        <f t="shared" ca="1" si="10"/>
        <v>0.1243974650182928</v>
      </c>
      <c r="DE8" s="569">
        <f t="shared" ca="1" si="11"/>
        <v>0.11797764985348431</v>
      </c>
      <c r="DF8" s="569">
        <f t="shared" ca="1" si="12"/>
        <v>4.9758986007317117E-2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0.76525714285714275</v>
      </c>
      <c r="AB9" s="569">
        <f t="shared" si="14"/>
        <v>1.2754285714285714</v>
      </c>
      <c r="AC9" s="569">
        <f t="shared" si="15"/>
        <v>0.12754285714285712</v>
      </c>
      <c r="AD9" s="569">
        <f t="shared" si="16"/>
        <v>0.5101714285714285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19.304838709677416</v>
      </c>
      <c r="CS9" s="584">
        <f t="shared" ca="1" si="1"/>
        <v>13.293346774193546</v>
      </c>
      <c r="CT9" s="510"/>
      <c r="CU9" s="584">
        <f t="shared" ca="1" si="2"/>
        <v>602.35080645161281</v>
      </c>
      <c r="CV9" s="584">
        <f t="shared" ca="1" si="3"/>
        <v>72.316532258064512</v>
      </c>
      <c r="CW9" s="584">
        <f t="shared" ca="1" si="4"/>
        <v>460.95325714285701</v>
      </c>
      <c r="CX9" s="584">
        <f t="shared" ca="1" si="5"/>
        <v>92.234571428571414</v>
      </c>
      <c r="CY9" s="584">
        <f t="shared" ca="1" si="6"/>
        <v>76.825542857142835</v>
      </c>
      <c r="CZ9" s="584">
        <f t="shared" ca="1" si="7"/>
        <v>36.893828571428564</v>
      </c>
      <c r="DA9" s="691">
        <f t="shared" ca="1" si="8"/>
        <v>666.90719999999988</v>
      </c>
      <c r="DB9" s="539"/>
      <c r="DC9" s="569">
        <f t="shared" ca="1" si="9"/>
        <v>0.69118050778707607</v>
      </c>
      <c r="DD9" s="569">
        <f t="shared" ca="1" si="10"/>
        <v>0.13830195779648419</v>
      </c>
      <c r="DE9" s="569">
        <f t="shared" ca="1" si="11"/>
        <v>0.11519675129784601</v>
      </c>
      <c r="DF9" s="569">
        <f t="shared" ca="1" si="12"/>
        <v>5.5320783118593668E-2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9.5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0.74057142857142855</v>
      </c>
      <c r="AB10" s="569">
        <f t="shared" si="14"/>
        <v>1.2342857142857142</v>
      </c>
      <c r="AC10" s="569">
        <f t="shared" si="15"/>
        <v>0.12342857142857143</v>
      </c>
      <c r="AD10" s="569">
        <f t="shared" si="16"/>
        <v>0.49371428571428572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24.084166666666668</v>
      </c>
      <c r="CS10" s="584">
        <f t="shared" ca="1" si="1"/>
        <v>19.622916666666665</v>
      </c>
      <c r="CT10" s="510"/>
      <c r="CU10" s="584">
        <f t="shared" ca="1" si="2"/>
        <v>612.625</v>
      </c>
      <c r="CV10" s="584">
        <f t="shared" ca="1" si="3"/>
        <v>87.031249999999986</v>
      </c>
      <c r="CW10" s="584">
        <f t="shared" ca="1" si="4"/>
        <v>453.6925714285714</v>
      </c>
      <c r="CX10" s="584">
        <f t="shared" ca="1" si="5"/>
        <v>107.42142857142855</v>
      </c>
      <c r="CY10" s="584">
        <f t="shared" ca="1" si="6"/>
        <v>75.615428571428566</v>
      </c>
      <c r="CZ10" s="584">
        <f t="shared" ca="1" si="7"/>
        <v>42.968571428571423</v>
      </c>
      <c r="DA10" s="691">
        <f t="shared" ca="1" si="8"/>
        <v>679.69799999999987</v>
      </c>
      <c r="DB10" s="539"/>
      <c r="DC10" s="569">
        <f t="shared" ca="1" si="9"/>
        <v>0.66749140269439</v>
      </c>
      <c r="DD10" s="569">
        <f t="shared" ca="1" si="10"/>
        <v>0.15804287870705602</v>
      </c>
      <c r="DE10" s="569">
        <f t="shared" ca="1" si="11"/>
        <v>0.11124856711573167</v>
      </c>
      <c r="DF10" s="569">
        <f t="shared" ca="1" si="12"/>
        <v>6.321715148282242E-2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241.47368421052633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0.76525714285714275</v>
      </c>
      <c r="AB11" s="569">
        <f t="shared" si="14"/>
        <v>1.2754285714285714</v>
      </c>
      <c r="AC11" s="569">
        <f t="shared" si="15"/>
        <v>0.12754285714285712</v>
      </c>
      <c r="AD11" s="569">
        <f t="shared" si="16"/>
        <v>0.5101714285714285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26.894758064516125</v>
      </c>
      <c r="CS11" s="584">
        <f t="shared" ca="1" si="1"/>
        <v>22.746975806451616</v>
      </c>
      <c r="CT11" s="510"/>
      <c r="CU11" s="584">
        <f t="shared" ca="1" si="2"/>
        <v>608.32258064516122</v>
      </c>
      <c r="CV11" s="584">
        <f t="shared" ca="1" si="3"/>
        <v>81.887096774193537</v>
      </c>
      <c r="CW11" s="584">
        <f t="shared" ca="1" si="4"/>
        <v>465.52319999999986</v>
      </c>
      <c r="CX11" s="584">
        <f t="shared" ca="1" si="5"/>
        <v>104.44114285714284</v>
      </c>
      <c r="CY11" s="584">
        <f t="shared" ca="1" si="6"/>
        <v>77.587199999999982</v>
      </c>
      <c r="CZ11" s="584">
        <f t="shared" ca="1" si="7"/>
        <v>41.776457142857133</v>
      </c>
      <c r="DA11" s="691">
        <f t="shared" ca="1" si="8"/>
        <v>689.32799999999975</v>
      </c>
      <c r="DB11" s="539"/>
      <c r="DC11" s="569">
        <f t="shared" ca="1" si="9"/>
        <v>0.67532901608523088</v>
      </c>
      <c r="DD11" s="569">
        <f t="shared" ca="1" si="10"/>
        <v>0.1515115342146886</v>
      </c>
      <c r="DE11" s="569">
        <f t="shared" ca="1" si="11"/>
        <v>0.11255483601420516</v>
      </c>
      <c r="DF11" s="569">
        <f t="shared" ca="1" si="12"/>
        <v>6.0604613685875441E-2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0.76525714285714275</v>
      </c>
      <c r="AB12" s="569">
        <f t="shared" si="14"/>
        <v>1.2754285714285714</v>
      </c>
      <c r="AC12" s="569">
        <f t="shared" si="15"/>
        <v>0.12754285714285712</v>
      </c>
      <c r="AD12" s="569">
        <f t="shared" si="16"/>
        <v>0.5101714285714285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24.656854838709677</v>
      </c>
      <c r="CS12" s="584">
        <f t="shared" ca="1" si="1"/>
        <v>20.342137096774191</v>
      </c>
      <c r="CT12" s="510"/>
      <c r="CU12" s="584">
        <f t="shared" ca="1" si="2"/>
        <v>523.52016129032256</v>
      </c>
      <c r="CV12" s="584">
        <f t="shared" ca="1" si="3"/>
        <v>60.828629032258057</v>
      </c>
      <c r="CW12" s="584">
        <f t="shared" ca="1" si="4"/>
        <v>400.62754285714277</v>
      </c>
      <c r="CX12" s="584">
        <f t="shared" ca="1" si="5"/>
        <v>77.582571428571413</v>
      </c>
      <c r="CY12" s="584">
        <f t="shared" ca="1" si="6"/>
        <v>66.771257142857138</v>
      </c>
      <c r="CZ12" s="584">
        <f t="shared" ca="1" si="7"/>
        <v>31.033028571428563</v>
      </c>
      <c r="DA12" s="691">
        <f t="shared" ca="1" si="8"/>
        <v>576.01439999999991</v>
      </c>
      <c r="DB12" s="539"/>
      <c r="DC12" s="569">
        <f t="shared" ca="1" si="9"/>
        <v>0.69551654065791213</v>
      </c>
      <c r="DD12" s="569">
        <f t="shared" ca="1" si="10"/>
        <v>0.13468859707078751</v>
      </c>
      <c r="DE12" s="569">
        <f t="shared" ca="1" si="11"/>
        <v>0.11591942344298536</v>
      </c>
      <c r="DF12" s="569">
        <f t="shared" ca="1" si="12"/>
        <v>5.3875438828314998E-2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0.74057142857142855</v>
      </c>
      <c r="AB13" s="569">
        <f t="shared" si="14"/>
        <v>1.2342857142857142</v>
      </c>
      <c r="AC13" s="569">
        <f t="shared" si="15"/>
        <v>0.12342857142857143</v>
      </c>
      <c r="AD13" s="569">
        <f t="shared" si="16"/>
        <v>0.49371428571428572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21.252916666666668</v>
      </c>
      <c r="CS13" s="584">
        <f t="shared" ca="1" si="1"/>
        <v>16.586666666666666</v>
      </c>
      <c r="CT13" s="510"/>
      <c r="CU13" s="584">
        <f t="shared" ca="1" si="2"/>
        <v>451.49166666666667</v>
      </c>
      <c r="CV13" s="584">
        <f t="shared" ca="1" si="3"/>
        <v>36.293749999999996</v>
      </c>
      <c r="CW13" s="584">
        <f t="shared" ca="1" si="4"/>
        <v>334.36182857142859</v>
      </c>
      <c r="CX13" s="584">
        <f t="shared" ca="1" si="5"/>
        <v>44.796857142857135</v>
      </c>
      <c r="CY13" s="584">
        <f t="shared" ca="1" si="6"/>
        <v>55.726971428571431</v>
      </c>
      <c r="CZ13" s="584">
        <f t="shared" ca="1" si="7"/>
        <v>17.918742857142856</v>
      </c>
      <c r="DA13" s="691">
        <f t="shared" ca="1" si="8"/>
        <v>452.80440000000004</v>
      </c>
      <c r="DB13" s="539"/>
      <c r="DC13" s="569">
        <f t="shared" ca="1" si="9"/>
        <v>0.73842442469955805</v>
      </c>
      <c r="DD13" s="569">
        <f t="shared" ca="1" si="10"/>
        <v>9.8932027036082532E-2</v>
      </c>
      <c r="DE13" s="569">
        <f t="shared" ca="1" si="11"/>
        <v>0.12307073744992635</v>
      </c>
      <c r="DF13" s="569">
        <f t="shared" ca="1" si="12"/>
        <v>3.9572810814433021E-2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0.76525714285714275</v>
      </c>
      <c r="AB14" s="569">
        <f t="shared" si="14"/>
        <v>1.2754285714285714</v>
      </c>
      <c r="AC14" s="569">
        <f t="shared" si="15"/>
        <v>0.12754285714285712</v>
      </c>
      <c r="AD14" s="569">
        <f t="shared" si="16"/>
        <v>0.5101714285714285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13.762903225806451</v>
      </c>
      <c r="CS14" s="584">
        <f t="shared" ca="1" si="1"/>
        <v>9.5933467741935488</v>
      </c>
      <c r="CT14" s="510"/>
      <c r="CU14" s="584">
        <f t="shared" ca="1" si="2"/>
        <v>337.22580645161293</v>
      </c>
      <c r="CV14" s="584">
        <f t="shared" ca="1" si="3"/>
        <v>15.211693548387098</v>
      </c>
      <c r="CW14" s="584">
        <f t="shared" ca="1" si="4"/>
        <v>258.06445714285712</v>
      </c>
      <c r="CX14" s="584">
        <f t="shared" ca="1" si="5"/>
        <v>19.401428571428571</v>
      </c>
      <c r="CY14" s="584">
        <f t="shared" ca="1" si="6"/>
        <v>43.010742857142851</v>
      </c>
      <c r="CZ14" s="584">
        <f t="shared" ca="1" si="7"/>
        <v>7.7605714285714278</v>
      </c>
      <c r="DA14" s="691">
        <f t="shared" ca="1" si="8"/>
        <v>328.23720000000003</v>
      </c>
      <c r="DB14" s="539"/>
      <c r="DC14" s="569">
        <f t="shared" ca="1" si="9"/>
        <v>0.78621331507476022</v>
      </c>
      <c r="DD14" s="569">
        <f t="shared" ca="1" si="10"/>
        <v>5.9107951723413953E-2</v>
      </c>
      <c r="DE14" s="569">
        <f t="shared" ca="1" si="11"/>
        <v>0.13103555251246005</v>
      </c>
      <c r="DF14" s="569">
        <f t="shared" ca="1" si="12"/>
        <v>2.3643180689365578E-2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6</v>
      </c>
      <c r="F15" s="508">
        <f>E15-1</f>
        <v>5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0.74057142857142855</v>
      </c>
      <c r="AB15" s="569">
        <f t="shared" si="14"/>
        <v>1.2342857142857142</v>
      </c>
      <c r="AC15" s="569">
        <f t="shared" si="15"/>
        <v>0.12342857142857143</v>
      </c>
      <c r="AD15" s="569">
        <f t="shared" si="16"/>
        <v>0.49371428571428572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6.0645833333333323</v>
      </c>
      <c r="CS15" s="584">
        <f t="shared" ca="1" si="1"/>
        <v>4.0766666666666662</v>
      </c>
      <c r="CT15" s="510"/>
      <c r="CU15" s="584">
        <f t="shared" ca="1" si="2"/>
        <v>216.41666666666666</v>
      </c>
      <c r="CV15" s="584">
        <f t="shared" ca="1" si="3"/>
        <v>5.4562499999999998</v>
      </c>
      <c r="CW15" s="584">
        <f t="shared" ca="1" si="4"/>
        <v>160.27199999999999</v>
      </c>
      <c r="CX15" s="584">
        <f t="shared" ca="1" si="5"/>
        <v>6.734571428571428</v>
      </c>
      <c r="CY15" s="584">
        <f t="shared" ca="1" si="6"/>
        <v>26.712</v>
      </c>
      <c r="CZ15" s="584">
        <f t="shared" ca="1" si="7"/>
        <v>2.6938285714285715</v>
      </c>
      <c r="DA15" s="691">
        <f t="shared" ca="1" si="8"/>
        <v>196.41239999999999</v>
      </c>
      <c r="DB15" s="539"/>
      <c r="DC15" s="569">
        <f t="shared" ca="1" si="9"/>
        <v>0.81599736065543726</v>
      </c>
      <c r="DD15" s="569">
        <f t="shared" ca="1" si="10"/>
        <v>3.428791373951659E-2</v>
      </c>
      <c r="DE15" s="569">
        <f t="shared" ca="1" si="11"/>
        <v>0.13599956010923955</v>
      </c>
      <c r="DF15" s="569">
        <f t="shared" ca="1" si="12"/>
        <v>1.3715165495806637E-2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8</v>
      </c>
      <c r="F16" s="511">
        <f>24-E16</f>
        <v>16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0.76525714285714275</v>
      </c>
      <c r="AB16" s="569">
        <f t="shared" si="14"/>
        <v>1.2754285714285714</v>
      </c>
      <c r="AC16" s="569">
        <f t="shared" si="15"/>
        <v>0.12754285714285712</v>
      </c>
      <c r="AD16" s="569">
        <f t="shared" si="16"/>
        <v>0.5101714285714285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-2.3681451612903222</v>
      </c>
      <c r="CS16" s="584">
        <f t="shared" ca="1" si="1"/>
        <v>-4.3293346774193555</v>
      </c>
      <c r="CT16" s="510"/>
      <c r="CU16" s="584">
        <f t="shared" ca="1" si="2"/>
        <v>179.66129032258061</v>
      </c>
      <c r="CV16" s="584">
        <f t="shared" ca="1" si="3"/>
        <v>4.169354838709677</v>
      </c>
      <c r="CW16" s="584">
        <f t="shared" ca="1" si="4"/>
        <v>137.48708571428566</v>
      </c>
      <c r="CX16" s="584">
        <f t="shared" ca="1" si="5"/>
        <v>5.3177142857142847</v>
      </c>
      <c r="CY16" s="584">
        <f t="shared" ca="1" si="6"/>
        <v>22.914514285714279</v>
      </c>
      <c r="CZ16" s="584">
        <f t="shared" ca="1" si="7"/>
        <v>2.1270857142857138</v>
      </c>
      <c r="DA16" s="691">
        <f t="shared" ca="1" si="8"/>
        <v>167.84639999999996</v>
      </c>
      <c r="DB16" s="539"/>
      <c r="DC16" s="569">
        <f t="shared" ca="1" si="9"/>
        <v>0.81912442396313345</v>
      </c>
      <c r="DD16" s="569">
        <f t="shared" ca="1" si="10"/>
        <v>3.1682027649769587E-2</v>
      </c>
      <c r="DE16" s="569">
        <f t="shared" ca="1" si="11"/>
        <v>0.13652073732718895</v>
      </c>
      <c r="DF16" s="569">
        <f t="shared" ca="1" si="12"/>
        <v>1.2672811059907835E-2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48</v>
      </c>
      <c r="F17" s="511">
        <f>F16*F15</f>
        <v>80</v>
      </c>
      <c r="G17" s="513">
        <f>(7-E15)*E16</f>
        <v>8</v>
      </c>
      <c r="H17" s="513">
        <f>I17-G17</f>
        <v>32</v>
      </c>
      <c r="I17" s="513">
        <f>D17-E17-F17</f>
        <v>40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0.2857142857142857</v>
      </c>
      <c r="F18" s="517">
        <f>F17/D17</f>
        <v>0.47619047619047616</v>
      </c>
      <c r="G18" s="517">
        <f>G17/D17</f>
        <v>4.7619047619047616E-2</v>
      </c>
      <c r="H18" s="517">
        <f>H17/D17</f>
        <v>0.19047619047619047</v>
      </c>
      <c r="I18" s="517">
        <f>I17/D17</f>
        <v>0.23809523809523808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0</v>
      </c>
      <c r="CF18" s="581">
        <f t="shared" si="17"/>
        <v>0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1</v>
      </c>
      <c r="CF19" s="581">
        <f>IF(AND(((BH4-8)&gt;=0),((BH4-8)&lt;Calcs!$E$16)),0,1)</f>
        <v>1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2.5263157894736841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1.1221052631578947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13.72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2800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88126.304000000004</v>
      </c>
      <c r="E47" s="536">
        <f>D34*C2</f>
        <v>13764</v>
      </c>
      <c r="F47" s="536">
        <f>D47+E47</f>
        <v>101890.304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7484.6997917808221</v>
      </c>
      <c r="E48" s="536">
        <f t="shared" si="18"/>
        <v>1168.9972602739726</v>
      </c>
      <c r="F48" s="536">
        <f t="shared" ref="F48:F59" si="19">D48+E48</f>
        <v>8653.6970520547948</v>
      </c>
      <c r="G48" s="539"/>
      <c r="H48" s="536">
        <f t="shared" ref="H48:H59" si="20">D48*$N$22</f>
        <v>27020.576865634735</v>
      </c>
      <c r="I48" s="536">
        <f t="shared" ref="I48:I59" si="21">E48*$N$22</f>
        <v>4220.2067157905149</v>
      </c>
      <c r="J48" s="750">
        <f t="shared" ref="J48:J59" si="22">H48+I48</f>
        <v>31240.78358142525</v>
      </c>
      <c r="K48" s="548"/>
      <c r="L48" s="555"/>
      <c r="M48" s="539" t="s">
        <v>671</v>
      </c>
      <c r="N48" s="558">
        <f>Inputs!C35</f>
        <v>1525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0.22668918918918918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6760.3740054794525</v>
      </c>
      <c r="E49" s="536">
        <f t="shared" si="18"/>
        <v>1055.868493150685</v>
      </c>
      <c r="F49" s="536">
        <f t="shared" si="19"/>
        <v>7816.2424986301376</v>
      </c>
      <c r="G49" s="539"/>
      <c r="H49" s="536">
        <f t="shared" si="20"/>
        <v>24405.682330250729</v>
      </c>
      <c r="I49" s="536">
        <f t="shared" si="21"/>
        <v>3811.7996142624006</v>
      </c>
      <c r="J49" s="750">
        <f t="shared" si="22"/>
        <v>28217.481944513129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0.20475152571926766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7484.6997917808221</v>
      </c>
      <c r="E50" s="536">
        <f t="shared" si="18"/>
        <v>1168.9972602739726</v>
      </c>
      <c r="F50" s="536">
        <f t="shared" si="19"/>
        <v>8653.6970520547948</v>
      </c>
      <c r="G50" s="539"/>
      <c r="H50" s="536">
        <f t="shared" si="20"/>
        <v>27020.576865634735</v>
      </c>
      <c r="I50" s="536">
        <f t="shared" si="21"/>
        <v>4220.2067157905149</v>
      </c>
      <c r="J50" s="750">
        <f t="shared" si="22"/>
        <v>31240.78358142525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0.22668918918918918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7243.2578630136986</v>
      </c>
      <c r="E51" s="536">
        <f t="shared" si="18"/>
        <v>1131.2876712328766</v>
      </c>
      <c r="F51" s="536">
        <f t="shared" si="19"/>
        <v>8374.5455342465757</v>
      </c>
      <c r="G51" s="539"/>
      <c r="H51" s="536">
        <f t="shared" si="20"/>
        <v>26148.945353840067</v>
      </c>
      <c r="I51" s="536">
        <f t="shared" si="21"/>
        <v>4084.071015281143</v>
      </c>
      <c r="J51" s="750">
        <f t="shared" si="22"/>
        <v>30233.016369121211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0.21937663469921531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7484.6997917808221</v>
      </c>
      <c r="E52" s="536">
        <f t="shared" si="18"/>
        <v>1168.9972602739726</v>
      </c>
      <c r="F52" s="536">
        <f t="shared" si="19"/>
        <v>8653.6970520547948</v>
      </c>
      <c r="G52" s="539"/>
      <c r="H52" s="536">
        <f t="shared" si="20"/>
        <v>27020.576865634735</v>
      </c>
      <c r="I52" s="536">
        <f t="shared" si="21"/>
        <v>4220.2067157905149</v>
      </c>
      <c r="J52" s="750">
        <f t="shared" si="22"/>
        <v>31240.78358142525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0.22668918918918918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7243.2578630136986</v>
      </c>
      <c r="E53" s="536">
        <f t="shared" si="18"/>
        <v>1131.2876712328766</v>
      </c>
      <c r="F53" s="536">
        <f t="shared" si="19"/>
        <v>8374.5455342465757</v>
      </c>
      <c r="G53" s="539"/>
      <c r="H53" s="536">
        <f t="shared" si="20"/>
        <v>26148.945353840067</v>
      </c>
      <c r="I53" s="536">
        <f t="shared" si="21"/>
        <v>4084.071015281143</v>
      </c>
      <c r="J53" s="750">
        <f t="shared" si="22"/>
        <v>30233.016369121211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0.21937663469921531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7484.6997917808221</v>
      </c>
      <c r="E54" s="536">
        <f t="shared" si="18"/>
        <v>1168.9972602739726</v>
      </c>
      <c r="F54" s="536">
        <f t="shared" si="19"/>
        <v>8653.6970520547948</v>
      </c>
      <c r="G54" s="539"/>
      <c r="H54" s="536">
        <f t="shared" si="20"/>
        <v>27020.576865634735</v>
      </c>
      <c r="I54" s="536">
        <f t="shared" si="21"/>
        <v>4220.2067157905149</v>
      </c>
      <c r="J54" s="750">
        <f t="shared" si="22"/>
        <v>31240.78358142525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0.22668918918918918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7484.6997917808221</v>
      </c>
      <c r="E55" s="536">
        <f t="shared" si="18"/>
        <v>1168.9972602739726</v>
      </c>
      <c r="F55" s="536">
        <f t="shared" si="19"/>
        <v>8653.6970520547948</v>
      </c>
      <c r="G55" s="539"/>
      <c r="H55" s="536">
        <f t="shared" si="20"/>
        <v>27020.576865634735</v>
      </c>
      <c r="I55" s="536">
        <f t="shared" si="21"/>
        <v>4220.2067157905149</v>
      </c>
      <c r="J55" s="750">
        <f t="shared" si="22"/>
        <v>31240.78358142525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0.22668918918918918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7243.2578630136986</v>
      </c>
      <c r="E56" s="536">
        <f t="shared" si="18"/>
        <v>1131.2876712328766</v>
      </c>
      <c r="F56" s="536">
        <f t="shared" si="19"/>
        <v>8374.5455342465757</v>
      </c>
      <c r="G56" s="539"/>
      <c r="H56" s="536">
        <f t="shared" si="20"/>
        <v>26148.945353840067</v>
      </c>
      <c r="I56" s="536">
        <f t="shared" si="21"/>
        <v>4084.071015281143</v>
      </c>
      <c r="J56" s="750">
        <f t="shared" si="22"/>
        <v>30233.016369121211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0.21937663469921531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7484.6997917808221</v>
      </c>
      <c r="E57" s="536">
        <f t="shared" si="18"/>
        <v>1168.9972602739726</v>
      </c>
      <c r="F57" s="536">
        <f t="shared" si="19"/>
        <v>8653.6970520547948</v>
      </c>
      <c r="G57" s="539"/>
      <c r="H57" s="536">
        <f t="shared" si="20"/>
        <v>27020.576865634735</v>
      </c>
      <c r="I57" s="536">
        <f t="shared" si="21"/>
        <v>4220.2067157905149</v>
      </c>
      <c r="J57" s="750">
        <f t="shared" si="22"/>
        <v>31240.78358142525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0.22668918918918918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7243.2578630136986</v>
      </c>
      <c r="E58" s="536">
        <f t="shared" si="18"/>
        <v>1131.2876712328766</v>
      </c>
      <c r="F58" s="536">
        <f t="shared" si="19"/>
        <v>8374.5455342465757</v>
      </c>
      <c r="G58" s="539"/>
      <c r="H58" s="536">
        <f t="shared" si="20"/>
        <v>26148.945353840067</v>
      </c>
      <c r="I58" s="536">
        <f t="shared" si="21"/>
        <v>4084.071015281143</v>
      </c>
      <c r="J58" s="750">
        <f t="shared" si="22"/>
        <v>30233.016369121211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0.21937663469921531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7484.6997917808221</v>
      </c>
      <c r="E59" s="536">
        <f t="shared" si="18"/>
        <v>1168.9972602739726</v>
      </c>
      <c r="F59" s="536">
        <f t="shared" si="19"/>
        <v>8653.6970520547948</v>
      </c>
      <c r="G59" s="539"/>
      <c r="H59" s="536">
        <f t="shared" si="20"/>
        <v>27020.576865634735</v>
      </c>
      <c r="I59" s="536">
        <f t="shared" si="21"/>
        <v>4220.2067157905149</v>
      </c>
      <c r="J59" s="750">
        <f t="shared" si="22"/>
        <v>31240.78358142525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0.22668918918918918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2.6690823888404531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246.89</v>
      </c>
      <c r="E67" s="558">
        <f>Inputs!D78</f>
        <v>0</v>
      </c>
      <c r="F67" s="558">
        <f>Inputs!E78</f>
        <v>257.68</v>
      </c>
      <c r="G67" s="558">
        <f>Inputs!F78</f>
        <v>0</v>
      </c>
      <c r="H67" s="558">
        <f>Inputs!G78</f>
        <v>330.83</v>
      </c>
      <c r="I67" s="558">
        <f>Inputs!H78</f>
        <v>0</v>
      </c>
      <c r="J67" s="558">
        <f>Inputs!I78</f>
        <v>257.68</v>
      </c>
      <c r="K67" s="558">
        <f>Inputs!J78</f>
        <v>0</v>
      </c>
      <c r="L67" s="558">
        <f>Inputs!K78</f>
        <v>2294</v>
      </c>
      <c r="M67" s="342">
        <f>SUM(D67:L67)</f>
        <v>3387.08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83.89</v>
      </c>
      <c r="E68" s="558">
        <f>Inputs!D83</f>
        <v>0</v>
      </c>
      <c r="F68" s="558">
        <f>Inputs!E83</f>
        <v>0</v>
      </c>
      <c r="G68" s="558">
        <f>Inputs!F83</f>
        <v>0</v>
      </c>
      <c r="H68" s="558">
        <f>Inputs!G83</f>
        <v>0</v>
      </c>
      <c r="I68" s="558">
        <f>Inputs!H83</f>
        <v>0</v>
      </c>
      <c r="J68" s="558">
        <f>Inputs!I83</f>
        <v>0</v>
      </c>
      <c r="K68" s="558">
        <f>Inputs!J83</f>
        <v>0</v>
      </c>
      <c r="L68" s="558">
        <f>Inputs!K83</f>
        <v>35.4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0.51100000000000001</v>
      </c>
      <c r="E73" s="539">
        <f>Inputs!D79</f>
        <v>0.51100000000000001</v>
      </c>
      <c r="F73" s="539">
        <f>Inputs!E79</f>
        <v>0.51100000000000001</v>
      </c>
      <c r="G73" s="539">
        <f>Inputs!F79</f>
        <v>0.51100000000000001</v>
      </c>
      <c r="H73" s="539">
        <f>Inputs!G79</f>
        <v>0.51100000000000001</v>
      </c>
      <c r="I73" s="539">
        <f>Inputs!H79</f>
        <v>0.51100000000000001</v>
      </c>
      <c r="J73" s="539">
        <f>Inputs!I79</f>
        <v>0.51100000000000001</v>
      </c>
      <c r="K73" s="570">
        <f>Inputs!J79</f>
        <v>0.51100000000000001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5.72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126.16078999999999</v>
      </c>
      <c r="E78" s="599">
        <f t="shared" si="25"/>
        <v>0</v>
      </c>
      <c r="F78" s="599">
        <f t="shared" si="25"/>
        <v>131.67448000000002</v>
      </c>
      <c r="G78" s="599">
        <f t="shared" si="25"/>
        <v>0</v>
      </c>
      <c r="H78" s="599">
        <f t="shared" si="25"/>
        <v>169.05412999999999</v>
      </c>
      <c r="I78" s="599">
        <f t="shared" si="25"/>
        <v>0</v>
      </c>
      <c r="J78" s="599">
        <f t="shared" si="25"/>
        <v>131.67448000000002</v>
      </c>
      <c r="K78" s="599">
        <f t="shared" si="25"/>
        <v>0</v>
      </c>
      <c r="L78" s="599">
        <f t="shared" si="25"/>
        <v>619.38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222.56017</v>
      </c>
      <c r="E79" s="599">
        <f t="shared" si="26"/>
        <v>0</v>
      </c>
      <c r="F79" s="599">
        <f t="shared" si="26"/>
        <v>0</v>
      </c>
      <c r="G79" s="599">
        <f t="shared" si="26"/>
        <v>0</v>
      </c>
      <c r="H79" s="599">
        <f t="shared" si="26"/>
        <v>0</v>
      </c>
      <c r="I79" s="599">
        <f t="shared" si="26"/>
        <v>0</v>
      </c>
      <c r="J79" s="599">
        <f t="shared" si="26"/>
        <v>0</v>
      </c>
      <c r="K79" s="599">
        <f t="shared" si="26"/>
        <v>0</v>
      </c>
      <c r="L79" s="599">
        <f t="shared" si="26"/>
        <v>202.48799999999997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348.72095999999999</v>
      </c>
      <c r="E81" s="595">
        <f t="shared" si="27"/>
        <v>0</v>
      </c>
      <c r="F81" s="595">
        <f t="shared" si="27"/>
        <v>131.67448000000002</v>
      </c>
      <c r="G81" s="595">
        <f t="shared" si="27"/>
        <v>0</v>
      </c>
      <c r="H81" s="595">
        <f t="shared" si="27"/>
        <v>169.05412999999999</v>
      </c>
      <c r="I81" s="595">
        <f t="shared" si="27"/>
        <v>0</v>
      </c>
      <c r="J81" s="595">
        <f t="shared" si="27"/>
        <v>131.67448000000002</v>
      </c>
      <c r="K81" s="595">
        <f t="shared" si="27"/>
        <v>0</v>
      </c>
      <c r="L81" s="595">
        <f t="shared" si="27"/>
        <v>821.86799999999994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0.50600000000000001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1602.9920499999998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83.89</v>
      </c>
      <c r="E116" s="631">
        <f>Calcs!E68</f>
        <v>0</v>
      </c>
      <c r="F116" s="631">
        <f>Calcs!F68</f>
        <v>0</v>
      </c>
      <c r="G116" s="631">
        <f>Calcs!G68</f>
        <v>0</v>
      </c>
      <c r="H116" s="631">
        <f>Calcs!H68</f>
        <v>0</v>
      </c>
      <c r="I116" s="631">
        <f>Calcs!I68</f>
        <v>0</v>
      </c>
      <c r="J116" s="631">
        <f>Calcs!J68</f>
        <v>0</v>
      </c>
      <c r="K116" s="631">
        <f>Calcs!K68</f>
        <v>0</v>
      </c>
      <c r="L116" s="631">
        <f>Calcs!L68</f>
        <v>35.4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246.89</v>
      </c>
      <c r="AC116" s="631">
        <f>Calcs!E67</f>
        <v>0</v>
      </c>
      <c r="AD116" s="631">
        <f>Calcs!F67</f>
        <v>257.68</v>
      </c>
      <c r="AE116" s="631">
        <f>Calcs!G67</f>
        <v>0</v>
      </c>
      <c r="AF116" s="631">
        <f>Calcs!H67</f>
        <v>330.83</v>
      </c>
      <c r="AG116" s="631">
        <f>Calcs!I67</f>
        <v>0</v>
      </c>
      <c r="AH116" s="631">
        <f>Calcs!J67</f>
        <v>257.68</v>
      </c>
      <c r="AI116" s="631">
        <f>Calcs!K67</f>
        <v>0</v>
      </c>
      <c r="AJ116" s="631">
        <f>Calcs!L67</f>
        <v>2294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5.72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0.51100000000000001</v>
      </c>
      <c r="AC117" s="664">
        <f>Calcs!E73</f>
        <v>0.51100000000000001</v>
      </c>
      <c r="AD117" s="664">
        <f>Calcs!F73</f>
        <v>0.51100000000000001</v>
      </c>
      <c r="AE117" s="664">
        <f>Calcs!G73</f>
        <v>0.51100000000000001</v>
      </c>
      <c r="AF117" s="664">
        <f>Calcs!H73</f>
        <v>0.51100000000000001</v>
      </c>
      <c r="AG117" s="664">
        <f>Calcs!I73</f>
        <v>0.51100000000000001</v>
      </c>
      <c r="AH117" s="664">
        <f>Calcs!J73</f>
        <v>0.51100000000000001</v>
      </c>
      <c r="AI117" s="664">
        <f>Calcs!K73</f>
        <v>0.51100000000000001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0.50600000000000001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0.45540000000000003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24.122569500000001</v>
      </c>
      <c r="E135" s="678">
        <f t="shared" si="38"/>
        <v>0</v>
      </c>
      <c r="F135" s="678">
        <f t="shared" si="38"/>
        <v>0</v>
      </c>
      <c r="G135" s="678">
        <f t="shared" si="38"/>
        <v>0</v>
      </c>
      <c r="H135" s="678">
        <f t="shared" si="38"/>
        <v>0</v>
      </c>
      <c r="I135" s="678">
        <f t="shared" si="38"/>
        <v>0</v>
      </c>
      <c r="J135" s="678">
        <f t="shared" si="38"/>
        <v>0</v>
      </c>
      <c r="K135" s="678">
        <f t="shared" si="38"/>
        <v>0</v>
      </c>
      <c r="L135" s="678">
        <f t="shared" si="38"/>
        <v>12.090870000000001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3.8396762173913039</v>
      </c>
      <c r="AC135" s="669">
        <f t="shared" si="40"/>
        <v>0</v>
      </c>
      <c r="AD135" s="669">
        <f t="shared" si="40"/>
        <v>4.0074841739130429</v>
      </c>
      <c r="AE135" s="669">
        <f t="shared" si="40"/>
        <v>0</v>
      </c>
      <c r="AF135" s="669">
        <f t="shared" si="40"/>
        <v>5.1451256956521734</v>
      </c>
      <c r="AG135" s="669">
        <f t="shared" si="40"/>
        <v>0</v>
      </c>
      <c r="AH135" s="669">
        <f t="shared" si="40"/>
        <v>4.0074841739130429</v>
      </c>
      <c r="AI135" s="669">
        <f t="shared" si="40"/>
        <v>0</v>
      </c>
      <c r="AJ135" s="669">
        <f t="shared" si="40"/>
        <v>18.850695652173915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271.51996108695647</v>
      </c>
      <c r="AC140" s="632">
        <f t="shared" si="42"/>
        <v>0</v>
      </c>
      <c r="AD140" s="632">
        <f t="shared" si="42"/>
        <v>283.38638086956519</v>
      </c>
      <c r="AE140" s="632">
        <f t="shared" si="42"/>
        <v>0</v>
      </c>
      <c r="AF140" s="632">
        <f t="shared" si="42"/>
        <v>363.8338884782608</v>
      </c>
      <c r="AG140" s="632">
        <f t="shared" si="42"/>
        <v>0</v>
      </c>
      <c r="AH140" s="632">
        <f t="shared" si="42"/>
        <v>283.38638086956519</v>
      </c>
      <c r="AI140" s="632">
        <f t="shared" si="42"/>
        <v>0</v>
      </c>
      <c r="AJ140" s="632">
        <f t="shared" si="42"/>
        <v>1333.0134782608698</v>
      </c>
      <c r="AK140" s="649">
        <f>SUM(AB140:AJ140)</f>
        <v>2535.1400895652173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8095.5382948213792</v>
      </c>
      <c r="E144" s="632">
        <f ca="1">(E$118*E$119*E$135*Calcs!AJ5)*Calcs!$O5</f>
        <v>0</v>
      </c>
      <c r="F144" s="632">
        <f ca="1">(F$118*F$119*F$135*Calcs!AK5)*Calcs!$O5</f>
        <v>0</v>
      </c>
      <c r="G144" s="632">
        <f ca="1">(G$118*G$119*G$135*Calcs!AL5)*Calcs!$O5</f>
        <v>0</v>
      </c>
      <c r="H144" s="632">
        <f ca="1">(H$118*H$119*H$135*Calcs!AM5)*Calcs!$O5</f>
        <v>0</v>
      </c>
      <c r="I144" s="632">
        <f ca="1">(I$118*I$119*I$135*Calcs!AN5)*Calcs!$O5</f>
        <v>0</v>
      </c>
      <c r="J144" s="632">
        <f ca="1">(J$118*J$119*J$135*Calcs!AO5)*Calcs!$O5</f>
        <v>0</v>
      </c>
      <c r="K144" s="632">
        <f ca="1">(K$118*K$119*K$135*Calcs!AP5)*Calcs!$O5</f>
        <v>0</v>
      </c>
      <c r="L144" s="632">
        <f ca="1">(L$118*L$119*L$135*Calcs!AQ5)*Calcs!$O5</f>
        <v>2383.3976506218896</v>
      </c>
      <c r="M144" s="675">
        <f t="shared" ref="M144:M155" ca="1" si="45">SUM(D144:L144)</f>
        <v>10478.935945443269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924.97643868696684</v>
      </c>
      <c r="AC144" s="632">
        <f ca="1">(AC$135*Calcs!AJ5-AC$140*AC$122)*Calcs!$O5</f>
        <v>0</v>
      </c>
      <c r="AD144" s="632">
        <f ca="1">(AD$135*Calcs!AK5-AD$140*AD$122)*Calcs!$O5</f>
        <v>82.306802472380468</v>
      </c>
      <c r="AE144" s="632">
        <f ca="1">(AE$135*Calcs!AL5-AE$140*AE$122)*Calcs!$O5</f>
        <v>0</v>
      </c>
      <c r="AF144" s="632">
        <f ca="1">(AF$135*Calcs!AM5-AF$140*AF$122)*Calcs!$O5</f>
        <v>-170.11149534760875</v>
      </c>
      <c r="AG144" s="632">
        <f ca="1">(AG$135*Calcs!AN5-AG$140*AG$122)*Calcs!$O5</f>
        <v>0</v>
      </c>
      <c r="AH144" s="632">
        <f ca="1">(AH$135*Calcs!AO5-AH$140*AH$122)*Calcs!$O5</f>
        <v>251.82158926909727</v>
      </c>
      <c r="AI144" s="632">
        <f ca="1">(AI$135*Calcs!AP5-AI$140*AI$122)*Calcs!$O5</f>
        <v>0</v>
      </c>
      <c r="AJ144" s="632">
        <f ca="1">(AJ$135*Calcs!AQ5-AJ$140*AJ$122)*Calcs!$O5</f>
        <v>145.57654099380855</v>
      </c>
      <c r="AK144" s="682">
        <f t="shared" ref="AK144:AK155" ca="1" si="47">SUM(AB144:AJ144)</f>
        <v>1234.5698760746443</v>
      </c>
      <c r="AL144" s="510"/>
      <c r="AM144" s="685">
        <f t="shared" ref="AM144:AM155" ca="1" si="48">M144+Y144+AK144</f>
        <v>11713.505821517912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8361.4039887904601</v>
      </c>
      <c r="E145" s="632">
        <f ca="1">(E$118*E$119*E$135*Calcs!AJ6)*Calcs!$O6</f>
        <v>0</v>
      </c>
      <c r="F145" s="632">
        <f ca="1">(F$118*F$119*F$135*Calcs!AK6)*Calcs!$O6</f>
        <v>0</v>
      </c>
      <c r="G145" s="632">
        <f ca="1">(G$118*G$119*G$135*Calcs!AL6)*Calcs!$O6</f>
        <v>0</v>
      </c>
      <c r="H145" s="632">
        <f ca="1">(H$118*H$119*H$135*Calcs!AM6)*Calcs!$O6</f>
        <v>0</v>
      </c>
      <c r="I145" s="632">
        <f ca="1">(I$118*I$119*I$135*Calcs!AN6)*Calcs!$O6</f>
        <v>0</v>
      </c>
      <c r="J145" s="632">
        <f ca="1">(J$118*J$119*J$135*Calcs!AO6)*Calcs!$O6</f>
        <v>0</v>
      </c>
      <c r="K145" s="632">
        <f ca="1">(K$118*K$119*K$135*Calcs!AP6)*Calcs!$O6</f>
        <v>0</v>
      </c>
      <c r="L145" s="632">
        <f ca="1">(L$118*L$119*L$135*Calcs!AQ6)*Calcs!$O6</f>
        <v>3038.803193448</v>
      </c>
      <c r="M145" s="675">
        <f t="shared" ca="1" si="45"/>
        <v>11400.207182238461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1002.4842251462403</v>
      </c>
      <c r="AC145" s="632">
        <f ca="1">(AC$135*Calcs!AJ6-AC$140*AC$122)*Calcs!$O6</f>
        <v>0</v>
      </c>
      <c r="AD145" s="632">
        <f ca="1">(AD$135*Calcs!AK6-AD$140*AD$122)*Calcs!$O6</f>
        <v>243.18513090320658</v>
      </c>
      <c r="AE145" s="632">
        <f ca="1">(AE$135*Calcs!AL6-AE$140*AE$122)*Calcs!$O6</f>
        <v>0</v>
      </c>
      <c r="AF145" s="632">
        <f ca="1">(AF$135*Calcs!AM6-AF$140*AF$122)*Calcs!$O6</f>
        <v>-40.559231322311291</v>
      </c>
      <c r="AG145" s="632">
        <f ca="1">(AG$135*Calcs!AN6-AG$140*AG$122)*Calcs!$O6</f>
        <v>0</v>
      </c>
      <c r="AH145" s="632">
        <f ca="1">(AH$135*Calcs!AO6-AH$140*AH$122)*Calcs!$O6</f>
        <v>427.9542412129926</v>
      </c>
      <c r="AI145" s="632">
        <f ca="1">(AI$135*Calcs!AP6-AI$140*AI$122)*Calcs!$O6</f>
        <v>0</v>
      </c>
      <c r="AJ145" s="632">
        <f ca="1">(AJ$135*Calcs!AQ6-AJ$140*AJ$122)*Calcs!$O6</f>
        <v>1512.9266719304348</v>
      </c>
      <c r="AK145" s="682">
        <f t="shared" ca="1" si="47"/>
        <v>3145.9910378705631</v>
      </c>
      <c r="AL145" s="510"/>
      <c r="AM145" s="685">
        <f t="shared" ca="1" si="48"/>
        <v>14546.198220109023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9446.3254007459454</v>
      </c>
      <c r="E146" s="632">
        <f ca="1">(E$118*E$119*E$135*Calcs!AJ7)*Calcs!$O7</f>
        <v>0</v>
      </c>
      <c r="F146" s="632">
        <f ca="1">(F$118*F$119*F$135*Calcs!AK7)*Calcs!$O7</f>
        <v>0</v>
      </c>
      <c r="G146" s="632">
        <f ca="1">(G$118*G$119*G$135*Calcs!AL7)*Calcs!$O7</f>
        <v>0</v>
      </c>
      <c r="H146" s="632">
        <f ca="1">(H$118*H$119*H$135*Calcs!AM7)*Calcs!$O7</f>
        <v>0</v>
      </c>
      <c r="I146" s="632">
        <f ca="1">(I$118*I$119*I$135*Calcs!AN7)*Calcs!$O7</f>
        <v>0</v>
      </c>
      <c r="J146" s="632">
        <f ca="1">(J$118*J$119*J$135*Calcs!AO7)*Calcs!$O7</f>
        <v>0</v>
      </c>
      <c r="K146" s="632">
        <f ca="1">(K$118*K$119*K$135*Calcs!AP7)*Calcs!$O7</f>
        <v>0</v>
      </c>
      <c r="L146" s="632">
        <f ca="1">(L$118*L$119*L$135*Calcs!AQ7)*Calcs!$O7</f>
        <v>4641.9509921400004</v>
      </c>
      <c r="M146" s="675">
        <f t="shared" ca="1" si="45"/>
        <v>14088.276392885946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1139.9860845448586</v>
      </c>
      <c r="AC146" s="632">
        <f ca="1">(AC$135*Calcs!AJ7-AC$140*AC$122)*Calcs!$O7</f>
        <v>0</v>
      </c>
      <c r="AD146" s="632">
        <f ca="1">(AD$135*Calcs!AK7-AD$140*AD$122)*Calcs!$O7</f>
        <v>530.21316017016954</v>
      </c>
      <c r="AE146" s="632">
        <f ca="1">(AE$135*Calcs!AL7-AE$140*AE$122)*Calcs!$O7</f>
        <v>0</v>
      </c>
      <c r="AF146" s="632">
        <f ca="1">(AF$135*Calcs!AM7-AF$140*AF$122)*Calcs!$O7</f>
        <v>102.89403825393732</v>
      </c>
      <c r="AG146" s="632">
        <f ca="1">(AG$135*Calcs!AN7-AG$140*AG$122)*Calcs!$O7</f>
        <v>0</v>
      </c>
      <c r="AH146" s="632">
        <f ca="1">(AH$135*Calcs!AO7-AH$140*AH$122)*Calcs!$O7</f>
        <v>693.37905289628463</v>
      </c>
      <c r="AI146" s="632">
        <f ca="1">(AI$135*Calcs!AP7-AI$140*AI$122)*Calcs!$O7</f>
        <v>0</v>
      </c>
      <c r="AJ146" s="632">
        <f ca="1">(AJ$135*Calcs!AQ7-AJ$140*AJ$122)*Calcs!$O7</f>
        <v>3666.8534760000007</v>
      </c>
      <c r="AK146" s="682">
        <f t="shared" ca="1" si="47"/>
        <v>6133.3258118652511</v>
      </c>
      <c r="AL146" s="510"/>
      <c r="AM146" s="685">
        <f t="shared" ca="1" si="48"/>
        <v>20221.602204751198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8099.9367951811637</v>
      </c>
      <c r="E147" s="632">
        <f ca="1">(E$118*E$119*E$135*Calcs!AJ8)*Calcs!$O8</f>
        <v>0</v>
      </c>
      <c r="F147" s="632">
        <f ca="1">(F$118*F$119*F$135*Calcs!AK8)*Calcs!$O8</f>
        <v>0</v>
      </c>
      <c r="G147" s="632">
        <f ca="1">(G$118*G$119*G$135*Calcs!AL8)*Calcs!$O8</f>
        <v>0</v>
      </c>
      <c r="H147" s="632">
        <f ca="1">(H$118*H$119*H$135*Calcs!AM8)*Calcs!$O8</f>
        <v>0</v>
      </c>
      <c r="I147" s="632">
        <f ca="1">(I$118*I$119*I$135*Calcs!AN8)*Calcs!$O8</f>
        <v>0</v>
      </c>
      <c r="J147" s="632">
        <f ca="1">(J$118*J$119*J$135*Calcs!AO8)*Calcs!$O8</f>
        <v>0</v>
      </c>
      <c r="K147" s="632">
        <f ca="1">(K$118*K$119*K$135*Calcs!AP8)*Calcs!$O8</f>
        <v>0</v>
      </c>
      <c r="L147" s="632">
        <f ca="1">(L$118*L$119*L$135*Calcs!AQ8)*Calcs!$O8</f>
        <v>5737.9206487680003</v>
      </c>
      <c r="M147" s="675">
        <f t="shared" ca="1" si="45"/>
        <v>13837.857443949164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937.40622614075392</v>
      </c>
      <c r="AC147" s="632">
        <f ca="1">(AC$135*Calcs!AJ8-AC$140*AC$122)*Calcs!$O8</f>
        <v>0</v>
      </c>
      <c r="AD147" s="632">
        <f ca="1">(AD$135*Calcs!AK8-AD$140*AD$122)*Calcs!$O8</f>
        <v>722.49583435564546</v>
      </c>
      <c r="AE147" s="632">
        <f ca="1">(AE$135*Calcs!AL8-AE$140*AE$122)*Calcs!$O8</f>
        <v>0</v>
      </c>
      <c r="AF147" s="632">
        <f ca="1">(AF$135*Calcs!AM8-AF$140*AF$122)*Calcs!$O8</f>
        <v>250.2711049349171</v>
      </c>
      <c r="AG147" s="632">
        <f ca="1">(AG$135*Calcs!AN8-AG$140*AG$122)*Calcs!$O8</f>
        <v>0</v>
      </c>
      <c r="AH147" s="632">
        <f ca="1">(AH$135*Calcs!AO8-AH$140*AH$122)*Calcs!$O8</f>
        <v>927.46903227975622</v>
      </c>
      <c r="AI147" s="632">
        <f ca="1">(AI$135*Calcs!AP8-AI$140*AI$122)*Calcs!$O8</f>
        <v>0</v>
      </c>
      <c r="AJ147" s="632">
        <f ca="1">(AJ$135*Calcs!AQ8-AJ$140*AJ$122)*Calcs!$O8</f>
        <v>5490.735837495653</v>
      </c>
      <c r="AK147" s="682">
        <f t="shared" ca="1" si="47"/>
        <v>8328.3780352067261</v>
      </c>
      <c r="AL147" s="510"/>
      <c r="AM147" s="685">
        <f t="shared" ca="1" si="48"/>
        <v>22166.23547915589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8540.4950342805332</v>
      </c>
      <c r="E148" s="632">
        <f ca="1">(E$118*E$119*E$135*Calcs!AJ9)*Calcs!$O9</f>
        <v>0</v>
      </c>
      <c r="F148" s="632">
        <f ca="1">(F$118*F$119*F$135*Calcs!AK9)*Calcs!$O9</f>
        <v>0</v>
      </c>
      <c r="G148" s="632">
        <f ca="1">(G$118*G$119*G$135*Calcs!AL9)*Calcs!$O9</f>
        <v>0</v>
      </c>
      <c r="H148" s="632">
        <f ca="1">(H$118*H$119*H$135*Calcs!AM9)*Calcs!$O9</f>
        <v>0</v>
      </c>
      <c r="I148" s="632">
        <f ca="1">(I$118*I$119*I$135*Calcs!AN9)*Calcs!$O9</f>
        <v>0</v>
      </c>
      <c r="J148" s="632">
        <f ca="1">(J$118*J$119*J$135*Calcs!AO9)*Calcs!$O9</f>
        <v>0</v>
      </c>
      <c r="K148" s="632">
        <f ca="1">(K$118*K$119*K$135*Calcs!AP9)*Calcs!$O9</f>
        <v>0</v>
      </c>
      <c r="L148" s="632">
        <f ca="1">(L$118*L$119*L$135*Calcs!AQ9)*Calcs!$O9</f>
        <v>8063.4882572639999</v>
      </c>
      <c r="M148" s="675">
        <f t="shared" ca="1" si="45"/>
        <v>16603.983291544533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995.80180454483263</v>
      </c>
      <c r="AC148" s="632">
        <f ca="1">(AC$135*Calcs!AJ9-AC$140*AC$122)*Calcs!$O9</f>
        <v>0</v>
      </c>
      <c r="AD148" s="632">
        <f ca="1">(AD$135*Calcs!AK9-AD$140*AD$122)*Calcs!$O9</f>
        <v>1101.1755628916617</v>
      </c>
      <c r="AE148" s="632">
        <f ca="1">(AE$135*Calcs!AL9-AE$140*AE$122)*Calcs!$O9</f>
        <v>0</v>
      </c>
      <c r="AF148" s="632">
        <f ca="1">(AF$135*Calcs!AM9-AF$140*AF$122)*Calcs!$O9</f>
        <v>567.81153517311975</v>
      </c>
      <c r="AG148" s="632">
        <f ca="1">(AG$135*Calcs!AN9-AG$140*AG$122)*Calcs!$O9</f>
        <v>0</v>
      </c>
      <c r="AH148" s="632">
        <f ca="1">(AH$135*Calcs!AO9-AH$140*AH$122)*Calcs!$O9</f>
        <v>1325.4665416694374</v>
      </c>
      <c r="AI148" s="632">
        <f ca="1">(AI$135*Calcs!AP9-AI$140*AI$122)*Calcs!$O9</f>
        <v>0</v>
      </c>
      <c r="AJ148" s="632">
        <f ca="1">(AJ$135*Calcs!AQ9-AJ$140*AJ$122)*Calcs!$O9</f>
        <v>9001.321355269567</v>
      </c>
      <c r="AK148" s="682">
        <f t="shared" ca="1" si="47"/>
        <v>12991.576799548619</v>
      </c>
      <c r="AL148" s="510"/>
      <c r="AM148" s="685">
        <f t="shared" ca="1" si="48"/>
        <v>29595.560091093153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7570.5886053501599</v>
      </c>
      <c r="E149" s="632">
        <f ca="1">(E$118*E$119*E$135*Calcs!AJ10)*Calcs!$O10</f>
        <v>0</v>
      </c>
      <c r="F149" s="632">
        <f ca="1">(F$118*F$119*F$135*Calcs!AK10)*Calcs!$O10</f>
        <v>0</v>
      </c>
      <c r="G149" s="632">
        <f ca="1">(G$118*G$119*G$135*Calcs!AL10)*Calcs!$O10</f>
        <v>0</v>
      </c>
      <c r="H149" s="632">
        <f ca="1">(H$118*H$119*H$135*Calcs!AM10)*Calcs!$O10</f>
        <v>0</v>
      </c>
      <c r="I149" s="632">
        <f ca="1">(I$118*I$119*I$135*Calcs!AN10)*Calcs!$O10</f>
        <v>0</v>
      </c>
      <c r="J149" s="632">
        <f ca="1">(J$118*J$119*J$135*Calcs!AO10)*Calcs!$O10</f>
        <v>0</v>
      </c>
      <c r="K149" s="632">
        <f ca="1">(K$118*K$119*K$135*Calcs!AP10)*Calcs!$O10</f>
        <v>0</v>
      </c>
      <c r="L149" s="632">
        <f ca="1">(L$118*L$119*L$135*Calcs!AQ10)*Calcs!$O10</f>
        <v>8218.1401572600007</v>
      </c>
      <c r="M149" s="675">
        <f t="shared" ca="1" si="45"/>
        <v>15788.728762610161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853.14796935707091</v>
      </c>
      <c r="AC149" s="632">
        <f ca="1">(AC$135*Calcs!AJ10-AC$140*AC$122)*Calcs!$O10</f>
        <v>0</v>
      </c>
      <c r="AD149" s="632">
        <f ca="1">(AD$135*Calcs!AK10-AD$140*AD$122)*Calcs!$O10</f>
        <v>1170.9407504141432</v>
      </c>
      <c r="AE149" s="632">
        <f ca="1">(AE$135*Calcs!AL10-AE$140*AE$122)*Calcs!$O10</f>
        <v>0</v>
      </c>
      <c r="AF149" s="632">
        <f ca="1">(AF$135*Calcs!AM10-AF$140*AF$122)*Calcs!$O10</f>
        <v>701.63207261454841</v>
      </c>
      <c r="AG149" s="632">
        <f ca="1">(AG$135*Calcs!AN10-AG$140*AG$122)*Calcs!$O10</f>
        <v>0</v>
      </c>
      <c r="AH149" s="632">
        <f ca="1">(AH$135*Calcs!AO10-AH$140*AH$122)*Calcs!$O10</f>
        <v>1344.1237836074672</v>
      </c>
      <c r="AI149" s="632">
        <f ca="1">(AI$135*Calcs!AP10-AI$140*AI$122)*Calcs!$O10</f>
        <v>0</v>
      </c>
      <c r="AJ149" s="632">
        <f ca="1">(AJ$135*Calcs!AQ10-AJ$140*AJ$122)*Calcs!$O10</f>
        <v>9357.6091977391334</v>
      </c>
      <c r="AK149" s="682">
        <f t="shared" ca="1" si="47"/>
        <v>13427.453773732363</v>
      </c>
      <c r="AL149" s="510"/>
      <c r="AM149" s="685">
        <f t="shared" ca="1" si="48"/>
        <v>29216.182536342523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8407.6420388894239</v>
      </c>
      <c r="E150" s="632">
        <f ca="1">(E$118*E$119*E$135*Calcs!AJ11)*Calcs!$O11</f>
        <v>0</v>
      </c>
      <c r="F150" s="632">
        <f ca="1">(F$118*F$119*F$135*Calcs!AK11)*Calcs!$O11</f>
        <v>0</v>
      </c>
      <c r="G150" s="632">
        <f ca="1">(G$118*G$119*G$135*Calcs!AL11)*Calcs!$O11</f>
        <v>0</v>
      </c>
      <c r="H150" s="632">
        <f ca="1">(H$118*H$119*H$135*Calcs!AM11)*Calcs!$O11</f>
        <v>0</v>
      </c>
      <c r="I150" s="632">
        <f ca="1">(I$118*I$119*I$135*Calcs!AN11)*Calcs!$O11</f>
        <v>0</v>
      </c>
      <c r="J150" s="632">
        <f ca="1">(J$118*J$119*J$135*Calcs!AO11)*Calcs!$O11</f>
        <v>0</v>
      </c>
      <c r="K150" s="632">
        <f ca="1">(K$118*K$119*K$135*Calcs!AP11)*Calcs!$O11</f>
        <v>0</v>
      </c>
      <c r="L150" s="632">
        <f ca="1">(L$118*L$119*L$135*Calcs!AQ11)*Calcs!$O11</f>
        <v>8334.5752353600001</v>
      </c>
      <c r="M150" s="675">
        <f t="shared" ca="1" si="45"/>
        <v>16742.217274249422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974.65511505918562</v>
      </c>
      <c r="AC150" s="632">
        <f ca="1">(AC$135*Calcs!AJ11-AC$140*AC$122)*Calcs!$O11</f>
        <v>0</v>
      </c>
      <c r="AD150" s="632">
        <f ca="1">(AD$135*Calcs!AK11-AD$140*AD$122)*Calcs!$O11</f>
        <v>1130.9212596445329</v>
      </c>
      <c r="AE150" s="632">
        <f ca="1">(AE$135*Calcs!AL11-AE$140*AE$122)*Calcs!$O11</f>
        <v>0</v>
      </c>
      <c r="AF150" s="632">
        <f ca="1">(AF$135*Calcs!AM11-AF$140*AF$122)*Calcs!$O11</f>
        <v>684.9345320367222</v>
      </c>
      <c r="AG150" s="632">
        <f ca="1">(AG$135*Calcs!AN11-AG$140*AG$122)*Calcs!$O11</f>
        <v>0</v>
      </c>
      <c r="AH150" s="632">
        <f ca="1">(AH$135*Calcs!AO11-AH$140*AH$122)*Calcs!$O11</f>
        <v>1403.8567339261897</v>
      </c>
      <c r="AI150" s="632">
        <f ca="1">(AI$135*Calcs!AP11-AI$140*AI$122)*Calcs!$O11</f>
        <v>0</v>
      </c>
      <c r="AJ150" s="632">
        <f ca="1">(AJ$135*Calcs!AQ11-AJ$140*AJ$122)*Calcs!$O11</f>
        <v>9423.9690323478262</v>
      </c>
      <c r="AK150" s="682">
        <f t="shared" ca="1" si="47"/>
        <v>13618.336673014457</v>
      </c>
      <c r="AL150" s="510"/>
      <c r="AM150" s="685">
        <f t="shared" ca="1" si="48"/>
        <v>30360.553947263877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8793.0667475210412</v>
      </c>
      <c r="E151" s="632">
        <f ca="1">(E$118*E$119*E$135*Calcs!AJ12)*Calcs!$O12</f>
        <v>0</v>
      </c>
      <c r="F151" s="632">
        <f ca="1">(F$118*F$119*F$135*Calcs!AK12)*Calcs!$O12</f>
        <v>0</v>
      </c>
      <c r="G151" s="632">
        <f ca="1">(G$118*G$119*G$135*Calcs!AL12)*Calcs!$O12</f>
        <v>0</v>
      </c>
      <c r="H151" s="632">
        <f ca="1">(H$118*H$119*H$135*Calcs!AM12)*Calcs!$O12</f>
        <v>0</v>
      </c>
      <c r="I151" s="632">
        <f ca="1">(I$118*I$119*I$135*Calcs!AN12)*Calcs!$O12</f>
        <v>0</v>
      </c>
      <c r="J151" s="632">
        <f ca="1">(J$118*J$119*J$135*Calcs!AO12)*Calcs!$O12</f>
        <v>0</v>
      </c>
      <c r="K151" s="632">
        <f ca="1">(K$118*K$119*K$135*Calcs!AP12)*Calcs!$O12</f>
        <v>0</v>
      </c>
      <c r="L151" s="632">
        <f ca="1">(L$118*L$119*L$135*Calcs!AQ12)*Calcs!$O12</f>
        <v>6964.515228528001</v>
      </c>
      <c r="M151" s="675">
        <f t="shared" ca="1" si="45"/>
        <v>15757.581976049041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1036.004553282497</v>
      </c>
      <c r="AC151" s="632">
        <f ca="1">(AC$135*Calcs!AJ12-AC$140*AC$122)*Calcs!$O12</f>
        <v>0</v>
      </c>
      <c r="AD151" s="632">
        <f ca="1">(AD$135*Calcs!AK12-AD$140*AD$122)*Calcs!$O12</f>
        <v>948.71405368670196</v>
      </c>
      <c r="AE151" s="632">
        <f ca="1">(AE$135*Calcs!AL12-AE$140*AE$122)*Calcs!$O12</f>
        <v>0</v>
      </c>
      <c r="AF151" s="632">
        <f ca="1">(AF$135*Calcs!AM12-AF$140*AF$122)*Calcs!$O12</f>
        <v>425.81256707601545</v>
      </c>
      <c r="AG151" s="632">
        <f ca="1">(AG$135*Calcs!AN12-AG$140*AG$122)*Calcs!$O12</f>
        <v>0</v>
      </c>
      <c r="AH151" s="632">
        <f ca="1">(AH$135*Calcs!AO12-AH$140*AH$122)*Calcs!$O12</f>
        <v>1159.3099911770632</v>
      </c>
      <c r="AI151" s="632">
        <f ca="1">(AI$135*Calcs!AP12-AI$140*AI$122)*Calcs!$O12</f>
        <v>0</v>
      </c>
      <c r="AJ151" s="632">
        <f ca="1">(AJ$135*Calcs!AQ12-AJ$140*AJ$122)*Calcs!$O12</f>
        <v>7287.9288454956531</v>
      </c>
      <c r="AK151" s="682">
        <f t="shared" ca="1" si="47"/>
        <v>10857.77001071793</v>
      </c>
      <c r="AL151" s="510"/>
      <c r="AM151" s="685">
        <f t="shared" ca="1" si="48"/>
        <v>26615.351986766971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9585.5273032200002</v>
      </c>
      <c r="E152" s="632">
        <f ca="1">(E$118*E$119*E$135*Calcs!AJ13)*Calcs!$O13</f>
        <v>0</v>
      </c>
      <c r="F152" s="632">
        <f ca="1">(F$118*F$119*F$135*Calcs!AK13)*Calcs!$O13</f>
        <v>0</v>
      </c>
      <c r="G152" s="632">
        <f ca="1">(G$118*G$119*G$135*Calcs!AL13)*Calcs!$O13</f>
        <v>0</v>
      </c>
      <c r="H152" s="632">
        <f ca="1">(H$118*H$119*H$135*Calcs!AM13)*Calcs!$O13</f>
        <v>0</v>
      </c>
      <c r="I152" s="632">
        <f ca="1">(I$118*I$119*I$135*Calcs!AN13)*Calcs!$O13</f>
        <v>0</v>
      </c>
      <c r="J152" s="632">
        <f ca="1">(J$118*J$119*J$135*Calcs!AO13)*Calcs!$O13</f>
        <v>0</v>
      </c>
      <c r="K152" s="632">
        <f ca="1">(K$118*K$119*K$135*Calcs!AP13)*Calcs!$O13</f>
        <v>0</v>
      </c>
      <c r="L152" s="632">
        <f ca="1">(L$118*L$119*L$135*Calcs!AQ13)*Calcs!$O13</f>
        <v>5474.7991358279996</v>
      </c>
      <c r="M152" s="675">
        <f t="shared" ca="1" si="45"/>
        <v>15060.326439048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1173.8730147429792</v>
      </c>
      <c r="AC152" s="632">
        <f ca="1">(AC$135*Calcs!AJ13-AC$140*AC$122)*Calcs!$O13</f>
        <v>0</v>
      </c>
      <c r="AD152" s="632">
        <f ca="1">(AD$135*Calcs!AK13-AD$140*AD$122)*Calcs!$O13</f>
        <v>702.73418420812629</v>
      </c>
      <c r="AE152" s="632">
        <f ca="1">(AE$135*Calcs!AL13-AE$140*AE$122)*Calcs!$O13</f>
        <v>0</v>
      </c>
      <c r="AF152" s="632">
        <f ca="1">(AF$135*Calcs!AM13-AF$140*AF$122)*Calcs!$O13</f>
        <v>166.39989916412475</v>
      </c>
      <c r="AG152" s="632">
        <f ca="1">(AG$135*Calcs!AN13-AG$140*AG$122)*Calcs!$O13</f>
        <v>0</v>
      </c>
      <c r="AH152" s="632">
        <f ca="1">(AH$135*Calcs!AO13-AH$140*AH$122)*Calcs!$O13</f>
        <v>867.76360602686691</v>
      </c>
      <c r="AI152" s="632">
        <f ca="1">(AI$135*Calcs!AP13-AI$140*AI$122)*Calcs!$O13</f>
        <v>0</v>
      </c>
      <c r="AJ152" s="632">
        <f ca="1">(AJ$135*Calcs!AQ13-AJ$140*AJ$122)*Calcs!$O13</f>
        <v>5080.5069987130437</v>
      </c>
      <c r="AK152" s="682">
        <f t="shared" ca="1" si="47"/>
        <v>7991.2777028551409</v>
      </c>
      <c r="AL152" s="510"/>
      <c r="AM152" s="685">
        <f t="shared" ca="1" si="48"/>
        <v>23051.604141903139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9889.8054129979664</v>
      </c>
      <c r="E153" s="632">
        <f ca="1">(E$118*E$119*E$135*Calcs!AJ14)*Calcs!$O14</f>
        <v>0</v>
      </c>
      <c r="F153" s="632">
        <f ca="1">(F$118*F$119*F$135*Calcs!AK14)*Calcs!$O14</f>
        <v>0</v>
      </c>
      <c r="G153" s="632">
        <f ca="1">(G$118*G$119*G$135*Calcs!AL14)*Calcs!$O14</f>
        <v>0</v>
      </c>
      <c r="H153" s="632">
        <f ca="1">(H$118*H$119*H$135*Calcs!AM14)*Calcs!$O14</f>
        <v>0</v>
      </c>
      <c r="I153" s="632">
        <f ca="1">(I$118*I$119*I$135*Calcs!AN14)*Calcs!$O14</f>
        <v>0</v>
      </c>
      <c r="J153" s="632">
        <f ca="1">(J$118*J$119*J$135*Calcs!AO14)*Calcs!$O14</f>
        <v>0</v>
      </c>
      <c r="K153" s="632">
        <f ca="1">(K$118*K$119*K$135*Calcs!AP14)*Calcs!$O14</f>
        <v>0</v>
      </c>
      <c r="L153" s="632">
        <f ca="1">(L$118*L$119*L$135*Calcs!AQ14)*Calcs!$O14</f>
        <v>3968.6733143639999</v>
      </c>
      <c r="M153" s="675">
        <f t="shared" ca="1" si="45"/>
        <v>13858.478727361966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1210.576394417631</v>
      </c>
      <c r="AC153" s="632">
        <f ca="1">(AC$135*Calcs!AJ14-AC$140*AC$122)*Calcs!$O14</f>
        <v>0</v>
      </c>
      <c r="AD153" s="632">
        <f ca="1">(AD$135*Calcs!AK14-AD$140*AD$122)*Calcs!$O14</f>
        <v>416.64089310498935</v>
      </c>
      <c r="AE153" s="632">
        <f ca="1">(AE$135*Calcs!AL14-AE$140*AE$122)*Calcs!$O14</f>
        <v>0</v>
      </c>
      <c r="AF153" s="632">
        <f ca="1">(AF$135*Calcs!AM14-AF$140*AF$122)*Calcs!$O14</f>
        <v>-11.096851573609454</v>
      </c>
      <c r="AG153" s="632">
        <f ca="1">(AG$135*Calcs!AN14-AG$140*AG$122)*Calcs!$O14</f>
        <v>0</v>
      </c>
      <c r="AH153" s="632">
        <f ca="1">(AH$135*Calcs!AO14-AH$140*AH$122)*Calcs!$O14</f>
        <v>562.69754053098313</v>
      </c>
      <c r="AI153" s="632">
        <f ca="1">(AI$135*Calcs!AP14-AI$140*AI$122)*Calcs!$O14</f>
        <v>0</v>
      </c>
      <c r="AJ153" s="632">
        <f ca="1">(AJ$135*Calcs!AQ14-AJ$140*AJ$122)*Calcs!$O14</f>
        <v>2617.1562587478261</v>
      </c>
      <c r="AK153" s="682">
        <f t="shared" ca="1" si="47"/>
        <v>4795.9742352278208</v>
      </c>
      <c r="AL153" s="510"/>
      <c r="AM153" s="685">
        <f t="shared" ca="1" si="48"/>
        <v>18654.452962589785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7184.3673465468182</v>
      </c>
      <c r="E154" s="632">
        <f ca="1">(E$118*E$119*E$135*Calcs!AJ15)*Calcs!$O15</f>
        <v>0</v>
      </c>
      <c r="F154" s="632">
        <f ca="1">(F$118*F$119*F$135*Calcs!AK15)*Calcs!$O15</f>
        <v>0</v>
      </c>
      <c r="G154" s="632">
        <f ca="1">(G$118*G$119*G$135*Calcs!AL15)*Calcs!$O15</f>
        <v>0</v>
      </c>
      <c r="H154" s="632">
        <f ca="1">(H$118*H$119*H$135*Calcs!AM15)*Calcs!$O15</f>
        <v>0</v>
      </c>
      <c r="I154" s="632">
        <f ca="1">(I$118*I$119*I$135*Calcs!AN15)*Calcs!$O15</f>
        <v>0</v>
      </c>
      <c r="J154" s="632">
        <f ca="1">(J$118*J$119*J$135*Calcs!AO15)*Calcs!$O15</f>
        <v>0</v>
      </c>
      <c r="K154" s="632">
        <f ca="1">(K$118*K$119*K$135*Calcs!AP15)*Calcs!$O15</f>
        <v>0</v>
      </c>
      <c r="L154" s="632">
        <f ca="1">(L$118*L$119*L$135*Calcs!AQ15)*Calcs!$O15</f>
        <v>2374.7967947880002</v>
      </c>
      <c r="M154" s="675">
        <f t="shared" ca="1" si="45"/>
        <v>9559.1641413348189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791.67174137571408</v>
      </c>
      <c r="AC154" s="632">
        <f ca="1">(AC$135*Calcs!AJ15-AC$140*AC$122)*Calcs!$O15</f>
        <v>0</v>
      </c>
      <c r="AD154" s="632">
        <f ca="1">(AD$135*Calcs!AK15-AD$140*AD$122)*Calcs!$O15</f>
        <v>102.77731423702822</v>
      </c>
      <c r="AE154" s="632">
        <f ca="1">(AE$135*Calcs!AL15-AE$140*AE$122)*Calcs!$O15</f>
        <v>0</v>
      </c>
      <c r="AF154" s="632">
        <f ca="1">(AF$135*Calcs!AM15-AF$140*AF$122)*Calcs!$O15</f>
        <v>-129.83996171964935</v>
      </c>
      <c r="AG154" s="632">
        <f ca="1">(AG$135*Calcs!AN15-AG$140*AG$122)*Calcs!$O15</f>
        <v>0</v>
      </c>
      <c r="AH154" s="632">
        <f ca="1">(AH$135*Calcs!AO15-AH$140*AH$122)*Calcs!$O15</f>
        <v>211.69689472897304</v>
      </c>
      <c r="AI154" s="632">
        <f ca="1">(AI$135*Calcs!AP15-AI$140*AI$122)*Calcs!$O15</f>
        <v>0</v>
      </c>
      <c r="AJ154" s="632">
        <f ca="1">(AJ$135*Calcs!AQ15-AJ$140*AJ$122)*Calcs!$O15</f>
        <v>247.33943906086967</v>
      </c>
      <c r="AK154" s="682">
        <f t="shared" ca="1" si="47"/>
        <v>1223.6454276829356</v>
      </c>
      <c r="AL154" s="510"/>
      <c r="AM154" s="685">
        <f t="shared" ca="1" si="48"/>
        <v>10782.809569017754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7485.4597991711908</v>
      </c>
      <c r="E155" s="632">
        <f ca="1">(E$118*E$119*E$135*Calcs!AJ16)*Calcs!$O16</f>
        <v>0</v>
      </c>
      <c r="F155" s="632">
        <f ca="1">(F$118*F$119*F$135*Calcs!AK16)*Calcs!$O16</f>
        <v>0</v>
      </c>
      <c r="G155" s="632">
        <f ca="1">(G$118*G$119*G$135*Calcs!AL16)*Calcs!$O16</f>
        <v>0</v>
      </c>
      <c r="H155" s="632">
        <f ca="1">(H$118*H$119*H$135*Calcs!AM16)*Calcs!$O16</f>
        <v>0</v>
      </c>
      <c r="I155" s="632">
        <f ca="1">(I$118*I$119*I$135*Calcs!AN16)*Calcs!$O16</f>
        <v>0</v>
      </c>
      <c r="J155" s="632">
        <f ca="1">(J$118*J$119*J$135*Calcs!AO16)*Calcs!$O16</f>
        <v>0</v>
      </c>
      <c r="K155" s="632">
        <f ca="1">(K$118*K$119*K$135*Calcs!AP16)*Calcs!$O16</f>
        <v>0</v>
      </c>
      <c r="L155" s="632">
        <f ca="1">(L$118*L$119*L$135*Calcs!AQ16)*Calcs!$O16</f>
        <v>2026.6849634386469</v>
      </c>
      <c r="M155" s="675">
        <f t="shared" ca="1" si="45"/>
        <v>9512.1447626098379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827.86804853433841</v>
      </c>
      <c r="AC155" s="632">
        <f ca="1">(AC$135*Calcs!AJ16-AC$140*AC$122)*Calcs!$O16</f>
        <v>0</v>
      </c>
      <c r="AD155" s="632">
        <f ca="1">(AD$135*Calcs!AK16-AD$140*AD$122)*Calcs!$O16</f>
        <v>39.860159618497107</v>
      </c>
      <c r="AE155" s="632">
        <f ca="1">(AE$135*Calcs!AL16-AE$140*AE$122)*Calcs!$O16</f>
        <v>0</v>
      </c>
      <c r="AF155" s="632">
        <f ca="1">(AF$135*Calcs!AM16-AF$140*AF$122)*Calcs!$O16</f>
        <v>-221.69584696256442</v>
      </c>
      <c r="AG155" s="632">
        <f ca="1">(AG$135*Calcs!AN16-AG$140*AG$122)*Calcs!$O16</f>
        <v>0</v>
      </c>
      <c r="AH155" s="632">
        <f ca="1">(AH$135*Calcs!AO16-AH$140*AH$122)*Calcs!$O16</f>
        <v>147.47165347996807</v>
      </c>
      <c r="AI155" s="632">
        <f ca="1">(AI$135*Calcs!AP16-AI$140*AI$122)*Calcs!$O16</f>
        <v>0</v>
      </c>
      <c r="AJ155" s="632">
        <f ca="1">(AJ$135*Calcs!AQ16-AJ$140*AJ$122)*Calcs!$O16</f>
        <v>-410.56890605511552</v>
      </c>
      <c r="AK155" s="682">
        <f t="shared" ca="1" si="47"/>
        <v>382.93510861512362</v>
      </c>
      <c r="AL155" s="510"/>
      <c r="AM155" s="685">
        <f t="shared" ca="1" si="48"/>
        <v>9895.0798712249616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101460.15676751609</v>
      </c>
      <c r="E156" s="672">
        <f t="shared" ca="1" si="49"/>
        <v>0</v>
      </c>
      <c r="F156" s="672">
        <f t="shared" ca="1" si="49"/>
        <v>0</v>
      </c>
      <c r="G156" s="672">
        <f t="shared" ca="1" si="49"/>
        <v>0</v>
      </c>
      <c r="H156" s="672">
        <f t="shared" ca="1" si="49"/>
        <v>0</v>
      </c>
      <c r="I156" s="672">
        <f t="shared" ca="1" si="49"/>
        <v>0</v>
      </c>
      <c r="J156" s="672">
        <f t="shared" ca="1" si="49"/>
        <v>0</v>
      </c>
      <c r="K156" s="672">
        <f t="shared" ca="1" si="49"/>
        <v>0</v>
      </c>
      <c r="L156" s="672">
        <f t="shared" ca="1" si="49"/>
        <v>61227.74557180854</v>
      </c>
      <c r="M156" s="672">
        <f t="shared" ca="1" si="49"/>
        <v>162687.90233932465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11868.45161583307</v>
      </c>
      <c r="AC156" s="677">
        <f t="shared" ca="1" si="51"/>
        <v>0</v>
      </c>
      <c r="AD156" s="677">
        <f t="shared" ca="1" si="51"/>
        <v>7191.9651057070814</v>
      </c>
      <c r="AE156" s="677">
        <f t="shared" ca="1" si="51"/>
        <v>0</v>
      </c>
      <c r="AF156" s="677">
        <f t="shared" ca="1" si="51"/>
        <v>2326.4523623276418</v>
      </c>
      <c r="AG156" s="677">
        <f t="shared" ca="1" si="51"/>
        <v>0</v>
      </c>
      <c r="AH156" s="677">
        <f t="shared" ca="1" si="51"/>
        <v>9323.010660805081</v>
      </c>
      <c r="AI156" s="677">
        <f t="shared" ca="1" si="51"/>
        <v>0</v>
      </c>
      <c r="AJ156" s="677">
        <f t="shared" ca="1" si="51"/>
        <v>53421.354747738696</v>
      </c>
      <c r="AK156" s="677">
        <f t="shared" ca="1" si="51"/>
        <v>84131.234492411575</v>
      </c>
      <c r="AL156" s="645"/>
      <c r="AM156" s="683">
        <f ca="1">SUM(AM144:AM155)</f>
        <v>246819.13683173619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12.631578947368421</v>
      </c>
      <c r="E175" s="569">
        <f>Inputs!C18/PeoDUnocc</f>
        <v>1.8867924528301887</v>
      </c>
      <c r="F175" s="569">
        <f>D175*$E$18+E175*(1-$E$18)</f>
        <v>4.9567314512696834</v>
      </c>
      <c r="G175" s="569">
        <f t="shared" ref="G175:I177" si="53">$D175*$F$19</f>
        <v>1.4034947368421054</v>
      </c>
      <c r="H175" s="569">
        <f t="shared" si="53"/>
        <v>1.4034947368421054</v>
      </c>
      <c r="I175" s="569">
        <f t="shared" si="53"/>
        <v>1.4034947368421054</v>
      </c>
      <c r="J175" s="633" t="s">
        <v>516</v>
      </c>
      <c r="K175" s="740">
        <f>Calcs!F175*Calcs!C2</f>
        <v>11370.741949212654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4.76</v>
      </c>
      <c r="E176" s="569">
        <f>Inputs!C28+Inputs!C30</f>
        <v>1.8</v>
      </c>
      <c r="F176" s="569">
        <f>D176*$E$18+E176*(1-$E$18)</f>
        <v>2.6457142857142859</v>
      </c>
      <c r="G176" s="569">
        <f t="shared" si="53"/>
        <v>0.52888360000000001</v>
      </c>
      <c r="H176" s="569">
        <f t="shared" si="53"/>
        <v>0.52888360000000001</v>
      </c>
      <c r="I176" s="569">
        <f t="shared" si="53"/>
        <v>0.52888360000000001</v>
      </c>
      <c r="J176" s="633" t="s">
        <v>517</v>
      </c>
      <c r="K176" s="741">
        <f>Calcs!F176*Calcs!C2</f>
        <v>6069.2685714285717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13.888297017441403</v>
      </c>
      <c r="E177" s="510"/>
      <c r="F177" s="602">
        <f>F47/C2/8760*1000</f>
        <v>5.0703196347031962</v>
      </c>
      <c r="G177" s="569">
        <f t="shared" si="53"/>
        <v>1.5431286816079142</v>
      </c>
      <c r="H177" s="569">
        <f t="shared" si="53"/>
        <v>1.5431286816079142</v>
      </c>
      <c r="I177" s="569">
        <f t="shared" si="53"/>
        <v>1.5431286816079142</v>
      </c>
      <c r="J177" s="633" t="s">
        <v>518</v>
      </c>
      <c r="K177" s="740">
        <f>Calcs!F177*Calcs!C2</f>
        <v>11631.313242009131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31.279875964809825</v>
      </c>
      <c r="E178" s="509"/>
      <c r="F178" s="687">
        <f>SUM(D175:D177)</f>
        <v>31.279875964809825</v>
      </c>
      <c r="G178" s="687">
        <f>SUM(G175:G177)</f>
        <v>3.4755070184500196</v>
      </c>
      <c r="H178" s="687">
        <f>SUM(H175:H177)</f>
        <v>3.4755070184500196</v>
      </c>
      <c r="I178" s="687">
        <f>SUM(I175:I177)</f>
        <v>3.4755070184500196</v>
      </c>
      <c r="J178" s="633" t="s">
        <v>519</v>
      </c>
      <c r="K178" s="740">
        <f>SUM(K175:K177)</f>
        <v>29071.323762650358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10168.753622813678</v>
      </c>
      <c r="D188" s="599">
        <f>$C$2*H$178*AC5</f>
        <v>1016.8753622813678</v>
      </c>
      <c r="E188" s="599">
        <f>$C$2*I$178*AD5</f>
        <v>4067.501449125471</v>
      </c>
      <c r="F188" s="510"/>
      <c r="G188" s="688">
        <f t="shared" ref="G188:G199" ca="1" si="54">$AM144*DD5</f>
        <v>576.21803229309273</v>
      </c>
      <c r="H188" s="688">
        <f t="shared" ref="H188:H199" ca="1" si="55">$AM144*DE5</f>
        <v>1558.1143680439402</v>
      </c>
      <c r="I188" s="688">
        <f t="shared" ref="I188:I199" ca="1" si="56">$AM144*DF5</f>
        <v>230.48721291723706</v>
      </c>
      <c r="J188" s="510"/>
      <c r="K188" s="599">
        <f t="shared" ref="K188:K199" ca="1" si="57">(C188+G188)/AB5</f>
        <v>8424.596951808624</v>
      </c>
      <c r="L188" s="599">
        <f t="shared" ref="L188:L199" ca="1" si="58">IF(AC5=0,0,(D188+H188)/AC5)</f>
        <v>20189.211595292516</v>
      </c>
      <c r="M188" s="599">
        <f t="shared" ref="M188:M199" ca="1" si="59">(E188+I188)/AD5</f>
        <v>8424.596951808624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9184.6806915736452</v>
      </c>
      <c r="D189" s="599">
        <f t="shared" ref="D189:D199" si="61">$C$2*H$178*AC6</f>
        <v>918.46806915736454</v>
      </c>
      <c r="E189" s="599">
        <f t="shared" ref="E189:E199" si="62">$C$2*I$178*AD6</f>
        <v>3673.8722766294582</v>
      </c>
      <c r="F189" s="510"/>
      <c r="G189" s="688">
        <f t="shared" ca="1" si="54"/>
        <v>1074.8217052824789</v>
      </c>
      <c r="H189" s="688">
        <f t="shared" ca="1" si="55"/>
        <v>1863.0639761019365</v>
      </c>
      <c r="I189" s="688">
        <f t="shared" ca="1" si="56"/>
        <v>429.92868211299157</v>
      </c>
      <c r="J189" s="510"/>
      <c r="K189" s="599">
        <f t="shared" ca="1" si="57"/>
        <v>8905.8180528264966</v>
      </c>
      <c r="L189" s="599">
        <f t="shared" ca="1" si="58"/>
        <v>24145.243448431433</v>
      </c>
      <c r="M189" s="599">
        <f t="shared" ca="1" si="59"/>
        <v>8905.8180528264966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10168.753622813678</v>
      </c>
      <c r="D190" s="599">
        <f t="shared" si="61"/>
        <v>1016.8753622813678</v>
      </c>
      <c r="E190" s="599">
        <f t="shared" si="62"/>
        <v>4067.501449125471</v>
      </c>
      <c r="F190" s="510"/>
      <c r="G190" s="688">
        <f t="shared" ca="1" si="54"/>
        <v>1876.7924405486654</v>
      </c>
      <c r="H190" s="688">
        <f t="shared" ca="1" si="55"/>
        <v>2513.4418268547238</v>
      </c>
      <c r="I190" s="688">
        <f t="shared" ca="1" si="56"/>
        <v>750.71697621946589</v>
      </c>
      <c r="J190" s="510"/>
      <c r="K190" s="599">
        <f t="shared" ca="1" si="57"/>
        <v>9444.3125496792563</v>
      </c>
      <c r="L190" s="599">
        <f t="shared" ca="1" si="58"/>
        <v>27679.458248154846</v>
      </c>
      <c r="M190" s="599">
        <f t="shared" ca="1" si="59"/>
        <v>9444.3125496792563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9840.7293124003336</v>
      </c>
      <c r="D191" s="599">
        <f t="shared" si="61"/>
        <v>984.07293124003343</v>
      </c>
      <c r="E191" s="599">
        <f t="shared" si="62"/>
        <v>3936.2917249601337</v>
      </c>
      <c r="F191" s="510"/>
      <c r="G191" s="688">
        <f t="shared" ca="1" si="54"/>
        <v>2757.4235026055353</v>
      </c>
      <c r="H191" s="688">
        <f t="shared" ca="1" si="55"/>
        <v>2615.1203679297346</v>
      </c>
      <c r="I191" s="688">
        <f t="shared" ca="1" si="56"/>
        <v>1102.9694010422143</v>
      </c>
      <c r="J191" s="510"/>
      <c r="K191" s="599">
        <f t="shared" ca="1" si="57"/>
        <v>10206.836771416793</v>
      </c>
      <c r="L191" s="599">
        <f t="shared" ca="1" si="58"/>
        <v>29160.130896051363</v>
      </c>
      <c r="M191" s="599">
        <f t="shared" ca="1" si="59"/>
        <v>10206.836771416793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10168.753622813678</v>
      </c>
      <c r="D192" s="599">
        <f t="shared" si="61"/>
        <v>1016.8753622813678</v>
      </c>
      <c r="E192" s="599">
        <f t="shared" si="62"/>
        <v>4067.501449125471</v>
      </c>
      <c r="F192" s="510"/>
      <c r="G192" s="688">
        <f t="shared" ca="1" si="54"/>
        <v>4093.123902681677</v>
      </c>
      <c r="H192" s="688">
        <f t="shared" ca="1" si="55"/>
        <v>3409.3123753341147</v>
      </c>
      <c r="I192" s="688">
        <f t="shared" ca="1" si="56"/>
        <v>1637.2495610726705</v>
      </c>
      <c r="J192" s="510"/>
      <c r="K192" s="599">
        <f t="shared" ca="1" si="57"/>
        <v>11182.027629756663</v>
      </c>
      <c r="L192" s="599">
        <f t="shared" ca="1" si="58"/>
        <v>34703.532889010283</v>
      </c>
      <c r="M192" s="599">
        <f t="shared" ca="1" si="59"/>
        <v>11182.027629756663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9840.7293124003336</v>
      </c>
      <c r="D193" s="599">
        <f t="shared" si="61"/>
        <v>984.07293124003343</v>
      </c>
      <c r="E193" s="599">
        <f t="shared" si="62"/>
        <v>3936.2917249601337</v>
      </c>
      <c r="F193" s="510"/>
      <c r="G193" s="688">
        <f t="shared" ca="1" si="54"/>
        <v>4617.40959287439</v>
      </c>
      <c r="H193" s="688">
        <f t="shared" ca="1" si="55"/>
        <v>3250.2584437597689</v>
      </c>
      <c r="I193" s="688">
        <f t="shared" ca="1" si="56"/>
        <v>1846.9638371497563</v>
      </c>
      <c r="J193" s="510"/>
      <c r="K193" s="599">
        <f t="shared" ca="1" si="57"/>
        <v>11713.769946403134</v>
      </c>
      <c r="L193" s="599">
        <f t="shared" ca="1" si="58"/>
        <v>34305.925491896545</v>
      </c>
      <c r="M193" s="599">
        <f t="shared" ca="1" si="59"/>
        <v>11713.769946403134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10168.753622813678</v>
      </c>
      <c r="D194" s="599">
        <f t="shared" si="61"/>
        <v>1016.8753622813678</v>
      </c>
      <c r="E194" s="599">
        <f t="shared" si="62"/>
        <v>4067.501449125471</v>
      </c>
      <c r="F194" s="510"/>
      <c r="G194" s="688">
        <f t="shared" ca="1" si="54"/>
        <v>4599.9741081577704</v>
      </c>
      <c r="H194" s="688">
        <f t="shared" ca="1" si="55"/>
        <v>3417.2271708347148</v>
      </c>
      <c r="I194" s="688">
        <f t="shared" ca="1" si="56"/>
        <v>1839.9896432631081</v>
      </c>
      <c r="J194" s="510"/>
      <c r="K194" s="599">
        <f t="shared" ca="1" si="57"/>
        <v>11579.423624193565</v>
      </c>
      <c r="L194" s="599">
        <f t="shared" ca="1" si="58"/>
        <v>34765.588857316965</v>
      </c>
      <c r="M194" s="599">
        <f t="shared" ca="1" si="59"/>
        <v>11579.423624193565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10168.753622813678</v>
      </c>
      <c r="D195" s="599">
        <f t="shared" si="61"/>
        <v>1016.8753622813678</v>
      </c>
      <c r="E195" s="599">
        <f t="shared" si="62"/>
        <v>4067.501449125471</v>
      </c>
      <c r="F195" s="510"/>
      <c r="G195" s="688">
        <f t="shared" ca="1" si="54"/>
        <v>3584.7844196428405</v>
      </c>
      <c r="H195" s="688">
        <f t="shared" ca="1" si="55"/>
        <v>3085.2362570381424</v>
      </c>
      <c r="I195" s="688">
        <f t="shared" ca="1" si="56"/>
        <v>1433.913767857136</v>
      </c>
      <c r="J195" s="510"/>
      <c r="K195" s="599">
        <f t="shared" ca="1" si="57"/>
        <v>10783.463966979798</v>
      </c>
      <c r="L195" s="599">
        <f t="shared" ca="1" si="58"/>
        <v>32162.613502729138</v>
      </c>
      <c r="M195" s="599">
        <f t="shared" ca="1" si="59"/>
        <v>10783.463966979798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9840.7293124003336</v>
      </c>
      <c r="D196" s="599">
        <f t="shared" si="61"/>
        <v>984.07293124003343</v>
      </c>
      <c r="E196" s="599">
        <f t="shared" si="62"/>
        <v>3936.2917249601337</v>
      </c>
      <c r="F196" s="510"/>
      <c r="G196" s="688">
        <f t="shared" ca="1" si="54"/>
        <v>2280.5419241918335</v>
      </c>
      <c r="H196" s="688">
        <f t="shared" ca="1" si="55"/>
        <v>2836.9779211477958</v>
      </c>
      <c r="I196" s="688">
        <f t="shared" ca="1" si="56"/>
        <v>912.21676967673352</v>
      </c>
      <c r="J196" s="510"/>
      <c r="K196" s="599">
        <f t="shared" ca="1" si="57"/>
        <v>9820.4743814982849</v>
      </c>
      <c r="L196" s="599">
        <f t="shared" ca="1" si="58"/>
        <v>30957.58792443843</v>
      </c>
      <c r="M196" s="599">
        <f t="shared" ca="1" si="59"/>
        <v>9820.474381498283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10168.753622813678</v>
      </c>
      <c r="D197" s="599">
        <f t="shared" si="61"/>
        <v>1016.8753622813678</v>
      </c>
      <c r="E197" s="599">
        <f t="shared" si="62"/>
        <v>4067.501449125471</v>
      </c>
      <c r="F197" s="510"/>
      <c r="G197" s="688">
        <f t="shared" ca="1" si="54"/>
        <v>1102.6265051394535</v>
      </c>
      <c r="H197" s="688">
        <f t="shared" ca="1" si="55"/>
        <v>2444.3965507706498</v>
      </c>
      <c r="I197" s="688">
        <f t="shared" ca="1" si="56"/>
        <v>441.05060205578133</v>
      </c>
      <c r="J197" s="510"/>
      <c r="K197" s="599">
        <f t="shared" ca="1" si="57"/>
        <v>8837.3276092822489</v>
      </c>
      <c r="L197" s="599">
        <f t="shared" ca="1" si="58"/>
        <v>27138.108637280609</v>
      </c>
      <c r="M197" s="599">
        <f t="shared" ca="1" si="59"/>
        <v>8837.3276092822489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9840.7293124003336</v>
      </c>
      <c r="D198" s="599">
        <f t="shared" si="61"/>
        <v>984.07293124003343</v>
      </c>
      <c r="E198" s="599">
        <f t="shared" si="62"/>
        <v>3936.2917249601337</v>
      </c>
      <c r="F198" s="510"/>
      <c r="G198" s="688">
        <f t="shared" ca="1" si="54"/>
        <v>369.72004437211484</v>
      </c>
      <c r="H198" s="688">
        <f t="shared" ca="1" si="55"/>
        <v>1466.4573581281136</v>
      </c>
      <c r="I198" s="688">
        <f t="shared" ca="1" si="56"/>
        <v>147.88801774884593</v>
      </c>
      <c r="J198" s="510"/>
      <c r="K198" s="599">
        <f t="shared" ca="1" si="57"/>
        <v>8272.3548029406411</v>
      </c>
      <c r="L198" s="599">
        <f t="shared" ca="1" si="58"/>
        <v>19853.833362936377</v>
      </c>
      <c r="M198" s="599">
        <f t="shared" ca="1" si="59"/>
        <v>8272.3548029406411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10168.753622813678</v>
      </c>
      <c r="D199" s="599">
        <f t="shared" si="61"/>
        <v>1016.8753622813678</v>
      </c>
      <c r="E199" s="599">
        <f t="shared" si="62"/>
        <v>4067.501449125471</v>
      </c>
      <c r="F199" s="510"/>
      <c r="G199" s="688">
        <f t="shared" ca="1" si="54"/>
        <v>313.49619407682769</v>
      </c>
      <c r="H199" s="688">
        <f t="shared" ca="1" si="55"/>
        <v>1350.8835999310577</v>
      </c>
      <c r="I199" s="688">
        <f t="shared" ca="1" si="56"/>
        <v>125.39847763073108</v>
      </c>
      <c r="J199" s="510"/>
      <c r="K199" s="599">
        <f t="shared" ca="1" si="57"/>
        <v>8218.6098474723949</v>
      </c>
      <c r="L199" s="599">
        <f t="shared" ca="1" si="58"/>
        <v>18564.418386522157</v>
      </c>
      <c r="M199" s="599">
        <f t="shared" ca="1" si="59"/>
        <v>8218.6098474723949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21.1</v>
      </c>
      <c r="E205" s="693">
        <f>Inputs!C22</f>
        <v>17.7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24.3</v>
      </c>
      <c r="E206" s="693">
        <f>Inputs!C24</f>
        <v>27.6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224834940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144263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488630322.03999996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1602.9920499999998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1602.9920499999998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198184.7950111111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8</v>
      </c>
      <c r="G216" s="699">
        <f>$F$16</f>
        <v>16</v>
      </c>
      <c r="H216" s="699">
        <f>$E$16</f>
        <v>8</v>
      </c>
      <c r="I216" s="699">
        <f>$F$16</f>
        <v>16</v>
      </c>
      <c r="J216" s="699">
        <f>$E$16</f>
        <v>8</v>
      </c>
      <c r="K216" s="699">
        <f>$F$16</f>
        <v>16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21.1</v>
      </c>
      <c r="E218" s="510"/>
      <c r="F218" s="569">
        <f>D218</f>
        <v>21.1</v>
      </c>
      <c r="G218" s="569">
        <f t="shared" ref="G218:G229" ca="1" si="64">(F218-$CS5-$K188/$D$211)*EXP(-$D$211/$D$212*G$216)+$CS5+$K188/$D$211</f>
        <v>18.543879427488331</v>
      </c>
      <c r="H218" s="569">
        <f t="shared" ref="H218:H229" ca="1" si="65">(G218-$CR5-$L188/$D$211)*EXP(-$D$211/$D$212*H$216)+$CR5+$L188/$D$211</f>
        <v>17.950904417645265</v>
      </c>
      <c r="I218" s="569">
        <f t="shared" ref="I218:I229" ca="1" si="66">(H218-$CS5-$M188/$D$211)*EXP(-$D$211/$D$212*I$216)+$CS5+$M188/$D$211</f>
        <v>15.777051900138542</v>
      </c>
      <c r="J218" s="569">
        <f t="shared" ref="J218:J229" ca="1" si="67">(I218-$CR5-$L188/$D$211)*EXP(-$D$211/$D$212*J$216)+$CR5+$L188/$D$211</f>
        <v>15.357440498085928</v>
      </c>
      <c r="K218" s="569">
        <f t="shared" ref="K218:K229" ca="1" si="68">(J218-$CS5-$M188/$D$211)*EXP(-$D$211/$D$212*K$216)+$CS5+$M188/$D$211</f>
        <v>13.498408024089645</v>
      </c>
      <c r="L218" s="687"/>
      <c r="M218" s="687">
        <f t="shared" ref="M218:M229" ca="1" si="69">$D$212/G$216/$D$211*(F231-$CS5-$K188/$D$211)*(1-EXP(-$D$211/$D$212*G$216))+$CS5+$K188/$D$211</f>
        <v>19.794380938394891</v>
      </c>
      <c r="N218" s="687">
        <f t="shared" ref="N218:N229" ca="1" si="70">$D$212/H$216/$D$211*(G231-$CR5-$L188/$D$211)*(1-EXP(-$D$211/$D$212*H$216))+$CR5+$L188/$D$211</f>
        <v>18.244194677955186</v>
      </c>
      <c r="O218" s="687">
        <f t="shared" ref="O218:O229" ca="1" si="71">$D$212/I$216/$D$211*(H231-$CS5-$M188/$D$211)*(1-EXP(-$D$211/$D$212*I$216))+$CS5+$M188/$D$211</f>
        <v>16.840540800804543</v>
      </c>
      <c r="P218" s="687">
        <f t="shared" ref="P218:P229" ca="1" si="72">$D$212/J$216/$D$211*(I231-$CR5-$L188/$D$211)*(1-EXP(-$D$211/$D$212*J$216))+$CR5+$L188/$D$211</f>
        <v>17.427038206677331</v>
      </c>
      <c r="Q218" s="687">
        <f t="shared" ref="Q218:Q229" ca="1" si="73">$D$212/K$216/$D$211*(J231-$CS5-$M188/$D$211)*(1-EXP(-$D$211/$D$212*K$216))+$CS5+$M188/$D$211</f>
        <v>16.605193374803221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21.1</v>
      </c>
      <c r="E219" s="510"/>
      <c r="F219" s="569">
        <f t="shared" ref="F219:F229" si="74">D219</f>
        <v>21.1</v>
      </c>
      <c r="G219" s="569">
        <f t="shared" ca="1" si="64"/>
        <v>18.829407911348731</v>
      </c>
      <c r="H219" s="569">
        <f t="shared" ca="1" si="65"/>
        <v>18.514058853183986</v>
      </c>
      <c r="I219" s="569">
        <f t="shared" ca="1" si="66"/>
        <v>16.557373620231097</v>
      </c>
      <c r="J219" s="569">
        <f t="shared" ca="1" si="67"/>
        <v>16.384385463798836</v>
      </c>
      <c r="K219" s="569">
        <f t="shared" ca="1" si="68"/>
        <v>14.686220838768332</v>
      </c>
      <c r="L219" s="687"/>
      <c r="M219" s="687">
        <f t="shared" ca="1" si="69"/>
        <v>19.940223601361694</v>
      </c>
      <c r="N219" s="687">
        <f t="shared" ca="1" si="70"/>
        <v>18.670033060903304</v>
      </c>
      <c r="O219" s="687">
        <f t="shared" ca="1" si="71"/>
        <v>17.514620264418877</v>
      </c>
      <c r="P219" s="687">
        <f t="shared" ca="1" si="72"/>
        <v>17.57638987751881</v>
      </c>
      <c r="Q219" s="687">
        <f t="shared" ca="1" si="73"/>
        <v>16.751036037770032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21.1</v>
      </c>
      <c r="E220" s="510"/>
      <c r="F220" s="569">
        <f t="shared" si="74"/>
        <v>21.1</v>
      </c>
      <c r="G220" s="569">
        <f t="shared" ca="1" si="64"/>
        <v>19.599507681184132</v>
      </c>
      <c r="H220" s="569">
        <f t="shared" ca="1" si="65"/>
        <v>19.815558714561075</v>
      </c>
      <c r="I220" s="569">
        <f t="shared" ca="1" si="66"/>
        <v>18.470984455109299</v>
      </c>
      <c r="J220" s="569">
        <f t="shared" ca="1" si="67"/>
        <v>18.757746386080587</v>
      </c>
      <c r="K220" s="569">
        <f t="shared" ca="1" si="68"/>
        <v>17.541579744242668</v>
      </c>
      <c r="L220" s="687"/>
      <c r="M220" s="687">
        <f t="shared" ca="1" si="69"/>
        <v>20.333576305317614</v>
      </c>
      <c r="N220" s="687">
        <f t="shared" ca="1" si="70"/>
        <v>19.708698117120178</v>
      </c>
      <c r="O220" s="687">
        <f t="shared" ca="1" si="71"/>
        <v>19.128775077763049</v>
      </c>
      <c r="P220" s="687">
        <f t="shared" ca="1" si="72"/>
        <v>18.615911603863033</v>
      </c>
      <c r="Q220" s="687">
        <f t="shared" ca="1" si="73"/>
        <v>18.136550982879545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21.1</v>
      </c>
      <c r="E221" s="510"/>
      <c r="F221" s="569">
        <f t="shared" si="74"/>
        <v>21.1</v>
      </c>
      <c r="G221" s="569">
        <f t="shared" ca="1" si="64"/>
        <v>20.41299336139134</v>
      </c>
      <c r="H221" s="569">
        <f t="shared" ca="1" si="65"/>
        <v>21.004963534166819</v>
      </c>
      <c r="I221" s="569">
        <f t="shared" ca="1" si="66"/>
        <v>20.32949335229582</v>
      </c>
      <c r="J221" s="569">
        <f t="shared" ca="1" si="67"/>
        <v>20.926695460450084</v>
      </c>
      <c r="K221" s="569">
        <f t="shared" ca="1" si="68"/>
        <v>20.260726223700068</v>
      </c>
      <c r="L221" s="687"/>
      <c r="M221" s="687">
        <f t="shared" ca="1" si="69"/>
        <v>20.749089728996882</v>
      </c>
      <c r="N221" s="687">
        <f t="shared" ca="1" si="70"/>
        <v>20.712170274439099</v>
      </c>
      <c r="O221" s="687">
        <f t="shared" ca="1" si="71"/>
        <v>20.659945871666618</v>
      </c>
      <c r="P221" s="687">
        <f t="shared" ca="1" si="72"/>
        <v>20.631314442952309</v>
      </c>
      <c r="Q221" s="687">
        <f t="shared" ca="1" si="73"/>
        <v>20.586530704806712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21.1</v>
      </c>
      <c r="E222" s="510"/>
      <c r="F222" s="569">
        <f t="shared" si="74"/>
        <v>21.1</v>
      </c>
      <c r="G222" s="569">
        <f t="shared" ca="1" si="64"/>
        <v>20.999133486632115</v>
      </c>
      <c r="H222" s="569">
        <f t="shared" ca="1" si="65"/>
        <v>22.249467442476472</v>
      </c>
      <c r="I222" s="569">
        <f t="shared" ca="1" si="66"/>
        <v>22.00906731635034</v>
      </c>
      <c r="J222" s="569">
        <f t="shared" ca="1" si="67"/>
        <v>23.196120937363965</v>
      </c>
      <c r="K222" s="569">
        <f t="shared" ca="1" si="68"/>
        <v>22.840806741216596</v>
      </c>
      <c r="L222" s="687"/>
      <c r="M222" s="687">
        <f t="shared" ca="1" si="69"/>
        <v>21.048479252525496</v>
      </c>
      <c r="N222" s="687">
        <f t="shared" ca="1" si="70"/>
        <v>21.631042103639725</v>
      </c>
      <c r="O222" s="687">
        <f t="shared" ca="1" si="71"/>
        <v>22.126675509084166</v>
      </c>
      <c r="P222" s="687">
        <f t="shared" ca="1" si="72"/>
        <v>22.608994566556099</v>
      </c>
      <c r="Q222" s="687">
        <f t="shared" ca="1" si="73"/>
        <v>23.014633024650571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21.1</v>
      </c>
      <c r="E223" s="510"/>
      <c r="F223" s="569">
        <f t="shared" si="74"/>
        <v>21.1</v>
      </c>
      <c r="G223" s="569">
        <f t="shared" ca="1" si="64"/>
        <v>21.807745908299104</v>
      </c>
      <c r="H223" s="569">
        <f t="shared" ca="1" si="65"/>
        <v>23.291334853829103</v>
      </c>
      <c r="I223" s="569">
        <f t="shared" ca="1" si="66"/>
        <v>23.733075081915914</v>
      </c>
      <c r="J223" s="569">
        <f t="shared" ca="1" si="67"/>
        <v>25.096026940954967</v>
      </c>
      <c r="K223" s="569">
        <f t="shared" ca="1" si="68"/>
        <v>25.318695973523297</v>
      </c>
      <c r="L223" s="687"/>
      <c r="M223" s="687">
        <f t="shared" ca="1" si="69"/>
        <v>21.461503505971301</v>
      </c>
      <c r="N223" s="687">
        <f t="shared" ca="1" si="70"/>
        <v>22.557539700905931</v>
      </c>
      <c r="O223" s="687">
        <f t="shared" ca="1" si="71"/>
        <v>23.51696758347034</v>
      </c>
      <c r="P223" s="687">
        <f t="shared" ca="1" si="72"/>
        <v>24.421899871699139</v>
      </c>
      <c r="Q223" s="687">
        <f t="shared" ca="1" si="73"/>
        <v>25.209762160050957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21.1</v>
      </c>
      <c r="E224" s="510"/>
      <c r="F224" s="569">
        <f t="shared" si="74"/>
        <v>21.1</v>
      </c>
      <c r="G224" s="569">
        <f t="shared" ca="1" si="64"/>
        <v>22.176801149808306</v>
      </c>
      <c r="H224" s="569">
        <f t="shared" ca="1" si="65"/>
        <v>23.831338992568345</v>
      </c>
      <c r="I224" s="569">
        <f t="shared" ca="1" si="66"/>
        <v>24.576583472550979</v>
      </c>
      <c r="J224" s="569">
        <f t="shared" ca="1" si="67"/>
        <v>26.080755989944706</v>
      </c>
      <c r="K224" s="569">
        <f t="shared" ca="1" si="68"/>
        <v>26.552944210441193</v>
      </c>
      <c r="L224" s="687"/>
      <c r="M224" s="687">
        <f t="shared" ca="1" si="69"/>
        <v>21.650010090238659</v>
      </c>
      <c r="N224" s="687">
        <f t="shared" ca="1" si="70"/>
        <v>23.012991125389032</v>
      </c>
      <c r="O224" s="687">
        <f t="shared" ca="1" si="71"/>
        <v>24.211996074665702</v>
      </c>
      <c r="P224" s="687">
        <f t="shared" ca="1" si="72"/>
        <v>25.336780035048754</v>
      </c>
      <c r="Q224" s="687">
        <f t="shared" ca="1" si="73"/>
        <v>26.32194099036111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21.1</v>
      </c>
      <c r="E225" s="510"/>
      <c r="F225" s="569">
        <f t="shared" si="74"/>
        <v>21.1</v>
      </c>
      <c r="G225" s="569">
        <f t="shared" ca="1" si="64"/>
        <v>21.824602638126212</v>
      </c>
      <c r="H225" s="569">
        <f t="shared" ca="1" si="65"/>
        <v>23.259240837845937</v>
      </c>
      <c r="I225" s="569">
        <f t="shared" ca="1" si="66"/>
        <v>23.721733681656719</v>
      </c>
      <c r="J225" s="569">
        <f t="shared" ca="1" si="67"/>
        <v>25.037501630554289</v>
      </c>
      <c r="K225" s="569">
        <f t="shared" ca="1" si="68"/>
        <v>25.284131768155348</v>
      </c>
      <c r="L225" s="687"/>
      <c r="M225" s="687">
        <f t="shared" ca="1" si="69"/>
        <v>21.47011361146291</v>
      </c>
      <c r="N225" s="687">
        <f t="shared" ca="1" si="70"/>
        <v>22.549657121733329</v>
      </c>
      <c r="O225" s="687">
        <f t="shared" ca="1" si="71"/>
        <v>23.495473619362176</v>
      </c>
      <c r="P225" s="687">
        <f t="shared" ca="1" si="72"/>
        <v>24.386712106824195</v>
      </c>
      <c r="Q225" s="687">
        <f t="shared" ca="1" si="73"/>
        <v>25.163475738458686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21.1</v>
      </c>
      <c r="E226" s="510"/>
      <c r="F226" s="569">
        <f t="shared" si="74"/>
        <v>21.1</v>
      </c>
      <c r="G226" s="569">
        <f t="shared" ca="1" si="64"/>
        <v>21.295802547355898</v>
      </c>
      <c r="H226" s="569">
        <f t="shared" ca="1" si="65"/>
        <v>22.503188475671021</v>
      </c>
      <c r="I226" s="569">
        <f t="shared" ca="1" si="66"/>
        <v>22.528658267042729</v>
      </c>
      <c r="J226" s="569">
        <f t="shared" ca="1" si="67"/>
        <v>23.658796042613499</v>
      </c>
      <c r="K226" s="569">
        <f t="shared" ca="1" si="68"/>
        <v>23.543986872800492</v>
      </c>
      <c r="L226" s="687"/>
      <c r="M226" s="687">
        <f t="shared" ca="1" si="69"/>
        <v>21.200012315885203</v>
      </c>
      <c r="N226" s="687">
        <f t="shared" ca="1" si="70"/>
        <v>21.906005580385443</v>
      </c>
      <c r="O226" s="687">
        <f t="shared" ca="1" si="71"/>
        <v>22.516197973527898</v>
      </c>
      <c r="P226" s="687">
        <f t="shared" ca="1" si="72"/>
        <v>23.099820711644753</v>
      </c>
      <c r="Q226" s="687">
        <f t="shared" ca="1" si="73"/>
        <v>23.600153644376537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21.1</v>
      </c>
      <c r="E227" s="510"/>
      <c r="F227" s="569">
        <f t="shared" si="74"/>
        <v>21.1</v>
      </c>
      <c r="G227" s="569">
        <f t="shared" ca="1" si="64"/>
        <v>20.372434143190929</v>
      </c>
      <c r="H227" s="569">
        <f t="shared" ca="1" si="65"/>
        <v>21.019071710393639</v>
      </c>
      <c r="I227" s="569">
        <f t="shared" ca="1" si="66"/>
        <v>20.301329721756765</v>
      </c>
      <c r="J227" s="569">
        <f t="shared" ca="1" si="67"/>
        <v>20.95242254282255</v>
      </c>
      <c r="K227" s="569">
        <f t="shared" ca="1" si="68"/>
        <v>20.242771082716427</v>
      </c>
      <c r="L227" s="687"/>
      <c r="M227" s="687">
        <f t="shared" ca="1" si="69"/>
        <v>20.728372831298184</v>
      </c>
      <c r="N227" s="687">
        <f t="shared" ca="1" si="70"/>
        <v>20.69923951297735</v>
      </c>
      <c r="O227" s="687">
        <f t="shared" ca="1" si="71"/>
        <v>20.652462391664258</v>
      </c>
      <c r="P227" s="687">
        <f t="shared" ca="1" si="72"/>
        <v>20.630386740627713</v>
      </c>
      <c r="Q227" s="687">
        <f t="shared" ca="1" si="73"/>
        <v>20.58994571626971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21.1</v>
      </c>
      <c r="E228" s="510"/>
      <c r="F228" s="569">
        <f t="shared" si="74"/>
        <v>21.1</v>
      </c>
      <c r="G228" s="569">
        <f t="shared" ca="1" si="64"/>
        <v>19.659981797188703</v>
      </c>
      <c r="H228" s="569">
        <f t="shared" ca="1" si="65"/>
        <v>19.58417113353353</v>
      </c>
      <c r="I228" s="569">
        <f t="shared" ca="1" si="66"/>
        <v>18.328159080218402</v>
      </c>
      <c r="J228" s="569">
        <f t="shared" ca="1" si="67"/>
        <v>18.335797633714982</v>
      </c>
      <c r="K228" s="569">
        <f t="shared" ca="1" si="68"/>
        <v>17.231325378800801</v>
      </c>
      <c r="L228" s="687"/>
      <c r="M228" s="687">
        <f t="shared" ca="1" si="69"/>
        <v>20.364465364088304</v>
      </c>
      <c r="N228" s="687">
        <f t="shared" ca="1" si="70"/>
        <v>19.621667704061146</v>
      </c>
      <c r="O228" s="687">
        <f t="shared" ca="1" si="71"/>
        <v>18.9426234318918</v>
      </c>
      <c r="P228" s="687">
        <f t="shared" ca="1" si="72"/>
        <v>18.332019543059872</v>
      </c>
      <c r="Q228" s="687">
        <f t="shared" ca="1" si="73"/>
        <v>17.771653655321586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21.1</v>
      </c>
      <c r="E229" s="510"/>
      <c r="F229" s="569">
        <f t="shared" si="74"/>
        <v>21.1</v>
      </c>
      <c r="G229" s="569">
        <f t="shared" ca="1" si="64"/>
        <v>18.635509105102308</v>
      </c>
      <c r="H229" s="569">
        <f t="shared" ca="1" si="65"/>
        <v>18.045111903930376</v>
      </c>
      <c r="I229" s="569">
        <f t="shared" ca="1" si="66"/>
        <v>15.951453236954166</v>
      </c>
      <c r="J229" s="569">
        <f t="shared" ca="1" si="67"/>
        <v>15.529233345070104</v>
      </c>
      <c r="K229" s="569">
        <f t="shared" ca="1" si="68"/>
        <v>13.740976650873971</v>
      </c>
      <c r="L229" s="687"/>
      <c r="M229" s="687">
        <f t="shared" ca="1" si="69"/>
        <v>19.841183681187253</v>
      </c>
      <c r="N229" s="687">
        <f t="shared" ca="1" si="70"/>
        <v>18.337127159115905</v>
      </c>
      <c r="O229" s="687">
        <f t="shared" ca="1" si="71"/>
        <v>16.97570982114329</v>
      </c>
      <c r="P229" s="687">
        <f t="shared" ca="1" si="72"/>
        <v>17.43124262837318</v>
      </c>
      <c r="Q229" s="687">
        <f t="shared" ca="1" si="73"/>
        <v>16.651996117595591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21.1</v>
      </c>
      <c r="G231" s="569">
        <f t="shared" ca="1" si="75"/>
        <v>18.543879427488331</v>
      </c>
      <c r="H231" s="569">
        <f t="shared" ca="1" si="75"/>
        <v>17.950904417645265</v>
      </c>
      <c r="I231" s="569">
        <f t="shared" ca="1" si="75"/>
        <v>17.7</v>
      </c>
      <c r="J231" s="569">
        <f t="shared" ca="1" si="75"/>
        <v>17.7</v>
      </c>
      <c r="K231" s="569">
        <f t="shared" ca="1" si="75"/>
        <v>17.7</v>
      </c>
      <c r="L231" s="687"/>
      <c r="M231" s="569">
        <f t="shared" ref="M231:Q242" ca="1" si="76">IF(AND($G$205=1,M218&lt;=$E$205),$E$205,M218)</f>
        <v>19.794380938394891</v>
      </c>
      <c r="N231" s="569">
        <f t="shared" ca="1" si="76"/>
        <v>18.244194677955186</v>
      </c>
      <c r="O231" s="569">
        <f t="shared" ca="1" si="76"/>
        <v>17.7</v>
      </c>
      <c r="P231" s="569">
        <f t="shared" ca="1" si="76"/>
        <v>17.7</v>
      </c>
      <c r="Q231" s="569">
        <f t="shared" ca="1" si="76"/>
        <v>17.7</v>
      </c>
      <c r="R231" s="687"/>
      <c r="S231" s="687">
        <f ca="1">AVERAGE(M231:Q231)</f>
        <v>18.227715123270016</v>
      </c>
      <c r="T231" s="510"/>
      <c r="U231" s="570">
        <f ca="1">IF($G$205=1,M231,D218)</f>
        <v>19.794380938394891</v>
      </c>
      <c r="V231" s="570">
        <f t="shared" ref="V231:V242" ca="1" si="77">IF($G$205=1,S231,D218)</f>
        <v>18.227715123270016</v>
      </c>
      <c r="W231" s="510"/>
      <c r="X231" s="569">
        <f t="shared" ref="X231:X242" ca="1" si="78">D218*$E$18+U231*$F$18+V231*$I$18</f>
        <v>19.794399285728524</v>
      </c>
      <c r="Y231" s="510"/>
      <c r="Z231" s="704">
        <f ca="1">IF($D$205&gt;X231,X231,$D$205)</f>
        <v>19.794399285728524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21.1</v>
      </c>
      <c r="G232" s="569">
        <f t="shared" ca="1" si="75"/>
        <v>18.829407911348731</v>
      </c>
      <c r="H232" s="569">
        <f t="shared" ca="1" si="75"/>
        <v>18.514058853183986</v>
      </c>
      <c r="I232" s="569">
        <f t="shared" ca="1" si="75"/>
        <v>17.7</v>
      </c>
      <c r="J232" s="569">
        <f t="shared" ca="1" si="75"/>
        <v>17.7</v>
      </c>
      <c r="K232" s="569">
        <f t="shared" ca="1" si="75"/>
        <v>17.7</v>
      </c>
      <c r="L232" s="687"/>
      <c r="M232" s="569">
        <f t="shared" ca="1" si="76"/>
        <v>19.940223601361694</v>
      </c>
      <c r="N232" s="569">
        <f t="shared" ca="1" si="76"/>
        <v>18.670033060903304</v>
      </c>
      <c r="O232" s="569">
        <f t="shared" ca="1" si="76"/>
        <v>17.7</v>
      </c>
      <c r="P232" s="569">
        <f t="shared" ca="1" si="76"/>
        <v>17.7</v>
      </c>
      <c r="Q232" s="569">
        <f t="shared" ca="1" si="76"/>
        <v>17.7</v>
      </c>
      <c r="R232" s="687"/>
      <c r="S232" s="687">
        <f t="shared" ref="S232:S242" ca="1" si="79">AVERAGE(M232:Q232)</f>
        <v>18.342051332453003</v>
      </c>
      <c r="T232" s="510"/>
      <c r="U232" s="570">
        <f t="shared" ref="U232:U242" ca="1" si="80">IF($G$205=1,M232,D219)</f>
        <v>19.940223601361694</v>
      </c>
      <c r="V232" s="570">
        <f t="shared" ca="1" si="77"/>
        <v>18.342051332453003</v>
      </c>
      <c r="W232" s="510"/>
      <c r="X232" s="569">
        <f t="shared" ca="1" si="78"/>
        <v>19.891071079803901</v>
      </c>
      <c r="Y232" s="510"/>
      <c r="Z232" s="704">
        <f t="shared" ref="Z232:Z242" ca="1" si="81">IF($D$205&gt;X232,X232,$D$205)</f>
        <v>19.891071079803901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21.1</v>
      </c>
      <c r="G233" s="569">
        <f t="shared" ca="1" si="75"/>
        <v>19.599507681184132</v>
      </c>
      <c r="H233" s="569">
        <f t="shared" ca="1" si="75"/>
        <v>19.815558714561075</v>
      </c>
      <c r="I233" s="569">
        <f t="shared" ca="1" si="75"/>
        <v>18.470984455109299</v>
      </c>
      <c r="J233" s="569">
        <f t="shared" ca="1" si="75"/>
        <v>18.757746386080587</v>
      </c>
      <c r="K233" s="569">
        <f t="shared" ca="1" si="75"/>
        <v>17.7</v>
      </c>
      <c r="L233" s="687"/>
      <c r="M233" s="569">
        <f t="shared" ca="1" si="76"/>
        <v>20.333576305317614</v>
      </c>
      <c r="N233" s="569">
        <f t="shared" ca="1" si="76"/>
        <v>19.708698117120178</v>
      </c>
      <c r="O233" s="569">
        <f t="shared" ca="1" si="76"/>
        <v>19.128775077763049</v>
      </c>
      <c r="P233" s="569">
        <f t="shared" ca="1" si="76"/>
        <v>18.615911603863033</v>
      </c>
      <c r="Q233" s="569">
        <f t="shared" ca="1" si="76"/>
        <v>18.136550982879545</v>
      </c>
      <c r="R233" s="687"/>
      <c r="S233" s="687">
        <f t="shared" ca="1" si="79"/>
        <v>19.184702417388682</v>
      </c>
      <c r="T233" s="510"/>
      <c r="U233" s="570">
        <f t="shared" ca="1" si="80"/>
        <v>20.333576305317614</v>
      </c>
      <c r="V233" s="570">
        <f t="shared" ca="1" si="77"/>
        <v>19.184702417388682</v>
      </c>
      <c r="W233" s="510"/>
      <c r="X233" s="569">
        <f t="shared" ca="1" si="78"/>
        <v>20.279013101910454</v>
      </c>
      <c r="Y233" s="510"/>
      <c r="Z233" s="704">
        <f t="shared" ca="1" si="81"/>
        <v>20.279013101910454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21.1</v>
      </c>
      <c r="G234" s="569">
        <f t="shared" ca="1" si="75"/>
        <v>20.41299336139134</v>
      </c>
      <c r="H234" s="569">
        <f t="shared" ca="1" si="75"/>
        <v>21.004963534166819</v>
      </c>
      <c r="I234" s="569">
        <f t="shared" ca="1" si="75"/>
        <v>20.32949335229582</v>
      </c>
      <c r="J234" s="569">
        <f t="shared" ca="1" si="75"/>
        <v>20.926695460450084</v>
      </c>
      <c r="K234" s="569">
        <f t="shared" ca="1" si="75"/>
        <v>20.260726223700068</v>
      </c>
      <c r="L234" s="687"/>
      <c r="M234" s="569">
        <f t="shared" ca="1" si="76"/>
        <v>20.749089728996882</v>
      </c>
      <c r="N234" s="569">
        <f t="shared" ca="1" si="76"/>
        <v>20.712170274439099</v>
      </c>
      <c r="O234" s="569">
        <f t="shared" ca="1" si="76"/>
        <v>20.659945871666618</v>
      </c>
      <c r="P234" s="569">
        <f t="shared" ca="1" si="76"/>
        <v>20.631314442952309</v>
      </c>
      <c r="Q234" s="569">
        <f t="shared" ca="1" si="76"/>
        <v>20.586530704806712</v>
      </c>
      <c r="R234" s="687"/>
      <c r="S234" s="687">
        <f t="shared" ca="1" si="79"/>
        <v>20.667810204572323</v>
      </c>
      <c r="T234" s="510"/>
      <c r="U234" s="570">
        <f t="shared" ca="1" si="80"/>
        <v>20.749089728996882</v>
      </c>
      <c r="V234" s="570">
        <f t="shared" ca="1" si="77"/>
        <v>20.667810204572323</v>
      </c>
      <c r="W234" s="510"/>
      <c r="X234" s="569">
        <f t="shared" ca="1" si="78"/>
        <v>20.829997538706209</v>
      </c>
      <c r="Y234" s="510"/>
      <c r="Z234" s="704">
        <f t="shared" ca="1" si="81"/>
        <v>20.829997538706209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21.1</v>
      </c>
      <c r="G235" s="569">
        <f t="shared" ca="1" si="75"/>
        <v>20.999133486632115</v>
      </c>
      <c r="H235" s="569">
        <f t="shared" ca="1" si="75"/>
        <v>22.249467442476472</v>
      </c>
      <c r="I235" s="569">
        <f t="shared" ca="1" si="75"/>
        <v>22.00906731635034</v>
      </c>
      <c r="J235" s="569">
        <f t="shared" ca="1" si="75"/>
        <v>23.196120937363965</v>
      </c>
      <c r="K235" s="569">
        <f t="shared" ca="1" si="75"/>
        <v>22.840806741216596</v>
      </c>
      <c r="L235" s="687"/>
      <c r="M235" s="569">
        <f t="shared" ca="1" si="76"/>
        <v>21.048479252525496</v>
      </c>
      <c r="N235" s="569">
        <f t="shared" ca="1" si="76"/>
        <v>21.631042103639725</v>
      </c>
      <c r="O235" s="569">
        <f t="shared" ca="1" si="76"/>
        <v>22.126675509084166</v>
      </c>
      <c r="P235" s="569">
        <f t="shared" ca="1" si="76"/>
        <v>22.608994566556099</v>
      </c>
      <c r="Q235" s="569">
        <f t="shared" ca="1" si="76"/>
        <v>23.014633024650571</v>
      </c>
      <c r="R235" s="687"/>
      <c r="S235" s="687">
        <f t="shared" ca="1" si="79"/>
        <v>22.085964891291212</v>
      </c>
      <c r="T235" s="510"/>
      <c r="U235" s="570">
        <f t="shared" ca="1" si="80"/>
        <v>21.048479252525496</v>
      </c>
      <c r="V235" s="570">
        <f t="shared" ca="1" si="77"/>
        <v>22.085964891291212</v>
      </c>
      <c r="W235" s="510"/>
      <c r="X235" s="569">
        <f t="shared" ca="1" si="78"/>
        <v>21.310219856271949</v>
      </c>
      <c r="Y235" s="510"/>
      <c r="Z235" s="704">
        <f t="shared" ca="1" si="81"/>
        <v>21.1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21.1</v>
      </c>
      <c r="G236" s="569">
        <f t="shared" ca="1" si="75"/>
        <v>21.807745908299104</v>
      </c>
      <c r="H236" s="569">
        <f t="shared" ca="1" si="75"/>
        <v>23.291334853829103</v>
      </c>
      <c r="I236" s="569">
        <f t="shared" ca="1" si="75"/>
        <v>23.733075081915914</v>
      </c>
      <c r="J236" s="569">
        <f t="shared" ca="1" si="75"/>
        <v>25.096026940954967</v>
      </c>
      <c r="K236" s="569">
        <f t="shared" ca="1" si="75"/>
        <v>25.318695973523297</v>
      </c>
      <c r="L236" s="687"/>
      <c r="M236" s="569">
        <f t="shared" ca="1" si="76"/>
        <v>21.461503505971301</v>
      </c>
      <c r="N236" s="569">
        <f t="shared" ca="1" si="76"/>
        <v>22.557539700905931</v>
      </c>
      <c r="O236" s="569">
        <f t="shared" ca="1" si="76"/>
        <v>23.51696758347034</v>
      </c>
      <c r="P236" s="569">
        <f t="shared" ca="1" si="76"/>
        <v>24.421899871699139</v>
      </c>
      <c r="Q236" s="569">
        <f t="shared" ca="1" si="76"/>
        <v>25.209762160050957</v>
      </c>
      <c r="R236" s="687"/>
      <c r="S236" s="687">
        <f t="shared" ca="1" si="79"/>
        <v>23.433534564419535</v>
      </c>
      <c r="T236" s="510"/>
      <c r="U236" s="570">
        <f t="shared" ca="1" si="80"/>
        <v>21.461503505971301</v>
      </c>
      <c r="V236" s="570">
        <f t="shared" ca="1" si="77"/>
        <v>23.433534564419535</v>
      </c>
      <c r="W236" s="510"/>
      <c r="X236" s="569">
        <f t="shared" ca="1" si="78"/>
        <v>21.827747994371936</v>
      </c>
      <c r="Y236" s="510"/>
      <c r="Z236" s="704">
        <f t="shared" ca="1" si="81"/>
        <v>21.1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21.1</v>
      </c>
      <c r="G237" s="569">
        <f t="shared" ca="1" si="75"/>
        <v>22.176801149808306</v>
      </c>
      <c r="H237" s="569">
        <f t="shared" ca="1" si="75"/>
        <v>23.831338992568345</v>
      </c>
      <c r="I237" s="569">
        <f t="shared" ca="1" si="75"/>
        <v>24.576583472550979</v>
      </c>
      <c r="J237" s="569">
        <f t="shared" ca="1" si="75"/>
        <v>26.080755989944706</v>
      </c>
      <c r="K237" s="569">
        <f t="shared" ca="1" si="75"/>
        <v>26.552944210441193</v>
      </c>
      <c r="L237" s="687"/>
      <c r="M237" s="569">
        <f t="shared" ca="1" si="76"/>
        <v>21.650010090238659</v>
      </c>
      <c r="N237" s="569">
        <f t="shared" ca="1" si="76"/>
        <v>23.012991125389032</v>
      </c>
      <c r="O237" s="569">
        <f t="shared" ca="1" si="76"/>
        <v>24.211996074665702</v>
      </c>
      <c r="P237" s="569">
        <f t="shared" ca="1" si="76"/>
        <v>25.336780035048754</v>
      </c>
      <c r="Q237" s="569">
        <f t="shared" ca="1" si="76"/>
        <v>26.32194099036111</v>
      </c>
      <c r="R237" s="687"/>
      <c r="S237" s="687">
        <f t="shared" ca="1" si="79"/>
        <v>24.106743663140655</v>
      </c>
      <c r="T237" s="510"/>
      <c r="U237" s="570">
        <f t="shared" ca="1" si="80"/>
        <v>21.650010090238659</v>
      </c>
      <c r="V237" s="570">
        <f t="shared" ca="1" si="77"/>
        <v>24.106743663140655</v>
      </c>
      <c r="W237" s="510"/>
      <c r="X237" s="569">
        <f t="shared" ca="1" si="78"/>
        <v>22.077800915147133</v>
      </c>
      <c r="Y237" s="510"/>
      <c r="Z237" s="704">
        <f t="shared" ca="1" si="81"/>
        <v>21.1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21.1</v>
      </c>
      <c r="G238" s="569">
        <f t="shared" ca="1" si="75"/>
        <v>21.824602638126212</v>
      </c>
      <c r="H238" s="569">
        <f t="shared" ca="1" si="75"/>
        <v>23.259240837845937</v>
      </c>
      <c r="I238" s="569">
        <f t="shared" ca="1" si="75"/>
        <v>23.721733681656719</v>
      </c>
      <c r="J238" s="569">
        <f t="shared" ca="1" si="75"/>
        <v>25.037501630554289</v>
      </c>
      <c r="K238" s="569">
        <f t="shared" ca="1" si="75"/>
        <v>25.284131768155348</v>
      </c>
      <c r="L238" s="687"/>
      <c r="M238" s="569">
        <f t="shared" ca="1" si="76"/>
        <v>21.47011361146291</v>
      </c>
      <c r="N238" s="569">
        <f t="shared" ca="1" si="76"/>
        <v>22.549657121733329</v>
      </c>
      <c r="O238" s="569">
        <f t="shared" ca="1" si="76"/>
        <v>23.495473619362176</v>
      </c>
      <c r="P238" s="569">
        <f t="shared" ca="1" si="76"/>
        <v>24.386712106824195</v>
      </c>
      <c r="Q238" s="569">
        <f t="shared" ca="1" si="76"/>
        <v>25.163475738458686</v>
      </c>
      <c r="R238" s="687"/>
      <c r="S238" s="687">
        <f t="shared" ca="1" si="79"/>
        <v>23.413086439568257</v>
      </c>
      <c r="T238" s="510"/>
      <c r="U238" s="570">
        <f t="shared" ca="1" si="80"/>
        <v>21.47011361146291</v>
      </c>
      <c r="V238" s="570">
        <f t="shared" ca="1" si="77"/>
        <v>23.413086439568257</v>
      </c>
      <c r="W238" s="510"/>
      <c r="X238" s="569">
        <f t="shared" ca="1" si="78"/>
        <v>21.82697944345097</v>
      </c>
      <c r="Y238" s="510"/>
      <c r="Z238" s="704">
        <f t="shared" ca="1" si="81"/>
        <v>21.1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21.1</v>
      </c>
      <c r="G239" s="569">
        <f t="shared" ca="1" si="75"/>
        <v>21.295802547355898</v>
      </c>
      <c r="H239" s="569">
        <f t="shared" ca="1" si="75"/>
        <v>22.503188475671021</v>
      </c>
      <c r="I239" s="569">
        <f t="shared" ca="1" si="75"/>
        <v>22.528658267042729</v>
      </c>
      <c r="J239" s="569">
        <f t="shared" ca="1" si="75"/>
        <v>23.658796042613499</v>
      </c>
      <c r="K239" s="569">
        <f t="shared" ca="1" si="75"/>
        <v>23.543986872800492</v>
      </c>
      <c r="L239" s="687"/>
      <c r="M239" s="569">
        <f t="shared" ca="1" si="76"/>
        <v>21.200012315885203</v>
      </c>
      <c r="N239" s="569">
        <f t="shared" ca="1" si="76"/>
        <v>21.906005580385443</v>
      </c>
      <c r="O239" s="569">
        <f t="shared" ca="1" si="76"/>
        <v>22.516197973527898</v>
      </c>
      <c r="P239" s="569">
        <f t="shared" ca="1" si="76"/>
        <v>23.099820711644753</v>
      </c>
      <c r="Q239" s="569">
        <f t="shared" ca="1" si="76"/>
        <v>23.600153644376537</v>
      </c>
      <c r="R239" s="687"/>
      <c r="S239" s="687">
        <f t="shared" ca="1" si="79"/>
        <v>22.464438045163966</v>
      </c>
      <c r="T239" s="510"/>
      <c r="U239" s="570">
        <f t="shared" ca="1" si="80"/>
        <v>21.200012315885203</v>
      </c>
      <c r="V239" s="570">
        <f t="shared" ca="1" si="77"/>
        <v>22.464438045163966</v>
      </c>
      <c r="W239" s="510"/>
      <c r="X239" s="569">
        <f t="shared" ca="1" si="78"/>
        <v>21.472491113555801</v>
      </c>
      <c r="Y239" s="510"/>
      <c r="Z239" s="704">
        <f t="shared" ca="1" si="81"/>
        <v>21.1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21.1</v>
      </c>
      <c r="G240" s="569">
        <f t="shared" ca="1" si="75"/>
        <v>20.372434143190929</v>
      </c>
      <c r="H240" s="569">
        <f t="shared" ca="1" si="75"/>
        <v>21.019071710393639</v>
      </c>
      <c r="I240" s="569">
        <f t="shared" ca="1" si="75"/>
        <v>20.301329721756765</v>
      </c>
      <c r="J240" s="569">
        <f t="shared" ca="1" si="75"/>
        <v>20.95242254282255</v>
      </c>
      <c r="K240" s="569">
        <f t="shared" ca="1" si="75"/>
        <v>20.242771082716427</v>
      </c>
      <c r="L240" s="687"/>
      <c r="M240" s="569">
        <f t="shared" ca="1" si="76"/>
        <v>20.728372831298184</v>
      </c>
      <c r="N240" s="569">
        <f t="shared" ca="1" si="76"/>
        <v>20.69923951297735</v>
      </c>
      <c r="O240" s="569">
        <f t="shared" ca="1" si="76"/>
        <v>20.652462391664258</v>
      </c>
      <c r="P240" s="569">
        <f t="shared" ca="1" si="76"/>
        <v>20.630386740627713</v>
      </c>
      <c r="Q240" s="569">
        <f t="shared" ca="1" si="76"/>
        <v>20.58994571626971</v>
      </c>
      <c r="R240" s="687"/>
      <c r="S240" s="687">
        <f t="shared" ca="1" si="79"/>
        <v>20.660081438567442</v>
      </c>
      <c r="T240" s="510"/>
      <c r="U240" s="570">
        <f t="shared" ca="1" si="80"/>
        <v>20.728372831298184</v>
      </c>
      <c r="V240" s="570">
        <f t="shared" ca="1" si="77"/>
        <v>20.660081438567442</v>
      </c>
      <c r="W240" s="510"/>
      <c r="X240" s="569">
        <f t="shared" ca="1" si="78"/>
        <v>20.818292166943763</v>
      </c>
      <c r="Y240" s="510"/>
      <c r="Z240" s="704">
        <f t="shared" ca="1" si="81"/>
        <v>20.818292166943763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21.1</v>
      </c>
      <c r="G241" s="569">
        <f t="shared" ca="1" si="75"/>
        <v>19.659981797188703</v>
      </c>
      <c r="H241" s="569">
        <f t="shared" ca="1" si="75"/>
        <v>19.58417113353353</v>
      </c>
      <c r="I241" s="569">
        <f t="shared" ca="1" si="75"/>
        <v>18.328159080218402</v>
      </c>
      <c r="J241" s="569">
        <f t="shared" ca="1" si="75"/>
        <v>18.335797633714982</v>
      </c>
      <c r="K241" s="569">
        <f t="shared" ca="1" si="75"/>
        <v>17.7</v>
      </c>
      <c r="L241" s="687"/>
      <c r="M241" s="569">
        <f t="shared" ca="1" si="76"/>
        <v>20.364465364088304</v>
      </c>
      <c r="N241" s="569">
        <f t="shared" ca="1" si="76"/>
        <v>19.621667704061146</v>
      </c>
      <c r="O241" s="569">
        <f t="shared" ca="1" si="76"/>
        <v>18.9426234318918</v>
      </c>
      <c r="P241" s="569">
        <f t="shared" ca="1" si="76"/>
        <v>18.332019543059872</v>
      </c>
      <c r="Q241" s="569">
        <f t="shared" ca="1" si="76"/>
        <v>17.771653655321586</v>
      </c>
      <c r="R241" s="687"/>
      <c r="S241" s="687">
        <f t="shared" ca="1" si="79"/>
        <v>19.006485939684541</v>
      </c>
      <c r="T241" s="510"/>
      <c r="U241" s="570">
        <f t="shared" ca="1" si="80"/>
        <v>20.364465364088304</v>
      </c>
      <c r="V241" s="570">
        <f t="shared" ca="1" si="77"/>
        <v>19.006485939684541</v>
      </c>
      <c r="W241" s="510"/>
      <c r="X241" s="569">
        <f t="shared" ca="1" si="78"/>
        <v>20.251289682824083</v>
      </c>
      <c r="Y241" s="510"/>
      <c r="Z241" s="704">
        <f t="shared" ca="1" si="81"/>
        <v>20.251289682824083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21.1</v>
      </c>
      <c r="G242" s="569">
        <f t="shared" ca="1" si="75"/>
        <v>18.635509105102308</v>
      </c>
      <c r="H242" s="569">
        <f t="shared" ca="1" si="75"/>
        <v>18.045111903930376</v>
      </c>
      <c r="I242" s="569">
        <f t="shared" ca="1" si="75"/>
        <v>17.7</v>
      </c>
      <c r="J242" s="569">
        <f t="shared" ca="1" si="75"/>
        <v>17.7</v>
      </c>
      <c r="K242" s="569">
        <f t="shared" ca="1" si="75"/>
        <v>17.7</v>
      </c>
      <c r="L242" s="687"/>
      <c r="M242" s="569">
        <f t="shared" ca="1" si="76"/>
        <v>19.841183681187253</v>
      </c>
      <c r="N242" s="569">
        <f t="shared" ca="1" si="76"/>
        <v>18.337127159115905</v>
      </c>
      <c r="O242" s="569">
        <f t="shared" ca="1" si="76"/>
        <v>17.7</v>
      </c>
      <c r="P242" s="569">
        <f t="shared" ca="1" si="76"/>
        <v>17.7</v>
      </c>
      <c r="Q242" s="569">
        <f t="shared" ca="1" si="76"/>
        <v>17.7</v>
      </c>
      <c r="R242" s="687"/>
      <c r="S242" s="687">
        <f t="shared" ca="1" si="79"/>
        <v>18.255662168060631</v>
      </c>
      <c r="T242" s="510"/>
      <c r="U242" s="570">
        <f t="shared" ca="1" si="80"/>
        <v>19.841183681187253</v>
      </c>
      <c r="V242" s="570">
        <f t="shared" ca="1" si="77"/>
        <v>18.255662168060631</v>
      </c>
      <c r="W242" s="510"/>
      <c r="X242" s="569">
        <f t="shared" ca="1" si="78"/>
        <v>19.823340364389317</v>
      </c>
      <c r="Y242" s="510"/>
      <c r="Z242" s="704">
        <f t="shared" ca="1" si="81"/>
        <v>19.823340364389317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24.3</v>
      </c>
      <c r="E246" s="510"/>
      <c r="F246" s="569">
        <f t="shared" ref="F246:F257" si="83">D246</f>
        <v>24.3</v>
      </c>
      <c r="G246" s="569">
        <f t="shared" ref="G246:G257" ca="1" si="84">(F246-$CS5-$K188/$D$211)*EXP(-$D$211/$D$212*G$216)+$CS5+$K188/$D$211</f>
        <v>21.355432095857598</v>
      </c>
      <c r="H246" s="569">
        <f t="shared" ref="H246:H257" ca="1" si="85">(G246-$CR5-$L188/$D$211)*EXP(-$D$211/$D$212*H$216)+$CR5+$L188/$D$211</f>
        <v>20.586291094725496</v>
      </c>
      <c r="I246" s="569">
        <f t="shared" ref="I246:I257" ca="1" si="86">(H246-$CS5-$M188/$D$211)*EXP(-$D$211/$D$212*I$216)+$CS5+$M188/$D$211</f>
        <v>18.092529538929085</v>
      </c>
      <c r="J246" s="569">
        <f t="shared" ref="J246:J257" ca="1" si="87">(I246-$CR5-$L188/$D$211)*EXP(-$D$211/$D$212*J$216)+$CR5+$L188/$D$211</f>
        <v>17.527835166127172</v>
      </c>
      <c r="K246" s="569">
        <f t="shared" ref="K246:K257" ca="1" si="88">(J246-$CS5-$M188/$D$211)*EXP(-$D$211/$D$212*K$216)+$CS5+$M188/$D$211</f>
        <v>15.405338936697703</v>
      </c>
      <c r="L246" s="510"/>
      <c r="M246" s="687">
        <f t="shared" ref="M246:M257" ca="1" si="89">$D$212/G$216/$D$211*(F259-$CS5-$K188/$D$211)*(1-EXP(-$D$211/$D$212*G$216))+$CS5+$K188/$D$211</f>
        <v>22.795969233539989</v>
      </c>
      <c r="N246" s="687">
        <f t="shared" ref="N246:N257" ca="1" si="90">$D$212/H$216/$D$211*(G259-$CR5-$L188/$D$211)*(1-EXP(-$D$211/$D$212*H$216))+$CR5+$L188/$D$211</f>
        <v>20.966714486424191</v>
      </c>
      <c r="O246" s="687">
        <f t="shared" ref="O246:O257" ca="1" si="91">$D$212/I$216/$D$211*(H259-$CS5-$M188/$D$211)*(1-EXP(-$D$211/$D$212*I$216))+$CS5+$M188/$D$211</f>
        <v>19.312523864274965</v>
      </c>
      <c r="P246" s="687">
        <f t="shared" ref="P246:P257" ca="1" si="92">$D$212/J$216/$D$211*(I259-$CR5-$L188/$D$211)*(1-EXP(-$D$211/$D$212*J$216))+$CR5+$L188/$D$211</f>
        <v>17.807137593456194</v>
      </c>
      <c r="Q246" s="687">
        <f t="shared" ref="Q246:Q257" ca="1" si="93">$D$212/K$216/$D$211*(J259-$CS5-$M188/$D$211)*(1-EXP(-$D$211/$D$212*K$216))+$CS5+$M188/$D$211</f>
        <v>16.443703390369386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24.3</v>
      </c>
      <c r="E247" s="510"/>
      <c r="F247" s="569">
        <f t="shared" si="83"/>
        <v>24.3</v>
      </c>
      <c r="G247" s="569">
        <f t="shared" ca="1" si="84"/>
        <v>21.640960579718005</v>
      </c>
      <c r="H247" s="569">
        <f t="shared" ca="1" si="85"/>
        <v>21.149445530264224</v>
      </c>
      <c r="I247" s="569">
        <f t="shared" ca="1" si="86"/>
        <v>18.87285125902164</v>
      </c>
      <c r="J247" s="569">
        <f t="shared" ca="1" si="87"/>
        <v>18.554780131840083</v>
      </c>
      <c r="K247" s="569">
        <f t="shared" ca="1" si="88"/>
        <v>16.593151751376393</v>
      </c>
      <c r="L247" s="510"/>
      <c r="M247" s="687">
        <f t="shared" ca="1" si="89"/>
        <v>22.941811896506799</v>
      </c>
      <c r="N247" s="687">
        <f t="shared" ca="1" si="90"/>
        <v>21.392552869372317</v>
      </c>
      <c r="O247" s="687">
        <f t="shared" ca="1" si="91"/>
        <v>19.986603327889302</v>
      </c>
      <c r="P247" s="687">
        <f t="shared" ca="1" si="92"/>
        <v>18.712100697023491</v>
      </c>
      <c r="Q247" s="687">
        <f t="shared" ca="1" si="93"/>
        <v>17.552816674849335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24.3</v>
      </c>
      <c r="E248" s="510"/>
      <c r="F248" s="569">
        <f t="shared" si="83"/>
        <v>24.3</v>
      </c>
      <c r="G248" s="569">
        <f t="shared" ca="1" si="84"/>
        <v>22.411060349553395</v>
      </c>
      <c r="H248" s="569">
        <f t="shared" ca="1" si="85"/>
        <v>22.450945391641302</v>
      </c>
      <c r="I248" s="569">
        <f t="shared" ca="1" si="86"/>
        <v>20.786462093899839</v>
      </c>
      <c r="J248" s="569">
        <f t="shared" ca="1" si="87"/>
        <v>20.928141054121831</v>
      </c>
      <c r="K248" s="569">
        <f t="shared" ca="1" si="88"/>
        <v>19.448510656850726</v>
      </c>
      <c r="L248" s="510"/>
      <c r="M248" s="687">
        <f t="shared" ca="1" si="89"/>
        <v>23.335164600462708</v>
      </c>
      <c r="N248" s="687">
        <f t="shared" ca="1" si="90"/>
        <v>22.431217925589181</v>
      </c>
      <c r="O248" s="687">
        <f t="shared" ca="1" si="91"/>
        <v>21.60075814123347</v>
      </c>
      <c r="P248" s="687">
        <f t="shared" ca="1" si="92"/>
        <v>20.858065488652478</v>
      </c>
      <c r="Q248" s="687">
        <f t="shared" ca="1" si="93"/>
        <v>20.172373242703898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24.3</v>
      </c>
      <c r="E249" s="510"/>
      <c r="F249" s="569">
        <f t="shared" si="83"/>
        <v>24.3</v>
      </c>
      <c r="G249" s="569">
        <f t="shared" ca="1" si="84"/>
        <v>23.224546029760607</v>
      </c>
      <c r="H249" s="569">
        <f t="shared" ca="1" si="85"/>
        <v>23.64035021124705</v>
      </c>
      <c r="I249" s="569">
        <f t="shared" ca="1" si="86"/>
        <v>22.644970991086364</v>
      </c>
      <c r="J249" s="569">
        <f t="shared" ca="1" si="87"/>
        <v>23.097090128491327</v>
      </c>
      <c r="K249" s="569">
        <f t="shared" ca="1" si="88"/>
        <v>22.167657136308126</v>
      </c>
      <c r="L249" s="510"/>
      <c r="M249" s="687">
        <f t="shared" ca="1" si="89"/>
        <v>23.750678024141976</v>
      </c>
      <c r="N249" s="687">
        <f t="shared" ca="1" si="90"/>
        <v>23.434690082908105</v>
      </c>
      <c r="O249" s="687">
        <f t="shared" ca="1" si="91"/>
        <v>23.131928935137044</v>
      </c>
      <c r="P249" s="687">
        <f t="shared" ca="1" si="92"/>
        <v>22.873468327741762</v>
      </c>
      <c r="Q249" s="687">
        <f t="shared" ca="1" si="93"/>
        <v>22.622352964631062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24.3</v>
      </c>
      <c r="E250" s="510"/>
      <c r="F250" s="569">
        <f t="shared" si="83"/>
        <v>24.3</v>
      </c>
      <c r="G250" s="569">
        <f t="shared" ca="1" si="84"/>
        <v>23.810686155001381</v>
      </c>
      <c r="H250" s="569">
        <f t="shared" ca="1" si="85"/>
        <v>24.884854119556703</v>
      </c>
      <c r="I250" s="569">
        <f t="shared" ca="1" si="86"/>
        <v>24.32454495514088</v>
      </c>
      <c r="J250" s="569">
        <f t="shared" ca="1" si="87"/>
        <v>25.366515605405205</v>
      </c>
      <c r="K250" s="569">
        <f t="shared" ca="1" si="88"/>
        <v>24.74773765382465</v>
      </c>
      <c r="L250" s="510"/>
      <c r="M250" s="687">
        <f t="shared" ca="1" si="89"/>
        <v>24.050067547670594</v>
      </c>
      <c r="N250" s="687">
        <f t="shared" ca="1" si="90"/>
        <v>24.353561912108731</v>
      </c>
      <c r="O250" s="687">
        <f t="shared" ca="1" si="91"/>
        <v>24.598658572554591</v>
      </c>
      <c r="P250" s="687">
        <f t="shared" ca="1" si="92"/>
        <v>24.851148451345544</v>
      </c>
      <c r="Q250" s="687">
        <f t="shared" ca="1" si="93"/>
        <v>25.050455284474921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24.3</v>
      </c>
      <c r="E251" s="510"/>
      <c r="F251" s="569">
        <f t="shared" si="83"/>
        <v>24.3</v>
      </c>
      <c r="G251" s="569">
        <f t="shared" ca="1" si="84"/>
        <v>24.619298576668371</v>
      </c>
      <c r="H251" s="569">
        <f t="shared" ca="1" si="85"/>
        <v>25.926721530909333</v>
      </c>
      <c r="I251" s="569">
        <f t="shared" ca="1" si="86"/>
        <v>26.048552720706454</v>
      </c>
      <c r="J251" s="569">
        <f t="shared" ca="1" si="87"/>
        <v>27.266421608996207</v>
      </c>
      <c r="K251" s="569">
        <f t="shared" ca="1" si="88"/>
        <v>27.225626886131352</v>
      </c>
      <c r="L251" s="510"/>
      <c r="M251" s="687">
        <f t="shared" ca="1" si="89"/>
        <v>24.463091801116398</v>
      </c>
      <c r="N251" s="687">
        <f t="shared" ca="1" si="90"/>
        <v>25.280059509374937</v>
      </c>
      <c r="O251" s="687">
        <f t="shared" ca="1" si="91"/>
        <v>25.988950646940765</v>
      </c>
      <c r="P251" s="687">
        <f t="shared" ca="1" si="92"/>
        <v>26.664053756488585</v>
      </c>
      <c r="Q251" s="687">
        <f t="shared" ca="1" si="93"/>
        <v>27.245584419875307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24.3</v>
      </c>
      <c r="E252" s="510"/>
      <c r="F252" s="569">
        <f t="shared" si="83"/>
        <v>24.3</v>
      </c>
      <c r="G252" s="569">
        <f t="shared" ca="1" si="84"/>
        <v>24.988353818177572</v>
      </c>
      <c r="H252" s="569">
        <f t="shared" ca="1" si="85"/>
        <v>26.466725669648575</v>
      </c>
      <c r="I252" s="569">
        <f t="shared" ca="1" si="86"/>
        <v>26.892061111341519</v>
      </c>
      <c r="J252" s="569">
        <f t="shared" ca="1" si="87"/>
        <v>28.251150657985946</v>
      </c>
      <c r="K252" s="569">
        <f t="shared" ca="1" si="88"/>
        <v>28.459875123049247</v>
      </c>
      <c r="L252" s="510"/>
      <c r="M252" s="687">
        <f t="shared" ca="1" si="89"/>
        <v>24.651598385383753</v>
      </c>
      <c r="N252" s="687">
        <f t="shared" ca="1" si="90"/>
        <v>25.735510933858041</v>
      </c>
      <c r="O252" s="687">
        <f t="shared" ca="1" si="91"/>
        <v>26.683979138136124</v>
      </c>
      <c r="P252" s="687">
        <f t="shared" ca="1" si="92"/>
        <v>27.5789339198382</v>
      </c>
      <c r="Q252" s="687">
        <f t="shared" ca="1" si="93"/>
        <v>27.746986314752135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24.3</v>
      </c>
      <c r="E253" s="510"/>
      <c r="F253" s="569">
        <f t="shared" si="83"/>
        <v>24.3</v>
      </c>
      <c r="G253" s="569">
        <f t="shared" ca="1" si="84"/>
        <v>24.636155306495478</v>
      </c>
      <c r="H253" s="569">
        <f t="shared" ca="1" si="85"/>
        <v>25.894627514926167</v>
      </c>
      <c r="I253" s="569">
        <f t="shared" ca="1" si="86"/>
        <v>26.037211320447263</v>
      </c>
      <c r="J253" s="569">
        <f t="shared" ca="1" si="87"/>
        <v>27.207896298595532</v>
      </c>
      <c r="K253" s="569">
        <f t="shared" ca="1" si="88"/>
        <v>27.191062680763405</v>
      </c>
      <c r="L253" s="510"/>
      <c r="M253" s="687">
        <f t="shared" ca="1" si="89"/>
        <v>24.471701906608008</v>
      </c>
      <c r="N253" s="687">
        <f t="shared" ca="1" si="90"/>
        <v>25.272176930202338</v>
      </c>
      <c r="O253" s="687">
        <f t="shared" ca="1" si="91"/>
        <v>25.967456682832601</v>
      </c>
      <c r="P253" s="687">
        <f t="shared" ca="1" si="92"/>
        <v>26.628865991613644</v>
      </c>
      <c r="Q253" s="687">
        <f t="shared" ca="1" si="93"/>
        <v>27.19929799828304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24.3</v>
      </c>
      <c r="E254" s="510"/>
      <c r="F254" s="569">
        <f t="shared" si="83"/>
        <v>24.3</v>
      </c>
      <c r="G254" s="569">
        <f t="shared" ca="1" si="84"/>
        <v>24.107355215725164</v>
      </c>
      <c r="H254" s="569">
        <f t="shared" ca="1" si="85"/>
        <v>25.138575152751251</v>
      </c>
      <c r="I254" s="569">
        <f t="shared" ca="1" si="86"/>
        <v>24.844135905833273</v>
      </c>
      <c r="J254" s="569">
        <f t="shared" ca="1" si="87"/>
        <v>25.829190710654743</v>
      </c>
      <c r="K254" s="569">
        <f t="shared" ca="1" si="88"/>
        <v>25.450917785408549</v>
      </c>
      <c r="L254" s="510"/>
      <c r="M254" s="687">
        <f t="shared" ca="1" si="89"/>
        <v>24.201600611030301</v>
      </c>
      <c r="N254" s="687">
        <f t="shared" ca="1" si="90"/>
        <v>24.628525388854449</v>
      </c>
      <c r="O254" s="687">
        <f t="shared" ca="1" si="91"/>
        <v>24.98818103699832</v>
      </c>
      <c r="P254" s="687">
        <f t="shared" ca="1" si="92"/>
        <v>25.341974596434198</v>
      </c>
      <c r="Q254" s="687">
        <f t="shared" ca="1" si="93"/>
        <v>25.63597590420089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24.3</v>
      </c>
      <c r="E255" s="510"/>
      <c r="F255" s="569">
        <f t="shared" si="83"/>
        <v>24.3</v>
      </c>
      <c r="G255" s="569">
        <f t="shared" ca="1" si="84"/>
        <v>23.183986811560192</v>
      </c>
      <c r="H255" s="569">
        <f t="shared" ca="1" si="85"/>
        <v>23.65445838747387</v>
      </c>
      <c r="I255" s="569">
        <f t="shared" ca="1" si="86"/>
        <v>22.616807360547305</v>
      </c>
      <c r="J255" s="569">
        <f t="shared" ca="1" si="87"/>
        <v>23.122817210863793</v>
      </c>
      <c r="K255" s="569">
        <f t="shared" ca="1" si="88"/>
        <v>22.149701995324481</v>
      </c>
      <c r="L255" s="510"/>
      <c r="M255" s="687">
        <f t="shared" ca="1" si="89"/>
        <v>23.729961126443282</v>
      </c>
      <c r="N255" s="687">
        <f t="shared" ca="1" si="90"/>
        <v>23.421759321446352</v>
      </c>
      <c r="O255" s="687">
        <f t="shared" ca="1" si="91"/>
        <v>23.12444545513468</v>
      </c>
      <c r="P255" s="687">
        <f t="shared" ca="1" si="92"/>
        <v>22.872540625417159</v>
      </c>
      <c r="Q255" s="687">
        <f t="shared" ca="1" si="93"/>
        <v>22.625767976094064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24.3</v>
      </c>
      <c r="E256" s="510"/>
      <c r="F256" s="569">
        <f t="shared" si="83"/>
        <v>24.3</v>
      </c>
      <c r="G256" s="569">
        <f t="shared" ca="1" si="84"/>
        <v>22.471534465557969</v>
      </c>
      <c r="H256" s="569">
        <f t="shared" ca="1" si="85"/>
        <v>22.219557810613765</v>
      </c>
      <c r="I256" s="569">
        <f t="shared" ca="1" si="86"/>
        <v>20.643636719008946</v>
      </c>
      <c r="J256" s="569">
        <f t="shared" ca="1" si="87"/>
        <v>20.506192301756226</v>
      </c>
      <c r="K256" s="569">
        <f t="shared" ca="1" si="88"/>
        <v>19.138256291408862</v>
      </c>
      <c r="L256" s="510"/>
      <c r="M256" s="687">
        <f t="shared" ca="1" si="89"/>
        <v>23.366053659233405</v>
      </c>
      <c r="N256" s="687">
        <f t="shared" ca="1" si="90"/>
        <v>22.344187512530151</v>
      </c>
      <c r="O256" s="687">
        <f t="shared" ca="1" si="91"/>
        <v>21.414606495362225</v>
      </c>
      <c r="P256" s="687">
        <f t="shared" ca="1" si="92"/>
        <v>20.57417342784932</v>
      </c>
      <c r="Q256" s="687">
        <f t="shared" ca="1" si="93"/>
        <v>19.807475915145943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24.3</v>
      </c>
      <c r="E257" s="510"/>
      <c r="F257" s="569">
        <f t="shared" si="83"/>
        <v>24.3</v>
      </c>
      <c r="G257" s="569">
        <f t="shared" ca="1" si="84"/>
        <v>21.447061773471574</v>
      </c>
      <c r="H257" s="569">
        <f t="shared" ca="1" si="85"/>
        <v>20.68049858101061</v>
      </c>
      <c r="I257" s="569">
        <f t="shared" ca="1" si="86"/>
        <v>18.266930875744713</v>
      </c>
      <c r="J257" s="569">
        <f t="shared" ca="1" si="87"/>
        <v>17.699628013111351</v>
      </c>
      <c r="K257" s="569">
        <f t="shared" ca="1" si="88"/>
        <v>15.647907563482031</v>
      </c>
      <c r="L257" s="510"/>
      <c r="M257" s="687">
        <f t="shared" ca="1" si="89"/>
        <v>22.842771976332358</v>
      </c>
      <c r="N257" s="687">
        <f t="shared" ca="1" si="90"/>
        <v>21.059646967584911</v>
      </c>
      <c r="O257" s="687">
        <f t="shared" ca="1" si="91"/>
        <v>19.447692884613716</v>
      </c>
      <c r="P257" s="687">
        <f t="shared" ca="1" si="92"/>
        <v>17.980220620716072</v>
      </c>
      <c r="Q257" s="687">
        <f t="shared" ca="1" si="93"/>
        <v>16.651647195254675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24.3</v>
      </c>
      <c r="G259" s="569">
        <f t="shared" ca="1" si="94"/>
        <v>21.355432095857598</v>
      </c>
      <c r="H259" s="569">
        <f t="shared" ca="1" si="94"/>
        <v>20.586291094725496</v>
      </c>
      <c r="I259" s="569">
        <f t="shared" ca="1" si="94"/>
        <v>18.092529538929085</v>
      </c>
      <c r="J259" s="569">
        <f t="shared" ca="1" si="94"/>
        <v>17.527835166127172</v>
      </c>
      <c r="K259" s="569">
        <f t="shared" ca="1" si="94"/>
        <v>15.405338936697703</v>
      </c>
      <c r="L259" s="510"/>
      <c r="M259" s="705">
        <f t="shared" ref="M259:Q270" ca="1" si="95">IF(AND($G$206=1,M246&gt;=$E$206),$E$206,M246)</f>
        <v>22.795969233539989</v>
      </c>
      <c r="N259" s="569">
        <f t="shared" ca="1" si="95"/>
        <v>20.966714486424191</v>
      </c>
      <c r="O259" s="569">
        <f t="shared" ca="1" si="95"/>
        <v>19.312523864274965</v>
      </c>
      <c r="P259" s="569">
        <f t="shared" ca="1" si="95"/>
        <v>17.807137593456194</v>
      </c>
      <c r="Q259" s="569">
        <f t="shared" ca="1" si="95"/>
        <v>16.443703390369386</v>
      </c>
      <c r="R259" s="510"/>
      <c r="S259" s="687">
        <f t="shared" ref="S259:S270" ca="1" si="96">AVERAGE(M259:Q259)</f>
        <v>19.465209713612943</v>
      </c>
      <c r="T259" s="510"/>
      <c r="U259" s="570">
        <f t="shared" ref="U259:U270" ca="1" si="97">IF($G$206=1,M259,D246)</f>
        <v>22.795969233539989</v>
      </c>
      <c r="V259" s="570">
        <f t="shared" ref="V259:V270" ca="1" si="98">IF($G$206=1,S259,D246)</f>
        <v>19.465209713612943</v>
      </c>
      <c r="W259" s="510"/>
      <c r="X259" s="569">
        <f t="shared" ref="X259:X270" ca="1" si="99">D246*$E$18+U259*$F$18+V259*$I$18</f>
        <v>22.432654328736408</v>
      </c>
      <c r="Y259" s="510"/>
      <c r="Z259" s="706">
        <f ca="1">IF($D$206&lt;X259,X259,$D$206)</f>
        <v>24.3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24.3</v>
      </c>
      <c r="G260" s="569">
        <f t="shared" ca="1" si="94"/>
        <v>21.640960579718005</v>
      </c>
      <c r="H260" s="569">
        <f t="shared" ca="1" si="94"/>
        <v>21.149445530264224</v>
      </c>
      <c r="I260" s="569">
        <f t="shared" ca="1" si="94"/>
        <v>18.87285125902164</v>
      </c>
      <c r="J260" s="569">
        <f t="shared" ca="1" si="94"/>
        <v>18.554780131840083</v>
      </c>
      <c r="K260" s="569">
        <f t="shared" ca="1" si="94"/>
        <v>16.593151751376393</v>
      </c>
      <c r="L260" s="510"/>
      <c r="M260" s="705">
        <f t="shared" ca="1" si="95"/>
        <v>22.941811896506799</v>
      </c>
      <c r="N260" s="569">
        <f t="shared" ca="1" si="95"/>
        <v>21.392552869372317</v>
      </c>
      <c r="O260" s="569">
        <f t="shared" ca="1" si="95"/>
        <v>19.986603327889302</v>
      </c>
      <c r="P260" s="569">
        <f t="shared" ca="1" si="95"/>
        <v>18.712100697023491</v>
      </c>
      <c r="Q260" s="569">
        <f t="shared" ca="1" si="95"/>
        <v>17.552816674849335</v>
      </c>
      <c r="R260" s="510"/>
      <c r="S260" s="687">
        <f t="shared" ca="1" si="96"/>
        <v>20.117177093128248</v>
      </c>
      <c r="T260" s="510"/>
      <c r="U260" s="570">
        <f t="shared" ca="1" si="97"/>
        <v>22.941811896506799</v>
      </c>
      <c r="V260" s="570">
        <f t="shared" ca="1" si="98"/>
        <v>20.117177093128248</v>
      </c>
      <c r="W260" s="510"/>
      <c r="X260" s="569">
        <f t="shared" ca="1" si="99"/>
        <v>22.657333544319485</v>
      </c>
      <c r="Y260" s="510"/>
      <c r="Z260" s="706">
        <f t="shared" ref="Z260:Z270" ca="1" si="100">IF($D$206&lt;X260,X260,$D$206)</f>
        <v>24.3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24.3</v>
      </c>
      <c r="G261" s="569">
        <f t="shared" ca="1" si="94"/>
        <v>22.411060349553395</v>
      </c>
      <c r="H261" s="569">
        <f t="shared" ca="1" si="94"/>
        <v>22.450945391641302</v>
      </c>
      <c r="I261" s="569">
        <f t="shared" ca="1" si="94"/>
        <v>20.786462093899839</v>
      </c>
      <c r="J261" s="569">
        <f t="shared" ca="1" si="94"/>
        <v>20.928141054121831</v>
      </c>
      <c r="K261" s="569">
        <f t="shared" ca="1" si="94"/>
        <v>19.448510656850726</v>
      </c>
      <c r="L261" s="510"/>
      <c r="M261" s="705">
        <f t="shared" ca="1" si="95"/>
        <v>23.335164600462708</v>
      </c>
      <c r="N261" s="569">
        <f t="shared" ca="1" si="95"/>
        <v>22.431217925589181</v>
      </c>
      <c r="O261" s="569">
        <f t="shared" ca="1" si="95"/>
        <v>21.60075814123347</v>
      </c>
      <c r="P261" s="569">
        <f t="shared" ca="1" si="95"/>
        <v>20.858065488652478</v>
      </c>
      <c r="Q261" s="569">
        <f t="shared" ca="1" si="95"/>
        <v>20.172373242703898</v>
      </c>
      <c r="R261" s="510"/>
      <c r="S261" s="687">
        <f t="shared" ca="1" si="96"/>
        <v>21.679515879728346</v>
      </c>
      <c r="T261" s="510"/>
      <c r="U261" s="570">
        <f t="shared" ca="1" si="97"/>
        <v>23.335164600462708</v>
      </c>
      <c r="V261" s="570">
        <f t="shared" ca="1" si="98"/>
        <v>21.679515879728346</v>
      </c>
      <c r="W261" s="510"/>
      <c r="X261" s="569">
        <f t="shared" ca="1" si="99"/>
        <v>23.21662978110804</v>
      </c>
      <c r="Y261" s="510"/>
      <c r="Z261" s="706">
        <f t="shared" ca="1" si="100"/>
        <v>24.3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24.3</v>
      </c>
      <c r="G262" s="569">
        <f t="shared" ca="1" si="94"/>
        <v>23.224546029760607</v>
      </c>
      <c r="H262" s="569">
        <f t="shared" ca="1" si="94"/>
        <v>23.64035021124705</v>
      </c>
      <c r="I262" s="569">
        <f t="shared" ca="1" si="94"/>
        <v>22.644970991086364</v>
      </c>
      <c r="J262" s="569">
        <f t="shared" ca="1" si="94"/>
        <v>23.097090128491327</v>
      </c>
      <c r="K262" s="569">
        <f t="shared" ca="1" si="94"/>
        <v>22.167657136308126</v>
      </c>
      <c r="L262" s="510"/>
      <c r="M262" s="705">
        <f t="shared" ca="1" si="95"/>
        <v>23.750678024141976</v>
      </c>
      <c r="N262" s="569">
        <f t="shared" ca="1" si="95"/>
        <v>23.434690082908105</v>
      </c>
      <c r="O262" s="569">
        <f t="shared" ca="1" si="95"/>
        <v>23.131928935137044</v>
      </c>
      <c r="P262" s="569">
        <f t="shared" ca="1" si="95"/>
        <v>22.873468327741762</v>
      </c>
      <c r="Q262" s="569">
        <f t="shared" ca="1" si="95"/>
        <v>22.622352964631062</v>
      </c>
      <c r="R262" s="510"/>
      <c r="S262" s="687">
        <f t="shared" ca="1" si="96"/>
        <v>23.16262366691199</v>
      </c>
      <c r="T262" s="510"/>
      <c r="U262" s="570">
        <f t="shared" ca="1" si="97"/>
        <v>23.750678024141976</v>
      </c>
      <c r="V262" s="570">
        <f t="shared" ca="1" si="98"/>
        <v>23.16262366691199</v>
      </c>
      <c r="W262" s="510"/>
      <c r="X262" s="569">
        <f t="shared" ca="1" si="99"/>
        <v>23.767614217903795</v>
      </c>
      <c r="Y262" s="510"/>
      <c r="Z262" s="706">
        <f t="shared" ca="1" si="100"/>
        <v>24.3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24.3</v>
      </c>
      <c r="G263" s="569">
        <f t="shared" ca="1" si="94"/>
        <v>23.810686155001381</v>
      </c>
      <c r="H263" s="569">
        <f t="shared" ca="1" si="94"/>
        <v>24.884854119556703</v>
      </c>
      <c r="I263" s="569">
        <f t="shared" ca="1" si="94"/>
        <v>24.32454495514088</v>
      </c>
      <c r="J263" s="569">
        <f t="shared" ca="1" si="94"/>
        <v>25.366515605405205</v>
      </c>
      <c r="K263" s="569">
        <f t="shared" ca="1" si="94"/>
        <v>24.74773765382465</v>
      </c>
      <c r="L263" s="510"/>
      <c r="M263" s="705">
        <f t="shared" ca="1" si="95"/>
        <v>24.050067547670594</v>
      </c>
      <c r="N263" s="569">
        <f t="shared" ca="1" si="95"/>
        <v>24.353561912108731</v>
      </c>
      <c r="O263" s="569">
        <f t="shared" ca="1" si="95"/>
        <v>24.598658572554591</v>
      </c>
      <c r="P263" s="569">
        <f t="shared" ca="1" si="95"/>
        <v>24.851148451345544</v>
      </c>
      <c r="Q263" s="569">
        <f t="shared" ca="1" si="95"/>
        <v>25.050455284474921</v>
      </c>
      <c r="R263" s="510"/>
      <c r="S263" s="687">
        <f t="shared" ca="1" si="96"/>
        <v>24.58077835363088</v>
      </c>
      <c r="T263" s="510"/>
      <c r="U263" s="570">
        <f t="shared" ca="1" si="97"/>
        <v>24.050067547670594</v>
      </c>
      <c r="V263" s="570">
        <f t="shared" ca="1" si="98"/>
        <v>24.58077835363088</v>
      </c>
      <c r="W263" s="510"/>
      <c r="X263" s="569">
        <f t="shared" ca="1" si="99"/>
        <v>24.247836535469538</v>
      </c>
      <c r="Y263" s="510"/>
      <c r="Z263" s="706">
        <f t="shared" ca="1" si="100"/>
        <v>24.3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24.3</v>
      </c>
      <c r="G264" s="569">
        <f t="shared" ca="1" si="94"/>
        <v>24.619298576668371</v>
      </c>
      <c r="H264" s="569">
        <f t="shared" ca="1" si="94"/>
        <v>25.926721530909333</v>
      </c>
      <c r="I264" s="569">
        <f t="shared" ca="1" si="94"/>
        <v>26.048552720706454</v>
      </c>
      <c r="J264" s="569">
        <f t="shared" ca="1" si="94"/>
        <v>27.266421608996207</v>
      </c>
      <c r="K264" s="569">
        <f t="shared" ca="1" si="94"/>
        <v>27.225626886131352</v>
      </c>
      <c r="L264" s="510"/>
      <c r="M264" s="705">
        <f t="shared" ca="1" si="95"/>
        <v>24.463091801116398</v>
      </c>
      <c r="N264" s="569">
        <f t="shared" ca="1" si="95"/>
        <v>25.280059509374937</v>
      </c>
      <c r="O264" s="569">
        <f t="shared" ca="1" si="95"/>
        <v>25.988950646940765</v>
      </c>
      <c r="P264" s="569">
        <f t="shared" ca="1" si="95"/>
        <v>26.664053756488585</v>
      </c>
      <c r="Q264" s="569">
        <f t="shared" ca="1" si="95"/>
        <v>27.245584419875307</v>
      </c>
      <c r="R264" s="510"/>
      <c r="S264" s="687">
        <f t="shared" ca="1" si="96"/>
        <v>25.928348026759199</v>
      </c>
      <c r="T264" s="510"/>
      <c r="U264" s="570">
        <f t="shared" ca="1" si="97"/>
        <v>24.463091801116398</v>
      </c>
      <c r="V264" s="570">
        <f t="shared" ca="1" si="98"/>
        <v>25.928348026759199</v>
      </c>
      <c r="W264" s="510"/>
      <c r="X264" s="569">
        <f t="shared" ca="1" si="99"/>
        <v>24.765364673569522</v>
      </c>
      <c r="Y264" s="510"/>
      <c r="Z264" s="706">
        <f t="shared" ca="1" si="100"/>
        <v>24.765364673569522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24.3</v>
      </c>
      <c r="G265" s="569">
        <f t="shared" ca="1" si="94"/>
        <v>24.988353818177572</v>
      </c>
      <c r="H265" s="569">
        <f t="shared" ca="1" si="94"/>
        <v>26.466725669648575</v>
      </c>
      <c r="I265" s="569">
        <f t="shared" ca="1" si="94"/>
        <v>26.892061111341519</v>
      </c>
      <c r="J265" s="569">
        <f t="shared" ca="1" si="94"/>
        <v>27.6</v>
      </c>
      <c r="K265" s="569">
        <f t="shared" ca="1" si="94"/>
        <v>27.6</v>
      </c>
      <c r="L265" s="510"/>
      <c r="M265" s="705">
        <f t="shared" ca="1" si="95"/>
        <v>24.651598385383753</v>
      </c>
      <c r="N265" s="569">
        <f t="shared" ca="1" si="95"/>
        <v>25.735510933858041</v>
      </c>
      <c r="O265" s="569">
        <f t="shared" ca="1" si="95"/>
        <v>26.683979138136124</v>
      </c>
      <c r="P265" s="569">
        <f t="shared" ca="1" si="95"/>
        <v>27.5789339198382</v>
      </c>
      <c r="Q265" s="569">
        <f t="shared" ca="1" si="95"/>
        <v>27.6</v>
      </c>
      <c r="R265" s="510"/>
      <c r="S265" s="687">
        <f t="shared" ca="1" si="96"/>
        <v>26.450004475443222</v>
      </c>
      <c r="T265" s="510"/>
      <c r="U265" s="570">
        <f t="shared" ca="1" si="97"/>
        <v>24.651598385383753</v>
      </c>
      <c r="V265" s="570">
        <f t="shared" ca="1" si="98"/>
        <v>26.450004475443222</v>
      </c>
      <c r="W265" s="510"/>
      <c r="X265" s="569">
        <f t="shared" ca="1" si="99"/>
        <v>24.979333630050174</v>
      </c>
      <c r="Y265" s="510"/>
      <c r="Z265" s="706">
        <f t="shared" ca="1" si="100"/>
        <v>24.979333630050174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24.3</v>
      </c>
      <c r="G266" s="569">
        <f t="shared" ca="1" si="94"/>
        <v>24.636155306495478</v>
      </c>
      <c r="H266" s="569">
        <f t="shared" ca="1" si="94"/>
        <v>25.894627514926167</v>
      </c>
      <c r="I266" s="569">
        <f t="shared" ca="1" si="94"/>
        <v>26.037211320447263</v>
      </c>
      <c r="J266" s="569">
        <f t="shared" ca="1" si="94"/>
        <v>27.207896298595532</v>
      </c>
      <c r="K266" s="569">
        <f t="shared" ca="1" si="94"/>
        <v>27.191062680763405</v>
      </c>
      <c r="L266" s="510"/>
      <c r="M266" s="705">
        <f t="shared" ca="1" si="95"/>
        <v>24.471701906608008</v>
      </c>
      <c r="N266" s="569">
        <f t="shared" ca="1" si="95"/>
        <v>25.272176930202338</v>
      </c>
      <c r="O266" s="569">
        <f t="shared" ca="1" si="95"/>
        <v>25.967456682832601</v>
      </c>
      <c r="P266" s="569">
        <f t="shared" ca="1" si="95"/>
        <v>26.628865991613644</v>
      </c>
      <c r="Q266" s="569">
        <f t="shared" ca="1" si="95"/>
        <v>27.19929799828304</v>
      </c>
      <c r="R266" s="510"/>
      <c r="S266" s="687">
        <f t="shared" ca="1" si="96"/>
        <v>25.907899901907928</v>
      </c>
      <c r="T266" s="510"/>
      <c r="U266" s="570">
        <f t="shared" ca="1" si="97"/>
        <v>24.471701906608008</v>
      </c>
      <c r="V266" s="570">
        <f t="shared" ca="1" si="98"/>
        <v>25.907899901907928</v>
      </c>
      <c r="W266" s="510"/>
      <c r="X266" s="569">
        <f t="shared" ca="1" si="99"/>
        <v>24.764596122648559</v>
      </c>
      <c r="Y266" s="510"/>
      <c r="Z266" s="706">
        <f t="shared" ca="1" si="100"/>
        <v>24.764596122648559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24.3</v>
      </c>
      <c r="G267" s="569">
        <f t="shared" ca="1" si="94"/>
        <v>24.107355215725164</v>
      </c>
      <c r="H267" s="569">
        <f t="shared" ca="1" si="94"/>
        <v>25.138575152751251</v>
      </c>
      <c r="I267" s="569">
        <f t="shared" ca="1" si="94"/>
        <v>24.844135905833273</v>
      </c>
      <c r="J267" s="569">
        <f t="shared" ca="1" si="94"/>
        <v>25.829190710654743</v>
      </c>
      <c r="K267" s="569">
        <f t="shared" ca="1" si="94"/>
        <v>25.450917785408549</v>
      </c>
      <c r="L267" s="510"/>
      <c r="M267" s="705">
        <f t="shared" ca="1" si="95"/>
        <v>24.201600611030301</v>
      </c>
      <c r="N267" s="569">
        <f t="shared" ca="1" si="95"/>
        <v>24.628525388854449</v>
      </c>
      <c r="O267" s="569">
        <f t="shared" ca="1" si="95"/>
        <v>24.98818103699832</v>
      </c>
      <c r="P267" s="569">
        <f t="shared" ca="1" si="95"/>
        <v>25.341974596434198</v>
      </c>
      <c r="Q267" s="569">
        <f t="shared" ca="1" si="95"/>
        <v>25.63597590420089</v>
      </c>
      <c r="R267" s="510"/>
      <c r="S267" s="687">
        <f t="shared" ca="1" si="96"/>
        <v>24.95925150750363</v>
      </c>
      <c r="T267" s="510"/>
      <c r="U267" s="570">
        <f t="shared" ca="1" si="97"/>
        <v>24.201600611030301</v>
      </c>
      <c r="V267" s="570">
        <f t="shared" ca="1" si="98"/>
        <v>24.95925150750363</v>
      </c>
      <c r="W267" s="510"/>
      <c r="X267" s="569">
        <f t="shared" ca="1" si="99"/>
        <v>24.410107792753386</v>
      </c>
      <c r="Y267" s="510"/>
      <c r="Z267" s="706">
        <f t="shared" ca="1" si="100"/>
        <v>24.410107792753386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24.3</v>
      </c>
      <c r="G268" s="569">
        <f t="shared" ca="1" si="94"/>
        <v>23.183986811560192</v>
      </c>
      <c r="H268" s="569">
        <f t="shared" ca="1" si="94"/>
        <v>23.65445838747387</v>
      </c>
      <c r="I268" s="569">
        <f t="shared" ca="1" si="94"/>
        <v>22.616807360547305</v>
      </c>
      <c r="J268" s="569">
        <f t="shared" ca="1" si="94"/>
        <v>23.122817210863793</v>
      </c>
      <c r="K268" s="569">
        <f t="shared" ca="1" si="94"/>
        <v>22.149701995324481</v>
      </c>
      <c r="L268" s="510"/>
      <c r="M268" s="705">
        <f t="shared" ca="1" si="95"/>
        <v>23.729961126443282</v>
      </c>
      <c r="N268" s="569">
        <f t="shared" ca="1" si="95"/>
        <v>23.421759321446352</v>
      </c>
      <c r="O268" s="569">
        <f t="shared" ca="1" si="95"/>
        <v>23.12444545513468</v>
      </c>
      <c r="P268" s="569">
        <f t="shared" ca="1" si="95"/>
        <v>22.872540625417159</v>
      </c>
      <c r="Q268" s="569">
        <f t="shared" ca="1" si="95"/>
        <v>22.625767976094064</v>
      </c>
      <c r="R268" s="510"/>
      <c r="S268" s="687">
        <f t="shared" ca="1" si="96"/>
        <v>23.154894900907106</v>
      </c>
      <c r="T268" s="510"/>
      <c r="U268" s="570">
        <f t="shared" ca="1" si="97"/>
        <v>23.729961126443282</v>
      </c>
      <c r="V268" s="570">
        <f t="shared" ca="1" si="98"/>
        <v>23.154894900907106</v>
      </c>
      <c r="W268" s="510"/>
      <c r="X268" s="569">
        <f t="shared" ca="1" si="99"/>
        <v>23.755908846141349</v>
      </c>
      <c r="Y268" s="510"/>
      <c r="Z268" s="706">
        <f t="shared" ca="1" si="100"/>
        <v>24.3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24.3</v>
      </c>
      <c r="G269" s="569">
        <f t="shared" ca="1" si="94"/>
        <v>22.471534465557969</v>
      </c>
      <c r="H269" s="569">
        <f t="shared" ca="1" si="94"/>
        <v>22.219557810613765</v>
      </c>
      <c r="I269" s="569">
        <f t="shared" ca="1" si="94"/>
        <v>20.643636719008946</v>
      </c>
      <c r="J269" s="569">
        <f t="shared" ca="1" si="94"/>
        <v>20.506192301756226</v>
      </c>
      <c r="K269" s="569">
        <f t="shared" ca="1" si="94"/>
        <v>19.138256291408862</v>
      </c>
      <c r="L269" s="510"/>
      <c r="M269" s="705">
        <f t="shared" ca="1" si="95"/>
        <v>23.366053659233405</v>
      </c>
      <c r="N269" s="569">
        <f t="shared" ca="1" si="95"/>
        <v>22.344187512530151</v>
      </c>
      <c r="O269" s="569">
        <f t="shared" ca="1" si="95"/>
        <v>21.414606495362225</v>
      </c>
      <c r="P269" s="569">
        <f t="shared" ca="1" si="95"/>
        <v>20.57417342784932</v>
      </c>
      <c r="Q269" s="569">
        <f t="shared" ca="1" si="95"/>
        <v>19.807475915145943</v>
      </c>
      <c r="R269" s="510"/>
      <c r="S269" s="687">
        <f t="shared" ca="1" si="96"/>
        <v>21.501299402024209</v>
      </c>
      <c r="T269" s="510"/>
      <c r="U269" s="570">
        <f t="shared" ca="1" si="97"/>
        <v>23.366053659233405</v>
      </c>
      <c r="V269" s="570">
        <f t="shared" ca="1" si="98"/>
        <v>21.501299402024209</v>
      </c>
      <c r="W269" s="510"/>
      <c r="X269" s="569">
        <f t="shared" ca="1" si="99"/>
        <v>23.188906362021669</v>
      </c>
      <c r="Y269" s="510"/>
      <c r="Z269" s="706">
        <f t="shared" ca="1" si="100"/>
        <v>24.3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24.3</v>
      </c>
      <c r="G270" s="569">
        <f t="shared" ca="1" si="94"/>
        <v>21.447061773471574</v>
      </c>
      <c r="H270" s="569">
        <f t="shared" ca="1" si="94"/>
        <v>20.68049858101061</v>
      </c>
      <c r="I270" s="569">
        <f t="shared" ca="1" si="94"/>
        <v>18.266930875744713</v>
      </c>
      <c r="J270" s="569">
        <f t="shared" ca="1" si="94"/>
        <v>17.699628013111351</v>
      </c>
      <c r="K270" s="569">
        <f t="shared" ca="1" si="94"/>
        <v>15.647907563482031</v>
      </c>
      <c r="L270" s="510"/>
      <c r="M270" s="705">
        <f t="shared" ca="1" si="95"/>
        <v>22.842771976332358</v>
      </c>
      <c r="N270" s="569">
        <f t="shared" ca="1" si="95"/>
        <v>21.059646967584911</v>
      </c>
      <c r="O270" s="569">
        <f t="shared" ca="1" si="95"/>
        <v>19.447692884613716</v>
      </c>
      <c r="P270" s="569">
        <f t="shared" ca="1" si="95"/>
        <v>17.980220620716072</v>
      </c>
      <c r="Q270" s="569">
        <f t="shared" ca="1" si="95"/>
        <v>16.651647195254675</v>
      </c>
      <c r="R270" s="510"/>
      <c r="S270" s="687">
        <f t="shared" ca="1" si="96"/>
        <v>19.596395928900346</v>
      </c>
      <c r="T270" s="510"/>
      <c r="U270" s="570">
        <f t="shared" ca="1" si="97"/>
        <v>22.842771976332358</v>
      </c>
      <c r="V270" s="570">
        <f t="shared" ca="1" si="98"/>
        <v>19.596395928900346</v>
      </c>
      <c r="W270" s="510"/>
      <c r="X270" s="569">
        <f t="shared" ca="1" si="99"/>
        <v>22.486176162277395</v>
      </c>
      <c r="Y270" s="510"/>
      <c r="Z270" s="706">
        <f t="shared" ca="1" si="100"/>
        <v>24.3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24.439352179402807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6.1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241.47368421052633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0.43591979075850046</v>
      </c>
      <c r="H282" s="726">
        <f t="shared" ref="H282:H293" si="102">IF($D$282=3,0,$D$291*G282*(1-$D$293))</f>
        <v>0.12454851164528584</v>
      </c>
      <c r="J282" s="707">
        <f t="shared" ref="J282:J293" ca="1" si="103">MAX(0.0146*$D$303*(0.7*$D$304*ABS(AG5-Z231))^0.667,0.001)</f>
        <v>0.70045771676050317</v>
      </c>
      <c r="K282" s="707">
        <f t="shared" ref="K282:K293" ca="1" si="104">0.0769*$D$303*($D$305*$D$301*AH5^2)^0.667</f>
        <v>0.97954560685127179</v>
      </c>
      <c r="L282" s="729">
        <f t="shared" ref="L282:L293" ca="1" si="105">MAX(J282,K282)+0.14*J282*K282/$D$303</f>
        <v>1.0239940719433422</v>
      </c>
      <c r="M282" s="729">
        <f t="shared" ref="M282:M293" ca="1" si="106">MAX(0,-$D$290)+L282</f>
        <v>1.0239940719433422</v>
      </c>
      <c r="N282" s="541"/>
      <c r="O282" s="729">
        <f ca="1">H282+M282</f>
        <v>1.148542583588628</v>
      </c>
      <c r="P282" s="718">
        <f ca="1">O282/3.6*1.2</f>
        <v>0.38284752786287596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3.1578947368421053</v>
      </c>
      <c r="F283" s="541" t="s">
        <v>115</v>
      </c>
      <c r="G283" s="724">
        <f t="shared" si="101"/>
        <v>0.43591979075850046</v>
      </c>
      <c r="H283" s="598">
        <f t="shared" si="102"/>
        <v>0.12454851164528584</v>
      </c>
      <c r="J283" s="707">
        <f t="shared" ca="1" si="103"/>
        <v>0.66130700574387902</v>
      </c>
      <c r="K283" s="707">
        <f t="shared" ca="1" si="104"/>
        <v>1.0307560774680633</v>
      </c>
      <c r="L283" s="729">
        <f t="shared" ca="1" si="105"/>
        <v>1.0749140587147352</v>
      </c>
      <c r="M283" s="729">
        <f t="shared" ca="1" si="106"/>
        <v>1.0749140587147352</v>
      </c>
      <c r="N283" s="541"/>
      <c r="O283" s="729">
        <f t="shared" ref="O283:O293" ca="1" si="107">H283+M283</f>
        <v>1.199462570360021</v>
      </c>
      <c r="P283" s="718">
        <f t="shared" ref="P283:P293" ca="1" si="108">O283/3.6*1.2</f>
        <v>0.39982085678667367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0.43591979075850046</v>
      </c>
      <c r="H284" s="598">
        <f t="shared" si="102"/>
        <v>0.12454851164528584</v>
      </c>
      <c r="J284" s="707">
        <f t="shared" ca="1" si="103"/>
        <v>0.53799645941599383</v>
      </c>
      <c r="K284" s="707">
        <f t="shared" ca="1" si="104"/>
        <v>1.1449122445980455</v>
      </c>
      <c r="L284" s="729">
        <f t="shared" ca="1" si="105"/>
        <v>1.184814900277245</v>
      </c>
      <c r="M284" s="729">
        <f t="shared" ca="1" si="106"/>
        <v>1.184814900277245</v>
      </c>
      <c r="N284" s="541"/>
      <c r="O284" s="729">
        <f t="shared" ca="1" si="107"/>
        <v>1.3093634119225308</v>
      </c>
      <c r="P284" s="718">
        <f t="shared" ca="1" si="108"/>
        <v>0.43645447064084358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0.43591979075850046</v>
      </c>
      <c r="H285" s="598">
        <f t="shared" si="102"/>
        <v>0.12454851164528584</v>
      </c>
      <c r="J285" s="707">
        <f t="shared" ca="1" si="103"/>
        <v>0.40856444853835361</v>
      </c>
      <c r="K285" s="707">
        <f t="shared" ca="1" si="104"/>
        <v>0.96883102538366039</v>
      </c>
      <c r="L285" s="729">
        <f t="shared" ca="1" si="105"/>
        <v>0.9944734327077569</v>
      </c>
      <c r="M285" s="729">
        <f t="shared" ca="1" si="106"/>
        <v>0.9944734327077569</v>
      </c>
      <c r="N285" s="541"/>
      <c r="O285" s="729">
        <f t="shared" ca="1" si="107"/>
        <v>1.1190219443530427</v>
      </c>
      <c r="P285" s="718">
        <f t="shared" ca="1" si="108"/>
        <v>0.37300731478434757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0.43591979075850046</v>
      </c>
      <c r="H286" s="598">
        <f t="shared" si="102"/>
        <v>0.12454851164528584</v>
      </c>
      <c r="J286" s="707">
        <f t="shared" ca="1" si="103"/>
        <v>0.26845624366538345</v>
      </c>
      <c r="K286" s="707">
        <f t="shared" ca="1" si="104"/>
        <v>0.6876876104366475</v>
      </c>
      <c r="L286" s="729">
        <f t="shared" ca="1" si="105"/>
        <v>0.69964716190501797</v>
      </c>
      <c r="M286" s="729">
        <f t="shared" ca="1" si="106"/>
        <v>0.69964716190501797</v>
      </c>
      <c r="N286" s="541"/>
      <c r="O286" s="729">
        <f t="shared" ca="1" si="107"/>
        <v>0.82419567355030376</v>
      </c>
      <c r="P286" s="718">
        <f t="shared" ca="1" si="108"/>
        <v>0.27473189118343455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0.43591979075850046</v>
      </c>
      <c r="H287" s="598">
        <f t="shared" si="102"/>
        <v>0.12454851164528584</v>
      </c>
      <c r="J287" s="707">
        <f t="shared" ca="1" si="103"/>
        <v>3.8505795595775803E-3</v>
      </c>
      <c r="K287" s="707">
        <f t="shared" ca="1" si="104"/>
        <v>0.9812000746334546</v>
      </c>
      <c r="L287" s="729">
        <f t="shared" ca="1" si="105"/>
        <v>0.98144483092069634</v>
      </c>
      <c r="M287" s="729">
        <f t="shared" ca="1" si="106"/>
        <v>0.98144483092069634</v>
      </c>
      <c r="N287" s="541"/>
      <c r="O287" s="729">
        <f t="shared" ca="1" si="107"/>
        <v>1.1059933425659823</v>
      </c>
      <c r="P287" s="718">
        <f t="shared" ca="1" si="108"/>
        <v>0.36866444752199407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0.43591979075850046</v>
      </c>
      <c r="E288" s="541"/>
      <c r="F288" s="541" t="s">
        <v>120</v>
      </c>
      <c r="G288" s="724">
        <f t="shared" si="101"/>
        <v>0.43591979075850046</v>
      </c>
      <c r="H288" s="598">
        <f t="shared" si="102"/>
        <v>0.12454851164528584</v>
      </c>
      <c r="J288" s="707">
        <f t="shared" ca="1" si="103"/>
        <v>0.17402322477815374</v>
      </c>
      <c r="K288" s="707">
        <f t="shared" ca="1" si="104"/>
        <v>0.81160071839527548</v>
      </c>
      <c r="L288" s="729">
        <f t="shared" ca="1" si="105"/>
        <v>0.8207502701479038</v>
      </c>
      <c r="M288" s="729">
        <f t="shared" ca="1" si="106"/>
        <v>0.8207502701479038</v>
      </c>
      <c r="N288" s="541"/>
      <c r="O288" s="729">
        <f t="shared" ca="1" si="107"/>
        <v>0.9452987817931896</v>
      </c>
      <c r="P288" s="718">
        <f t="shared" ca="1" si="108"/>
        <v>0.31509959393106318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0.43591979075850046</v>
      </c>
      <c r="E289" s="541"/>
      <c r="F289" s="541" t="s">
        <v>121</v>
      </c>
      <c r="G289" s="724">
        <f t="shared" si="101"/>
        <v>0.43591979075850046</v>
      </c>
      <c r="H289" s="598">
        <f t="shared" si="102"/>
        <v>0.12454851164528584</v>
      </c>
      <c r="J289" s="707">
        <f t="shared" ca="1" si="103"/>
        <v>6.4264305869380353E-2</v>
      </c>
      <c r="K289" s="707">
        <f t="shared" ca="1" si="104"/>
        <v>0.71220210446332322</v>
      </c>
      <c r="L289" s="729">
        <f t="shared" ca="1" si="105"/>
        <v>0.7151670946250297</v>
      </c>
      <c r="M289" s="729">
        <f t="shared" ca="1" si="106"/>
        <v>0.7151670946250297</v>
      </c>
      <c r="N289" s="541"/>
      <c r="O289" s="729">
        <f t="shared" ca="1" si="107"/>
        <v>0.8397156062703155</v>
      </c>
      <c r="P289" s="718">
        <f t="shared" ca="1" si="108"/>
        <v>0.27990520209010517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0.43591979075850046</v>
      </c>
      <c r="H290" s="598">
        <f t="shared" si="102"/>
        <v>0.12454851164528584</v>
      </c>
      <c r="J290" s="707">
        <f t="shared" ca="1" si="103"/>
        <v>0.17126701139907979</v>
      </c>
      <c r="K290" s="707">
        <f t="shared" ca="1" si="104"/>
        <v>0.60903932380606063</v>
      </c>
      <c r="L290" s="729">
        <f t="shared" ca="1" si="105"/>
        <v>0.61579656213749345</v>
      </c>
      <c r="M290" s="729">
        <f t="shared" ca="1" si="106"/>
        <v>0.61579656213749345</v>
      </c>
      <c r="N290" s="541"/>
      <c r="O290" s="729">
        <f t="shared" ca="1" si="107"/>
        <v>0.74034507378277925</v>
      </c>
      <c r="P290" s="718">
        <f t="shared" ca="1" si="108"/>
        <v>0.24678169126092639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0.2857142857142857</v>
      </c>
      <c r="E291" s="539"/>
      <c r="F291" s="541" t="s">
        <v>123</v>
      </c>
      <c r="G291" s="724">
        <f t="shared" si="101"/>
        <v>0.43591979075850046</v>
      </c>
      <c r="H291" s="598">
        <f t="shared" si="102"/>
        <v>0.12454851164528584</v>
      </c>
      <c r="J291" s="707">
        <f t="shared" ca="1" si="103"/>
        <v>0.38168874008147247</v>
      </c>
      <c r="K291" s="707">
        <f t="shared" ca="1" si="104"/>
        <v>0.95440679753186763</v>
      </c>
      <c r="L291" s="729">
        <f t="shared" ca="1" si="105"/>
        <v>0.97800576791246729</v>
      </c>
      <c r="M291" s="729">
        <f t="shared" ca="1" si="106"/>
        <v>0.97800576791246729</v>
      </c>
      <c r="N291" s="541"/>
      <c r="O291" s="729">
        <f t="shared" ca="1" si="107"/>
        <v>1.1025542795577532</v>
      </c>
      <c r="P291" s="718">
        <f t="shared" ca="1" si="108"/>
        <v>0.36751809318591772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0.43591979075850046</v>
      </c>
      <c r="H292" s="598">
        <f t="shared" si="102"/>
        <v>0.12454851164528584</v>
      </c>
      <c r="J292" s="707">
        <f t="shared" ca="1" si="103"/>
        <v>0.51725086386446906</v>
      </c>
      <c r="K292" s="707">
        <f t="shared" ca="1" si="104"/>
        <v>1.0921529653297082</v>
      </c>
      <c r="L292" s="729">
        <f t="shared" ca="1" si="105"/>
        <v>1.1287490713375621</v>
      </c>
      <c r="M292" s="729">
        <f t="shared" ca="1" si="106"/>
        <v>1.1287490713375621</v>
      </c>
      <c r="N292" s="541"/>
      <c r="O292" s="729">
        <f t="shared" ca="1" si="107"/>
        <v>1.2532975829828479</v>
      </c>
      <c r="P292" s="718">
        <f t="shared" ca="1" si="108"/>
        <v>0.41776586099428259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0.43591979075850046</v>
      </c>
      <c r="H293" s="598">
        <f t="shared" si="102"/>
        <v>0.12454851164528584</v>
      </c>
      <c r="J293" s="707">
        <f t="shared" ca="1" si="103"/>
        <v>0.68239076350719807</v>
      </c>
      <c r="K293" s="707">
        <f t="shared" ca="1" si="104"/>
        <v>0.82591630822660134</v>
      </c>
      <c r="L293" s="729">
        <f t="shared" ca="1" si="105"/>
        <v>0.86242694138447717</v>
      </c>
      <c r="M293" s="729">
        <f t="shared" ca="1" si="106"/>
        <v>0.86242694138447717</v>
      </c>
      <c r="N293" s="541"/>
      <c r="O293" s="729">
        <f t="shared" ca="1" si="107"/>
        <v>0.98697545302976297</v>
      </c>
      <c r="P293" s="718">
        <f t="shared" ca="1" si="108"/>
        <v>0.32899181767658764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0.43591979075850057</v>
      </c>
      <c r="H294" s="716">
        <f>AVERAGE(H282:H293)</f>
        <v>0.12454851164528581</v>
      </c>
      <c r="J294" s="710">
        <f ca="1">AVERAGE(J282:J293)</f>
        <v>0.38095978026528704</v>
      </c>
      <c r="K294" s="710">
        <f ca="1">AVERAGE(K282:K293)</f>
        <v>0.89985423809366483</v>
      </c>
      <c r="L294" s="710">
        <f ca="1">AVERAGE(L282:L293)</f>
        <v>0.92334868033447715</v>
      </c>
      <c r="M294" s="710">
        <f ca="1">AVERAGE(M282:M293)</f>
        <v>0.92334868033447715</v>
      </c>
      <c r="N294" s="710"/>
      <c r="O294" s="710">
        <f t="shared" ref="O294:P294" ca="1" si="109">AVERAGE(O282:O293)</f>
        <v>1.0478971919797628</v>
      </c>
      <c r="P294" s="710">
        <f t="shared" ca="1" si="109"/>
        <v>0.34929906399325433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0.43591979075850046</v>
      </c>
      <c r="H296" s="598">
        <f t="shared" ref="H296:H307" si="111">IF($D$282=3,0,$D$291*G296*(1-$D$293))</f>
        <v>0.12454851164528584</v>
      </c>
      <c r="J296" s="707">
        <f t="shared" ref="J296:J307" ca="1" si="112">MAX(0.0146*$D$303*(0.7*$D$304*ABS(AG5-Z259))^0.667,0.001)</f>
        <v>0.78414285596123423</v>
      </c>
      <c r="K296" s="707">
        <f t="shared" ref="K296:K307" ca="1" si="113">0.0769*$D$303*($D$305*$D$301*AH5^2)^0.667</f>
        <v>0.97954560685127179</v>
      </c>
      <c r="L296" s="729">
        <f t="shared" ref="L296:L307" ca="1" si="114">MAX(J296,K296)+0.14*J296*K296/$D$303</f>
        <v>1.0293044224462842</v>
      </c>
      <c r="M296" s="729">
        <f t="shared" ref="M296:M307" ca="1" si="115">MAX(0,-$D$290)+L296</f>
        <v>1.0293044224462842</v>
      </c>
      <c r="N296" s="541"/>
      <c r="O296" s="729">
        <f ca="1">H296+M296</f>
        <v>1.15385293409157</v>
      </c>
      <c r="P296" s="718">
        <f ca="1">O296/3.6*1.2</f>
        <v>0.38461764469718995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0.43591979075850046</v>
      </c>
      <c r="H297" s="598">
        <f t="shared" si="111"/>
        <v>0.12454851164528584</v>
      </c>
      <c r="J297" s="707">
        <f t="shared" ca="1" si="112"/>
        <v>0.74543038680064644</v>
      </c>
      <c r="K297" s="707">
        <f t="shared" ca="1" si="113"/>
        <v>1.0307560774680633</v>
      </c>
      <c r="L297" s="729">
        <f t="shared" ca="1" si="114"/>
        <v>1.0805312964739704</v>
      </c>
      <c r="M297" s="729">
        <f t="shared" ca="1" si="115"/>
        <v>1.0805312964739704</v>
      </c>
      <c r="N297" s="541"/>
      <c r="O297" s="729">
        <f t="shared" ref="O297:O307" ca="1" si="116">H297+M297</f>
        <v>1.2050798081192562</v>
      </c>
      <c r="P297" s="718">
        <f t="shared" ref="P297:P307" ca="1" si="117">O297/3.6*1.2</f>
        <v>0.40169326937308536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0.43591979075850046</v>
      </c>
      <c r="H298" s="598">
        <f t="shared" si="111"/>
        <v>0.12454851164528584</v>
      </c>
      <c r="J298" s="707">
        <f t="shared" ca="1" si="112"/>
        <v>0.62246143462843573</v>
      </c>
      <c r="K298" s="707">
        <f t="shared" ca="1" si="113"/>
        <v>1.1449122445980455</v>
      </c>
      <c r="L298" s="729">
        <f t="shared" ca="1" si="114"/>
        <v>1.1910795824398615</v>
      </c>
      <c r="M298" s="729">
        <f t="shared" ca="1" si="115"/>
        <v>1.1910795824398615</v>
      </c>
      <c r="N298" s="541"/>
      <c r="O298" s="729">
        <f t="shared" ca="1" si="116"/>
        <v>1.3156280940851472</v>
      </c>
      <c r="P298" s="718">
        <f t="shared" ca="1" si="117"/>
        <v>0.43854269802838242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0.43591979075850046</v>
      </c>
      <c r="H299" s="598">
        <f t="shared" si="111"/>
        <v>0.12454851164528584</v>
      </c>
      <c r="J299" s="707">
        <f t="shared" ca="1" si="112"/>
        <v>0.49133321957716652</v>
      </c>
      <c r="K299" s="707">
        <f t="shared" ca="1" si="113"/>
        <v>0.96883102538366039</v>
      </c>
      <c r="L299" s="729">
        <f t="shared" ca="1" si="114"/>
        <v>0.99966818361739918</v>
      </c>
      <c r="M299" s="729">
        <f t="shared" ca="1" si="115"/>
        <v>0.99966818361739918</v>
      </c>
      <c r="N299" s="541"/>
      <c r="O299" s="729">
        <f t="shared" ca="1" si="116"/>
        <v>1.1242166952626851</v>
      </c>
      <c r="P299" s="718">
        <f t="shared" ca="1" si="117"/>
        <v>0.37473889842089503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0.43591979075850046</v>
      </c>
      <c r="H300" s="598">
        <f t="shared" si="111"/>
        <v>0.12454851164528584</v>
      </c>
      <c r="J300" s="707">
        <f t="shared" ca="1" si="112"/>
        <v>0.3598294362041855</v>
      </c>
      <c r="K300" s="707">
        <f t="shared" ca="1" si="113"/>
        <v>0.6876876104366475</v>
      </c>
      <c r="L300" s="729">
        <f t="shared" ca="1" si="114"/>
        <v>0.70371777834543581</v>
      </c>
      <c r="M300" s="729">
        <f t="shared" ca="1" si="115"/>
        <v>0.70371777834543581</v>
      </c>
      <c r="N300" s="541"/>
      <c r="O300" s="729">
        <f t="shared" ca="1" si="116"/>
        <v>0.8282662899907216</v>
      </c>
      <c r="P300" s="718">
        <f t="shared" ca="1" si="117"/>
        <v>0.27608876333024052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0.43591979075850046</v>
      </c>
      <c r="H301" s="598">
        <f t="shared" si="111"/>
        <v>0.12454851164528584</v>
      </c>
      <c r="J301" s="707">
        <f t="shared" ca="1" si="112"/>
        <v>0.19724267551058991</v>
      </c>
      <c r="K301" s="707">
        <f t="shared" ca="1" si="113"/>
        <v>0.9812000746334546</v>
      </c>
      <c r="L301" s="729">
        <f t="shared" ca="1" si="114"/>
        <v>0.99373750807604633</v>
      </c>
      <c r="M301" s="729">
        <f t="shared" ca="1" si="115"/>
        <v>0.99373750807604633</v>
      </c>
      <c r="N301" s="541"/>
      <c r="O301" s="729">
        <f t="shared" ca="1" si="116"/>
        <v>1.1182860197213322</v>
      </c>
      <c r="P301" s="718">
        <f t="shared" ca="1" si="117"/>
        <v>0.37276200657377739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9.6</v>
      </c>
      <c r="E302" s="717" t="s">
        <v>842</v>
      </c>
      <c r="F302" s="541" t="s">
        <v>120</v>
      </c>
      <c r="G302" s="724">
        <f t="shared" si="110"/>
        <v>0.43591979075850046</v>
      </c>
      <c r="H302" s="598">
        <f t="shared" si="111"/>
        <v>0.12454851164528584</v>
      </c>
      <c r="J302" s="707">
        <f t="shared" ca="1" si="112"/>
        <v>7.4536328523557197E-2</v>
      </c>
      <c r="K302" s="707">
        <f t="shared" ca="1" si="113"/>
        <v>0.81160071839527548</v>
      </c>
      <c r="L302" s="729">
        <f t="shared" ca="1" si="114"/>
        <v>0.81551958609897757</v>
      </c>
      <c r="M302" s="729">
        <f t="shared" ca="1" si="115"/>
        <v>0.81551958609897757</v>
      </c>
      <c r="N302" s="541"/>
      <c r="O302" s="729">
        <f t="shared" ca="1" si="116"/>
        <v>0.94006809774426336</v>
      </c>
      <c r="P302" s="718">
        <f t="shared" ca="1" si="117"/>
        <v>0.31335603258142114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2.1611148752678102</v>
      </c>
      <c r="E303" s="593" t="s">
        <v>846</v>
      </c>
      <c r="F303" s="541" t="s">
        <v>121</v>
      </c>
      <c r="G303" s="724">
        <f t="shared" si="110"/>
        <v>0.43591979075850046</v>
      </c>
      <c r="H303" s="598">
        <f t="shared" si="111"/>
        <v>0.12454851164528584</v>
      </c>
      <c r="J303" s="707">
        <f t="shared" ca="1" si="112"/>
        <v>0.17228134261992542</v>
      </c>
      <c r="K303" s="707">
        <f t="shared" ca="1" si="113"/>
        <v>0.71220210446332322</v>
      </c>
      <c r="L303" s="729">
        <f t="shared" ca="1" si="114"/>
        <v>0.72015072351402787</v>
      </c>
      <c r="M303" s="729">
        <f t="shared" ca="1" si="115"/>
        <v>0.72015072351402787</v>
      </c>
      <c r="N303" s="541"/>
      <c r="O303" s="729">
        <f t="shared" ca="1" si="116"/>
        <v>0.84469923515931367</v>
      </c>
      <c r="P303" s="718">
        <f t="shared" ca="1" si="117"/>
        <v>0.2815664117197712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6.1</v>
      </c>
      <c r="E304" s="541"/>
      <c r="F304" s="541" t="s">
        <v>122</v>
      </c>
      <c r="G304" s="724">
        <f t="shared" si="110"/>
        <v>0.43591979075850046</v>
      </c>
      <c r="H304" s="598">
        <f t="shared" si="111"/>
        <v>0.12454851164528584</v>
      </c>
      <c r="J304" s="707">
        <f t="shared" ca="1" si="112"/>
        <v>0.2826261004384592</v>
      </c>
      <c r="K304" s="707">
        <f t="shared" ca="1" si="113"/>
        <v>0.60903932380606063</v>
      </c>
      <c r="L304" s="729">
        <f t="shared" ca="1" si="114"/>
        <v>0.6201901689323065</v>
      </c>
      <c r="M304" s="729">
        <f t="shared" ca="1" si="115"/>
        <v>0.6201901689323065</v>
      </c>
      <c r="N304" s="541"/>
      <c r="O304" s="729">
        <f t="shared" ca="1" si="116"/>
        <v>0.74473868057759229</v>
      </c>
      <c r="P304" s="718">
        <f t="shared" ca="1" si="117"/>
        <v>0.24824622685919742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0.43591979075850046</v>
      </c>
      <c r="H305" s="598">
        <f t="shared" si="111"/>
        <v>0.12454851164528584</v>
      </c>
      <c r="J305" s="707">
        <f t="shared" ca="1" si="112"/>
        <v>0.46719785764116772</v>
      </c>
      <c r="K305" s="707">
        <f t="shared" ca="1" si="113"/>
        <v>0.95440679753186763</v>
      </c>
      <c r="L305" s="729">
        <f t="shared" ca="1" si="114"/>
        <v>0.98329260747742731</v>
      </c>
      <c r="M305" s="729">
        <f t="shared" ca="1" si="115"/>
        <v>0.98329260747742731</v>
      </c>
      <c r="N305" s="541"/>
      <c r="O305" s="729">
        <f t="shared" ca="1" si="116"/>
        <v>1.1078411191227131</v>
      </c>
      <c r="P305" s="718">
        <f t="shared" ca="1" si="117"/>
        <v>0.36928037304090433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0.43591979075850046</v>
      </c>
      <c r="H306" s="598">
        <f t="shared" si="111"/>
        <v>0.12454851164528584</v>
      </c>
      <c r="J306" s="707">
        <f t="shared" ca="1" si="112"/>
        <v>0.60378095299271761</v>
      </c>
      <c r="K306" s="707">
        <f t="shared" ca="1" si="113"/>
        <v>1.0921529653297082</v>
      </c>
      <c r="L306" s="729">
        <f t="shared" ca="1" si="114"/>
        <v>1.1348711767526167</v>
      </c>
      <c r="M306" s="729">
        <f t="shared" ca="1" si="115"/>
        <v>1.1348711767526167</v>
      </c>
      <c r="N306" s="541"/>
      <c r="O306" s="729">
        <f t="shared" ca="1" si="116"/>
        <v>1.2594196883979025</v>
      </c>
      <c r="P306" s="718">
        <f t="shared" ca="1" si="117"/>
        <v>0.41980656279930084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0.43591979075850046</v>
      </c>
      <c r="H307" s="598">
        <f t="shared" si="111"/>
        <v>0.12454851164528584</v>
      </c>
      <c r="J307" s="707">
        <f t="shared" ca="1" si="112"/>
        <v>0.76655434523836297</v>
      </c>
      <c r="K307" s="707">
        <f t="shared" ca="1" si="113"/>
        <v>0.82591630822660134</v>
      </c>
      <c r="L307" s="729">
        <f t="shared" ca="1" si="114"/>
        <v>0.86693002938356767</v>
      </c>
      <c r="M307" s="729">
        <f t="shared" ca="1" si="115"/>
        <v>0.86693002938356767</v>
      </c>
      <c r="N307" s="541"/>
      <c r="O307" s="729">
        <f t="shared" ca="1" si="116"/>
        <v>0.99147854102885347</v>
      </c>
      <c r="P307" s="718">
        <f t="shared" ca="1" si="117"/>
        <v>0.33049284700961784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0.43591979075850057</v>
      </c>
      <c r="H308" s="735">
        <f>AVERAGE(H296:H307)</f>
        <v>0.12454851164528581</v>
      </c>
      <c r="J308" s="734">
        <f t="shared" ref="J308:P308" ca="1" si="118">AVERAGE(J296:J307)</f>
        <v>0.46395141134470413</v>
      </c>
      <c r="K308" s="734">
        <f t="shared" ca="1" si="118"/>
        <v>0.89985423809366483</v>
      </c>
      <c r="L308" s="734">
        <f t="shared" ca="1" si="118"/>
        <v>0.92824942196316007</v>
      </c>
      <c r="M308" s="734">
        <f t="shared" ca="1" si="118"/>
        <v>0.92824942196316007</v>
      </c>
      <c r="N308" s="734"/>
      <c r="O308" s="734">
        <f t="shared" ca="1" si="118"/>
        <v>1.0527979336084459</v>
      </c>
      <c r="P308" s="734">
        <f t="shared" ca="1" si="118"/>
        <v>0.35093264453614864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30455.395236771172</v>
      </c>
      <c r="D313" s="664">
        <f>$K$176*Calcs!O5</f>
        <v>16255.928941714286</v>
      </c>
      <c r="E313" s="685">
        <f>$K$177*Calcs!O5</f>
        <v>31153.309387397258</v>
      </c>
      <c r="F313" s="730">
        <f t="shared" ref="F313:F324" si="119">SUM(C313:E313)</f>
        <v>77864.633565882716</v>
      </c>
      <c r="H313" s="753">
        <f t="shared" ref="H313:H324" ca="1" si="120">F313+AM144</f>
        <v>89578.139387400632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27508.098923535254</v>
      </c>
      <c r="D314" s="664">
        <f>$K$176*Calcs!O6</f>
        <v>14682.774528</v>
      </c>
      <c r="E314" s="685">
        <f>$K$177*Calcs!O6</f>
        <v>28138.472995068492</v>
      </c>
      <c r="F314" s="730">
        <f t="shared" si="119"/>
        <v>70329.34644660374</v>
      </c>
      <c r="H314" s="753">
        <f t="shared" ca="1" si="120"/>
        <v>84875.544666712769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30455.395236771172</v>
      </c>
      <c r="D315" s="664">
        <f>$K$176*Calcs!O7</f>
        <v>16255.928941714286</v>
      </c>
      <c r="E315" s="685">
        <f>$K$177*Calcs!O7</f>
        <v>31153.309387397258</v>
      </c>
      <c r="F315" s="730">
        <f t="shared" si="119"/>
        <v>77864.633565882716</v>
      </c>
      <c r="H315" s="753">
        <f t="shared" ca="1" si="120"/>
        <v>98086.23577063391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29472.9631323592</v>
      </c>
      <c r="D316" s="664">
        <f>$K$176*Calcs!O8</f>
        <v>15731.544137142859</v>
      </c>
      <c r="E316" s="685">
        <f>$K$177*Calcs!O8</f>
        <v>30148.36392328767</v>
      </c>
      <c r="F316" s="730">
        <f t="shared" si="119"/>
        <v>75352.871192789724</v>
      </c>
      <c r="H316" s="753">
        <f t="shared" ca="1" si="120"/>
        <v>97519.106671945614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30455.395236771172</v>
      </c>
      <c r="D317" s="664">
        <f>$K$176*Calcs!O9</f>
        <v>16255.928941714286</v>
      </c>
      <c r="E317" s="685">
        <f>$K$177*Calcs!O9</f>
        <v>31153.309387397258</v>
      </c>
      <c r="F317" s="730">
        <f t="shared" si="119"/>
        <v>77864.633565882716</v>
      </c>
      <c r="H317" s="753">
        <f t="shared" ca="1" si="120"/>
        <v>107460.19365697587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29472.9631323592</v>
      </c>
      <c r="D318" s="664">
        <f>$K$176*Calcs!O10</f>
        <v>15731.544137142859</v>
      </c>
      <c r="E318" s="685">
        <f>$K$177*Calcs!O10</f>
        <v>30148.36392328767</v>
      </c>
      <c r="F318" s="730">
        <f t="shared" si="119"/>
        <v>75352.871192789724</v>
      </c>
      <c r="H318" s="753">
        <f t="shared" ca="1" si="120"/>
        <v>104569.05372913225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30455.395236771172</v>
      </c>
      <c r="D319" s="664">
        <f>$K$176*Calcs!O11</f>
        <v>16255.928941714286</v>
      </c>
      <c r="E319" s="685">
        <f>$K$177*Calcs!O11</f>
        <v>31153.309387397258</v>
      </c>
      <c r="F319" s="730">
        <f t="shared" si="119"/>
        <v>77864.633565882716</v>
      </c>
      <c r="H319" s="753">
        <f t="shared" ca="1" si="120"/>
        <v>108225.18751314659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30455.395236771172</v>
      </c>
      <c r="D320" s="664">
        <f>$K$176*Calcs!O12</f>
        <v>16255.928941714286</v>
      </c>
      <c r="E320" s="685">
        <f>$K$177*Calcs!O12</f>
        <v>31153.309387397258</v>
      </c>
      <c r="F320" s="730">
        <f t="shared" si="119"/>
        <v>77864.633565882716</v>
      </c>
      <c r="H320" s="753">
        <f t="shared" ca="1" si="120"/>
        <v>104479.98555264968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29472.9631323592</v>
      </c>
      <c r="D321" s="664">
        <f>$K$176*Calcs!O13</f>
        <v>15731.544137142859</v>
      </c>
      <c r="E321" s="685">
        <f>$K$177*Calcs!O13</f>
        <v>30148.36392328767</v>
      </c>
      <c r="F321" s="730">
        <f t="shared" si="119"/>
        <v>75352.871192789724</v>
      </c>
      <c r="H321" s="753">
        <f t="shared" ca="1" si="120"/>
        <v>98404.475334692863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30455.395236771172</v>
      </c>
      <c r="D322" s="664">
        <f>$K$176*Calcs!O14</f>
        <v>16255.928941714286</v>
      </c>
      <c r="E322" s="685">
        <f>$K$177*Calcs!O14</f>
        <v>31153.309387397258</v>
      </c>
      <c r="F322" s="730">
        <f t="shared" si="119"/>
        <v>77864.633565882716</v>
      </c>
      <c r="H322" s="753">
        <f t="shared" ca="1" si="120"/>
        <v>96519.086528472501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29472.9631323592</v>
      </c>
      <c r="D323" s="664">
        <f>$K$176*Calcs!O15</f>
        <v>15731.544137142859</v>
      </c>
      <c r="E323" s="685">
        <f>$K$177*Calcs!O15</f>
        <v>30148.36392328767</v>
      </c>
      <c r="F323" s="730">
        <f t="shared" si="119"/>
        <v>75352.871192789724</v>
      </c>
      <c r="H323" s="753">
        <f t="shared" ca="1" si="120"/>
        <v>86135.680761807482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30455.395236771172</v>
      </c>
      <c r="D324" s="664">
        <f>$K$176*Calcs!O16</f>
        <v>16255.928941714286</v>
      </c>
      <c r="E324" s="685">
        <f>$K$177*Calcs!O16</f>
        <v>31153.309387397258</v>
      </c>
      <c r="F324" s="730">
        <f t="shared" si="119"/>
        <v>77864.633565882716</v>
      </c>
      <c r="H324" s="753">
        <f t="shared" ca="1" si="120"/>
        <v>87759.713437107683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358587.71811037022</v>
      </c>
      <c r="D325" s="683">
        <f>SUM(D313:D324)</f>
        <v>191400.45366857146</v>
      </c>
      <c r="E325" s="683">
        <f>SUM(E313:E324)</f>
        <v>366805.09439999994</v>
      </c>
      <c r="F325" s="683">
        <f>SUM(F313:F324)</f>
        <v>916793.26617894159</v>
      </c>
      <c r="H325" s="683">
        <f ca="1">SUM(H313:H324)</f>
        <v>1163612.4030106778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123.63429688320109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9.2422864588800717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104929.2320923629</v>
      </c>
      <c r="D345" s="757">
        <f ca="1">Calcs!P282*Calcs!$C$2</f>
        <v>878.25222891743749</v>
      </c>
      <c r="E345" s="685">
        <f ca="1">D345*(Calcs!Z231-Calcs!AG5)*Calcs!O5</f>
        <v>57488.951341781671</v>
      </c>
      <c r="F345" s="740">
        <f t="shared" ref="F345:F356" ca="1" si="121">C345+E345</f>
        <v>162418.18343414456</v>
      </c>
      <c r="G345" s="717"/>
      <c r="H345" s="758">
        <f t="shared" ref="H345:H356" ca="1" si="122">IF(F345=0,9999,H313/F345)</f>
        <v>0.55152777535971975</v>
      </c>
      <c r="I345" s="744">
        <f t="shared" ref="I345:I356" ca="1" si="123">IF(F345=0,9999,IF(F345&lt;0,H313,H313/F345))</f>
        <v>0.55152777535971975</v>
      </c>
      <c r="J345" s="760">
        <f t="shared" ref="J345:J356" ca="1" si="124">IF(H345&gt;0,(1-H345^$C$338)/(1-H345^($C$338+1)),1/H345)</f>
        <v>0.99816258367909949</v>
      </c>
      <c r="K345" s="539"/>
      <c r="L345" s="740">
        <f t="shared" ref="L345:L356" ca="1" si="125">F345-J345*H313</f>
        <v>73004.636382050245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86944.748567126037</v>
      </c>
      <c r="D346" s="757">
        <f ca="1">Calcs!P283*Calcs!$C$2</f>
        <v>917.18904546862939</v>
      </c>
      <c r="E346" s="685">
        <f ca="1">D346*(Calcs!Z232-Calcs!AG6)*Calcs!O6</f>
        <v>49747.452550867187</v>
      </c>
      <c r="F346" s="740">
        <f t="shared" ca="1" si="121"/>
        <v>136692.20111799322</v>
      </c>
      <c r="G346" s="717"/>
      <c r="H346" s="758">
        <f t="shared" ca="1" si="122"/>
        <v>0.62092455877162944</v>
      </c>
      <c r="I346" s="744">
        <f t="shared" ca="1" si="123"/>
        <v>0.62092455877162944</v>
      </c>
      <c r="J346" s="760">
        <f t="shared" ca="1" si="124"/>
        <v>0.99533082461588718</v>
      </c>
      <c r="K346" s="539"/>
      <c r="L346" s="740">
        <f t="shared" ca="1" si="125"/>
        <v>52212.955255151435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70644.546833619519</v>
      </c>
      <c r="D347" s="757">
        <f ca="1">Calcs!P284*Calcs!$C$2</f>
        <v>1001.2265556500952</v>
      </c>
      <c r="E347" s="685">
        <f ca="1">D347*(Calcs!Z233-Calcs!AG7)*Calcs!O7</f>
        <v>44124.483525471449</v>
      </c>
      <c r="F347" s="740">
        <f t="shared" ca="1" si="121"/>
        <v>114769.03035909098</v>
      </c>
      <c r="G347" s="717"/>
      <c r="H347" s="758">
        <f t="shared" ca="1" si="122"/>
        <v>0.85464027589795177</v>
      </c>
      <c r="I347" s="744">
        <f t="shared" ca="1" si="123"/>
        <v>0.85464027589795177</v>
      </c>
      <c r="J347" s="760">
        <f t="shared" ca="1" si="124"/>
        <v>0.95744552282367779</v>
      </c>
      <c r="K347" s="539"/>
      <c r="L347" s="740">
        <f t="shared" ca="1" si="125"/>
        <v>20856.803069869871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45253.224781118035</v>
      </c>
      <c r="D348" s="757">
        <f ca="1">Calcs!P285*Calcs!$C$2</f>
        <v>855.67878011529331</v>
      </c>
      <c r="E348" s="685">
        <f ca="1">D348*(Calcs!Z234-Calcs!AG8)*Calcs!O8</f>
        <v>24156.217229517919</v>
      </c>
      <c r="F348" s="740">
        <f t="shared" ca="1" si="121"/>
        <v>69409.442010635947</v>
      </c>
      <c r="G348" s="717"/>
      <c r="H348" s="758">
        <f t="shared" ca="1" si="122"/>
        <v>1.4049832968978815</v>
      </c>
      <c r="I348" s="744">
        <f t="shared" ca="1" si="123"/>
        <v>1.4049832968978815</v>
      </c>
      <c r="J348" s="760">
        <f t="shared" ca="1" si="124"/>
        <v>0.70261469637682172</v>
      </c>
      <c r="K348" s="539"/>
      <c r="L348" s="740">
        <f t="shared" ca="1" si="125"/>
        <v>891.08448538798257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24914.151278874004</v>
      </c>
      <c r="D349" s="757">
        <f ca="1">Calcs!P286*Calcs!$C$2</f>
        <v>630.23495837479891</v>
      </c>
      <c r="E349" s="685">
        <f ca="1">D349*(Calcs!Z235-Calcs!AG9)*Calcs!O9</f>
        <v>9795.2881888494721</v>
      </c>
      <c r="F349" s="740">
        <f t="shared" ca="1" si="121"/>
        <v>34709.439467723474</v>
      </c>
      <c r="G349" s="717"/>
      <c r="H349" s="758">
        <f t="shared" ca="1" si="122"/>
        <v>3.0959933466198373</v>
      </c>
      <c r="I349" s="744">
        <f t="shared" ca="1" si="123"/>
        <v>3.0959933466198373</v>
      </c>
      <c r="J349" s="760">
        <f t="shared" ca="1" si="124"/>
        <v>0.32299174689289301</v>
      </c>
      <c r="K349" s="539"/>
      <c r="L349" s="740">
        <f t="shared" ca="1" si="125"/>
        <v>0.6837970082560787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-41.54955393600649</v>
      </c>
      <c r="D350" s="757">
        <f ca="1">Calcs!P287*Calcs!$C$2</f>
        <v>845.71624261545435</v>
      </c>
      <c r="E350" s="685">
        <f ca="1">D350*(Calcs!Z236-Calcs!AG10)*Calcs!O10</f>
        <v>-21.920965008596003</v>
      </c>
      <c r="F350" s="740">
        <f t="shared" ca="1" si="121"/>
        <v>-63.470518944602489</v>
      </c>
      <c r="G350" s="717"/>
      <c r="H350" s="758">
        <f t="shared" ca="1" si="122"/>
        <v>-1647.521644188869</v>
      </c>
      <c r="I350" s="744">
        <f t="shared" ca="1" si="123"/>
        <v>104569.05372913225</v>
      </c>
      <c r="J350" s="760">
        <f t="shared" ca="1" si="124"/>
        <v>-6.0697229898447498E-4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-13007.318690519944</v>
      </c>
      <c r="D351" s="757">
        <f ca="1">Calcs!P288*Calcs!$C$2</f>
        <v>722.8384684778589</v>
      </c>
      <c r="E351" s="685">
        <f ca="1">D351*(Calcs!Z237-Calcs!AG11)*Calcs!O11</f>
        <v>-5865.4004686167136</v>
      </c>
      <c r="F351" s="740">
        <f t="shared" ca="1" si="121"/>
        <v>-18872.719159136657</v>
      </c>
      <c r="G351" s="717"/>
      <c r="H351" s="758">
        <f t="shared" ca="1" si="122"/>
        <v>-5.7344777189010747</v>
      </c>
      <c r="I351" s="744">
        <f t="shared" ca="1" si="123"/>
        <v>108225.18751314659</v>
      </c>
      <c r="J351" s="760">
        <f t="shared" ca="1" si="124"/>
        <v>-0.17438379727310804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-2921.1644725560427</v>
      </c>
      <c r="D352" s="757">
        <f ca="1">Calcs!P289*Calcs!$C$2</f>
        <v>642.1025335947013</v>
      </c>
      <c r="E352" s="685">
        <f ca="1">D352*(Calcs!Z238-Calcs!AG12)*Calcs!O12</f>
        <v>-1170.1162890203134</v>
      </c>
      <c r="F352" s="740">
        <f t="shared" ca="1" si="121"/>
        <v>-4091.2807615763559</v>
      </c>
      <c r="G352" s="717"/>
      <c r="H352" s="758">
        <f t="shared" ca="1" si="122"/>
        <v>-25.537231894198804</v>
      </c>
      <c r="I352" s="744">
        <f t="shared" ca="1" si="123"/>
        <v>104479.98555264968</v>
      </c>
      <c r="J352" s="760">
        <f t="shared" ca="1" si="124"/>
        <v>-3.9158511938295323E-2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12290.011807985893</v>
      </c>
      <c r="D353" s="757">
        <f ca="1">Calcs!P290*Calcs!$C$2</f>
        <v>566.11719975256517</v>
      </c>
      <c r="E353" s="685">
        <f ca="1">D353*(Calcs!Z239-Calcs!AG13)*Calcs!O13</f>
        <v>4340.3752811268996</v>
      </c>
      <c r="F353" s="740">
        <f t="shared" ca="1" si="121"/>
        <v>16630.387089112792</v>
      </c>
      <c r="G353" s="717"/>
      <c r="H353" s="758">
        <f t="shared" ca="1" si="122"/>
        <v>5.9171488196515938</v>
      </c>
      <c r="I353" s="744">
        <f t="shared" ca="1" si="123"/>
        <v>5.9171488196515938</v>
      </c>
      <c r="J353" s="760">
        <f t="shared" ca="1" si="124"/>
        <v>0.16900030229645469</v>
      </c>
      <c r="K353" s="539"/>
      <c r="L353" s="740">
        <f t="shared" ca="1" si="125"/>
        <v>1.0102256783284247E-3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42226.519503733078</v>
      </c>
      <c r="D354" s="757">
        <f ca="1">Calcs!P291*Calcs!$C$2</f>
        <v>843.08650576849527</v>
      </c>
      <c r="E354" s="685">
        <f ca="1">D354*(Calcs!Z240-Calcs!AG14)*Calcs!O14</f>
        <v>22208.849244865276</v>
      </c>
      <c r="F354" s="740">
        <f t="shared" ca="1" si="121"/>
        <v>64435.368748598354</v>
      </c>
      <c r="G354" s="717"/>
      <c r="H354" s="758">
        <f t="shared" ca="1" si="122"/>
        <v>1.4979209152205257</v>
      </c>
      <c r="I354" s="744">
        <f t="shared" ca="1" si="123"/>
        <v>1.4979209152205257</v>
      </c>
      <c r="J354" s="760">
        <f t="shared" ca="1" si="124"/>
        <v>0.66220626199472543</v>
      </c>
      <c r="K354" s="539"/>
      <c r="L354" s="740">
        <f t="shared" ca="1" si="125"/>
        <v>519.8252474331166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64451.602115032008</v>
      </c>
      <c r="D355" s="757">
        <f ca="1">Calcs!P292*Calcs!$C$2</f>
        <v>958.35488512088421</v>
      </c>
      <c r="E355" s="685">
        <f ca="1">D355*(Calcs!Z241-Calcs!AG15)*Calcs!O15</f>
        <v>38532.635106211812</v>
      </c>
      <c r="F355" s="740">
        <f t="shared" ca="1" si="121"/>
        <v>102984.23722124382</v>
      </c>
      <c r="G355" s="717"/>
      <c r="H355" s="758">
        <f t="shared" ca="1" si="122"/>
        <v>0.83639674464704605</v>
      </c>
      <c r="I355" s="744">
        <f t="shared" ca="1" si="123"/>
        <v>0.83639674464704605</v>
      </c>
      <c r="J355" s="760">
        <f t="shared" ca="1" si="124"/>
        <v>0.96261863933306291</v>
      </c>
      <c r="K355" s="539"/>
      <c r="L355" s="740">
        <f t="shared" ca="1" si="125"/>
        <v>20068.425408285621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100897.82985262526</v>
      </c>
      <c r="D356" s="757">
        <f ca="1">Calcs!P293*Calcs!$C$2</f>
        <v>754.7072297500921</v>
      </c>
      <c r="E356" s="685">
        <f ca="1">D356*(Calcs!Z242-Calcs!AG16)*Calcs!O16</f>
        <v>47503.867318537836</v>
      </c>
      <c r="F356" s="740">
        <f t="shared" ca="1" si="121"/>
        <v>148401.6971711631</v>
      </c>
      <c r="G356" s="717"/>
      <c r="H356" s="758">
        <f t="shared" ca="1" si="122"/>
        <v>0.59136596892074389</v>
      </c>
      <c r="I356" s="744">
        <f t="shared" ca="1" si="123"/>
        <v>0.59136596892074389</v>
      </c>
      <c r="J356" s="760">
        <f t="shared" ca="1" si="124"/>
        <v>0.99680279723613419</v>
      </c>
      <c r="K356" s="539"/>
      <c r="L356" s="740">
        <f t="shared" ca="1" si="125"/>
        <v>60922.569332412619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536581.83411546482</v>
      </c>
      <c r="D357" s="742"/>
      <c r="E357" s="683">
        <f ca="1">SUM(E345:E356)</f>
        <v>290840.68206458387</v>
      </c>
      <c r="F357" s="683">
        <f ca="1">SUM(F345:F356)</f>
        <v>827422.5161800487</v>
      </c>
      <c r="L357" s="781">
        <f ca="1">SUM(L345:L356)</f>
        <v>228476.98398782482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123.63429688320109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9.2422864588800717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124273.82108117219</v>
      </c>
      <c r="D371" s="757">
        <f ca="1">Calcs!P296*Calcs!$C$2</f>
        <v>882.31287693535376</v>
      </c>
      <c r="E371" s="685">
        <f ca="1">D371*(Calcs!Z259-Calcs!AG5)*Calcs!O5</f>
        <v>68402.330882351205</v>
      </c>
      <c r="F371" s="757">
        <f t="shared" ref="F371:F382" ca="1" si="126">C371+E371</f>
        <v>192676.15196352341</v>
      </c>
      <c r="G371" s="633" t="s">
        <v>114</v>
      </c>
      <c r="H371" s="762">
        <f t="shared" ref="H371:H382" ca="1" si="127">IF(H313=0,9999,F371/H313)</f>
        <v>2.150928265324338</v>
      </c>
      <c r="I371" s="633" t="s">
        <v>114</v>
      </c>
      <c r="J371" s="763">
        <f t="shared" ref="J371:J382" ca="1" si="128">IF(H371&lt;0,1,(1-H371^$C$366)/(1-H371^($C$366+1)))</f>
        <v>0.46470578158038889</v>
      </c>
      <c r="K371" s="633" t="s">
        <v>114</v>
      </c>
      <c r="L371" s="685">
        <f t="shared" ref="L371:L382" ca="1" si="129">H313-J371*F371</f>
        <v>40.417597289706464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104042.39136429601</v>
      </c>
      <c r="D372" s="757">
        <f ca="1">Calcs!P297*Calcs!$C$2</f>
        <v>921.48435994185786</v>
      </c>
      <c r="E372" s="685">
        <f ca="1">D372*(Calcs!Z260-Calcs!AG6)*Calcs!O6</f>
        <v>59809.052960149485</v>
      </c>
      <c r="F372" s="757">
        <f t="shared" ca="1" si="126"/>
        <v>163851.4443244455</v>
      </c>
      <c r="G372" s="633" t="s">
        <v>115</v>
      </c>
      <c r="H372" s="762">
        <f t="shared" ca="1" si="127"/>
        <v>1.9304906374133255</v>
      </c>
      <c r="I372" s="633" t="s">
        <v>115</v>
      </c>
      <c r="J372" s="763">
        <f t="shared" ca="1" si="128"/>
        <v>0.51743067018620292</v>
      </c>
      <c r="K372" s="633" t="s">
        <v>115</v>
      </c>
      <c r="L372" s="685">
        <f t="shared" ca="1" si="129"/>
        <v>93.782018937621615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87908.468740092008</v>
      </c>
      <c r="D373" s="757">
        <f ca="1">Calcs!P298*Calcs!$C$2</f>
        <v>1006.0169492771092</v>
      </c>
      <c r="E373" s="685">
        <f ca="1">D373*(Calcs!Z261-Calcs!AG7)*Calcs!O7</f>
        <v>55170.210942424506</v>
      </c>
      <c r="F373" s="757">
        <f t="shared" ca="1" si="126"/>
        <v>143078.67968251652</v>
      </c>
      <c r="G373" s="633" t="s">
        <v>116</v>
      </c>
      <c r="H373" s="762">
        <f t="shared" ca="1" si="127"/>
        <v>1.4587029317456275</v>
      </c>
      <c r="I373" s="633" t="s">
        <v>116</v>
      </c>
      <c r="J373" s="763">
        <f t="shared" ca="1" si="128"/>
        <v>0.67882081205445288</v>
      </c>
      <c r="K373" s="633" t="s">
        <v>116</v>
      </c>
      <c r="L373" s="685">
        <f t="shared" ca="1" si="129"/>
        <v>961.45024086908961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59670.930223475953</v>
      </c>
      <c r="D374" s="757">
        <f ca="1">Calcs!P299*Calcs!$C$2</f>
        <v>859.65103297753319</v>
      </c>
      <c r="E374" s="685">
        <f ca="1">D374*(Calcs!Z262-Calcs!AG8)*Calcs!O8</f>
        <v>32000.269000299417</v>
      </c>
      <c r="F374" s="757">
        <f t="shared" ca="1" si="126"/>
        <v>91671.199223775373</v>
      </c>
      <c r="G374" s="633" t="s">
        <v>117</v>
      </c>
      <c r="H374" s="762">
        <f t="shared" ca="1" si="127"/>
        <v>0.94003321351330049</v>
      </c>
      <c r="I374" s="633" t="s">
        <v>117</v>
      </c>
      <c r="J374" s="763">
        <f t="shared" ca="1" si="128"/>
        <v>0.92783480861012235</v>
      </c>
      <c r="K374" s="633" t="s">
        <v>117</v>
      </c>
      <c r="L374" s="685">
        <f t="shared" ca="1" si="129"/>
        <v>12463.377085093598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38653.203780377997</v>
      </c>
      <c r="D375" s="757">
        <f ca="1">Calcs!P300*Calcs!$C$2</f>
        <v>633.34762307957169</v>
      </c>
      <c r="E375" s="685">
        <f ca="1">D375*(Calcs!Z263-Calcs!AG9)*Calcs!O9</f>
        <v>15272.012570937406</v>
      </c>
      <c r="F375" s="757">
        <f t="shared" ca="1" si="126"/>
        <v>53925.216351315401</v>
      </c>
      <c r="G375" s="633" t="s">
        <v>118</v>
      </c>
      <c r="H375" s="762">
        <f t="shared" ca="1" si="127"/>
        <v>0.50181573768097154</v>
      </c>
      <c r="I375" s="633" t="s">
        <v>118</v>
      </c>
      <c r="J375" s="763">
        <f t="shared" ca="1" si="128"/>
        <v>0.9991486528155471</v>
      </c>
      <c r="K375" s="633" t="s">
        <v>118</v>
      </c>
      <c r="L375" s="685">
        <f t="shared" ca="1" si="129"/>
        <v>53580.886386772174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15187.877166022574</v>
      </c>
      <c r="D376" s="757">
        <f ca="1">Calcs!P301*Calcs!$C$2</f>
        <v>855.11604308024539</v>
      </c>
      <c r="E376" s="685">
        <f ca="1">D376*(Calcs!Z264-Calcs!AG10)*Calcs!O10</f>
        <v>8101.9724489575829</v>
      </c>
      <c r="F376" s="757">
        <f t="shared" ca="1" si="126"/>
        <v>23289.849614980158</v>
      </c>
      <c r="G376" s="633" t="s">
        <v>119</v>
      </c>
      <c r="H376" s="762">
        <f t="shared" ca="1" si="127"/>
        <v>0.22272219920157657</v>
      </c>
      <c r="I376" s="633" t="s">
        <v>119</v>
      </c>
      <c r="J376" s="763">
        <f t="shared" ca="1" si="128"/>
        <v>0.99999927151629642</v>
      </c>
      <c r="K376" s="633" t="s">
        <v>119</v>
      </c>
      <c r="L376" s="685">
        <f t="shared" ca="1" si="129"/>
        <v>81279.221080428004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3648.4214388892474</v>
      </c>
      <c r="D377" s="757">
        <f ca="1">Calcs!P302*Calcs!$C$2</f>
        <v>718.83873874178005</v>
      </c>
      <c r="E377" s="685">
        <f ca="1">D377*(Calcs!Z265-Calcs!AG11)*Calcs!O11</f>
        <v>1636.0821412243545</v>
      </c>
      <c r="F377" s="757">
        <f t="shared" ca="1" si="126"/>
        <v>5284.5035801136019</v>
      </c>
      <c r="G377" s="633" t="s">
        <v>120</v>
      </c>
      <c r="H377" s="762">
        <f t="shared" ca="1" si="127"/>
        <v>4.8828777307238849E-2</v>
      </c>
      <c r="I377" s="633" t="s">
        <v>120</v>
      </c>
      <c r="J377" s="763">
        <f t="shared" ca="1" si="128"/>
        <v>0.99999999999927791</v>
      </c>
      <c r="K377" s="633" t="s">
        <v>120</v>
      </c>
      <c r="L377" s="685">
        <f t="shared" ca="1" si="129"/>
        <v>102940.68393303681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12812.610066780368</v>
      </c>
      <c r="D378" s="757">
        <f ca="1">Calcs!P303*Calcs!$C$2</f>
        <v>645.9133484851551</v>
      </c>
      <c r="E378" s="685">
        <f ca="1">D378*(Calcs!Z266-Calcs!AG12)*Calcs!O12</f>
        <v>5162.7429288053645</v>
      </c>
      <c r="F378" s="757">
        <f t="shared" ca="1" si="126"/>
        <v>17975.35299558573</v>
      </c>
      <c r="G378" s="633" t="s">
        <v>121</v>
      </c>
      <c r="H378" s="762">
        <f t="shared" ca="1" si="127"/>
        <v>0.17204589855659549</v>
      </c>
      <c r="I378" s="633" t="s">
        <v>121</v>
      </c>
      <c r="J378" s="763">
        <f t="shared" ca="1" si="128"/>
        <v>0.9999999286141471</v>
      </c>
      <c r="K378" s="633" t="s">
        <v>121</v>
      </c>
      <c r="L378" s="685">
        <f t="shared" ca="1" si="129"/>
        <v>86504.633840249851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26043.362034883961</v>
      </c>
      <c r="D379" s="757">
        <f ca="1">Calcs!P304*Calcs!$C$2</f>
        <v>569.47684441499894</v>
      </c>
      <c r="E379" s="685">
        <f ca="1">D379*(Calcs!Z267-Calcs!AG13)*Calcs!O13</f>
        <v>9252.1304953340878</v>
      </c>
      <c r="F379" s="757">
        <f t="shared" ca="1" si="126"/>
        <v>35295.492530218049</v>
      </c>
      <c r="G379" s="633" t="s">
        <v>122</v>
      </c>
      <c r="H379" s="762">
        <f t="shared" ca="1" si="127"/>
        <v>0.35867771674175569</v>
      </c>
      <c r="I379" s="633" t="s">
        <v>122</v>
      </c>
      <c r="J379" s="763">
        <f t="shared" ca="1" si="128"/>
        <v>0.99995084827752811</v>
      </c>
      <c r="K379" s="633" t="s">
        <v>122</v>
      </c>
      <c r="L379" s="685">
        <f t="shared" ca="1" si="129"/>
        <v>63110.717638728165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57175.071601626005</v>
      </c>
      <c r="D380" s="757">
        <f ca="1">Calcs!P305*Calcs!$C$2</f>
        <v>847.12917575583458</v>
      </c>
      <c r="E380" s="685">
        <f ca="1">D380*(Calcs!Z268-Calcs!AG14)*Calcs!O14</f>
        <v>30215.166244689903</v>
      </c>
      <c r="F380" s="757">
        <f t="shared" ca="1" si="126"/>
        <v>87390.237846315911</v>
      </c>
      <c r="G380" s="633" t="s">
        <v>123</v>
      </c>
      <c r="H380" s="762">
        <f t="shared" ca="1" si="127"/>
        <v>0.90541923871747754</v>
      </c>
      <c r="I380" s="633" t="s">
        <v>123</v>
      </c>
      <c r="J380" s="763">
        <f t="shared" ca="1" si="128"/>
        <v>0.94087143171527476</v>
      </c>
      <c r="K380" s="633" t="s">
        <v>123</v>
      </c>
      <c r="L380" s="685">
        <f t="shared" ca="1" si="129"/>
        <v>14296.108328070855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81273.812884506056</v>
      </c>
      <c r="D381" s="757">
        <f ca="1">Calcs!P306*Calcs!$C$2</f>
        <v>963.03625506159608</v>
      </c>
      <c r="E381" s="685">
        <f ca="1">D381*(Calcs!Z269-Calcs!AG15)*Calcs!O15</f>
        <v>48827.209339479639</v>
      </c>
      <c r="F381" s="757">
        <f t="shared" ca="1" si="126"/>
        <v>130101.0222239857</v>
      </c>
      <c r="G381" s="633" t="s">
        <v>124</v>
      </c>
      <c r="H381" s="762">
        <f t="shared" ca="1" si="127"/>
        <v>1.5104196202240086</v>
      </c>
      <c r="I381" s="633" t="s">
        <v>124</v>
      </c>
      <c r="J381" s="763">
        <f t="shared" ca="1" si="128"/>
        <v>0.65704578272259884</v>
      </c>
      <c r="K381" s="633" t="s">
        <v>124</v>
      </c>
      <c r="L381" s="685">
        <f t="shared" ca="1" si="129"/>
        <v>653.35278163857583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120118.16165419367</v>
      </c>
      <c r="D382" s="757">
        <f ca="1">Calcs!P307*Calcs!$C$2</f>
        <v>758.15059104006332</v>
      </c>
      <c r="E382" s="685">
        <f ca="1">D382*(Calcs!Z270-Calcs!AG16)*Calcs!O16</f>
        <v>56811.046101428146</v>
      </c>
      <c r="F382" s="757">
        <f t="shared" ca="1" si="126"/>
        <v>176929.20775562181</v>
      </c>
      <c r="G382" s="633" t="s">
        <v>125</v>
      </c>
      <c r="H382" s="762">
        <f t="shared" ca="1" si="127"/>
        <v>2.0160641007837468</v>
      </c>
      <c r="I382" s="633" t="s">
        <v>125</v>
      </c>
      <c r="J382" s="763">
        <f t="shared" ca="1" si="128"/>
        <v>0.49563233229781756</v>
      </c>
      <c r="K382" s="633" t="s">
        <v>125</v>
      </c>
      <c r="L382" s="685">
        <f t="shared" ca="1" si="129"/>
        <v>67.877545583731262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730808.13203631598</v>
      </c>
      <c r="D383" s="683"/>
      <c r="E383" s="683">
        <f ca="1">SUM(E371:E382)</f>
        <v>390660.22605608107</v>
      </c>
      <c r="F383" s="683">
        <f ca="1">SUM(F371:F382)</f>
        <v>1121468.3580923972</v>
      </c>
      <c r="G383" s="743"/>
      <c r="H383" s="683"/>
      <c r="I383" s="743"/>
      <c r="J383" s="743"/>
      <c r="K383" s="670" t="s">
        <v>178</v>
      </c>
      <c r="L383" s="764">
        <f ca="1">SUM(L371:L382)</f>
        <v>415992.50847669819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28.1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3600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3600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0.43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73004.636382050245</v>
      </c>
      <c r="D424" s="542">
        <f t="shared" ref="D424:D435" ca="1" si="130">$D$410-Z231</f>
        <v>8.3056007142714776</v>
      </c>
      <c r="E424" s="769">
        <f ca="1">C424/($D$412*D424)</f>
        <v>7089055.0357415862</v>
      </c>
      <c r="F424" s="770">
        <f ca="1">Calcs!L371</f>
        <v>40.417597289706464</v>
      </c>
      <c r="G424" s="771">
        <f t="shared" ref="G424:G435" ca="1" si="131">Z259-$D$411</f>
        <v>7</v>
      </c>
      <c r="H424" s="558">
        <f ca="1">F424/($D$412*G424)</f>
        <v>4656.733742762809</v>
      </c>
      <c r="I424" s="558">
        <f ca="1">MAX((E424+H424),$D$414*$D$291*P5*3600/1000)</f>
        <v>7093711.7694843486</v>
      </c>
      <c r="J424" s="630" t="s">
        <v>114</v>
      </c>
      <c r="K424" s="772">
        <f t="shared" ref="K424:K435" ca="1" si="132">I424*$D$418*$D$419/3600</f>
        <v>847.30446135507498</v>
      </c>
      <c r="L424" s="765">
        <f ca="1">K424/$C$2</f>
        <v>0.36935678350264822</v>
      </c>
      <c r="M424" s="540"/>
      <c r="N424" s="747">
        <f t="shared" ref="N424:N435" ca="1" si="133">I424*$D$413/3600</f>
        <v>3546.8558847421746</v>
      </c>
      <c r="O424" s="749">
        <f ca="1">N424/Inputs!$C$11</f>
        <v>1.5461446751273646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52212.955255151435</v>
      </c>
      <c r="D425" s="542">
        <f t="shared" ca="1" si="130"/>
        <v>8.2089289201961009</v>
      </c>
      <c r="E425" s="769">
        <f t="shared" ref="E425:E435" ca="1" si="134">C425/($D$412*D425)</f>
        <v>5129803.5584813273</v>
      </c>
      <c r="F425" s="770">
        <f ca="1">Calcs!L372</f>
        <v>93.782018937621615</v>
      </c>
      <c r="G425" s="771">
        <f t="shared" ca="1" si="131"/>
        <v>7</v>
      </c>
      <c r="H425" s="558">
        <f t="shared" ref="H425:H435" ca="1" si="135">F425/($D$412*G425)</f>
        <v>10805.142347302928</v>
      </c>
      <c r="I425" s="558">
        <f t="shared" ref="I425:I435" ca="1" si="136">MAX((E425+H425),$D$414*$D$291*P6*3600/1000)</f>
        <v>5140608.7008286305</v>
      </c>
      <c r="J425" s="630" t="s">
        <v>115</v>
      </c>
      <c r="K425" s="772">
        <f t="shared" ca="1" si="132"/>
        <v>614.01715037675308</v>
      </c>
      <c r="L425" s="765">
        <f t="shared" ref="L425:L435" ca="1" si="137">K425/$C$2</f>
        <v>0.26766222771436488</v>
      </c>
      <c r="M425" s="540"/>
      <c r="N425" s="747">
        <f t="shared" ca="1" si="133"/>
        <v>2570.3043504143156</v>
      </c>
      <c r="O425" s="749">
        <f ca="1">N425/Inputs!$C$11</f>
        <v>1.1204465346182719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20856.803069869871</v>
      </c>
      <c r="D426" s="542">
        <f t="shared" ca="1" si="130"/>
        <v>7.8209868980895472</v>
      </c>
      <c r="E426" s="769">
        <f t="shared" ca="1" si="134"/>
        <v>2150775.7783837239</v>
      </c>
      <c r="F426" s="770">
        <f ca="1">Calcs!L373</f>
        <v>961.45024086908961</v>
      </c>
      <c r="G426" s="771">
        <f t="shared" ca="1" si="131"/>
        <v>7</v>
      </c>
      <c r="H426" s="558">
        <f t="shared" ca="1" si="135"/>
        <v>110773.97170718944</v>
      </c>
      <c r="I426" s="558">
        <f t="shared" ca="1" si="136"/>
        <v>2754925.7142857136</v>
      </c>
      <c r="J426" s="630" t="s">
        <v>116</v>
      </c>
      <c r="K426" s="772">
        <f t="shared" ca="1" si="132"/>
        <v>329.06057142857134</v>
      </c>
      <c r="L426" s="765">
        <f t="shared" ca="1" si="137"/>
        <v>0.14344401544401542</v>
      </c>
      <c r="M426" s="540"/>
      <c r="N426" s="747">
        <f t="shared" ca="1" si="133"/>
        <v>1377.4628571428568</v>
      </c>
      <c r="O426" s="749">
        <f ca="1">N426/Inputs!$C$11</f>
        <v>0.60046332046332029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891.08448538798257</v>
      </c>
      <c r="D427" s="542">
        <f t="shared" ca="1" si="130"/>
        <v>7.2700024612937924</v>
      </c>
      <c r="E427" s="769">
        <f t="shared" ca="1" si="134"/>
        <v>98853.779639519445</v>
      </c>
      <c r="F427" s="770">
        <f ca="1">Calcs!L374</f>
        <v>12463.377085093598</v>
      </c>
      <c r="G427" s="771">
        <f t="shared" ca="1" si="131"/>
        <v>7</v>
      </c>
      <c r="H427" s="558">
        <f t="shared" ca="1" si="135"/>
        <v>1435974.2417373583</v>
      </c>
      <c r="I427" s="558">
        <f t="shared" ca="1" si="136"/>
        <v>2666057.1428571423</v>
      </c>
      <c r="J427" s="630" t="s">
        <v>117</v>
      </c>
      <c r="K427" s="772">
        <f t="shared" ca="1" si="132"/>
        <v>318.44571428571419</v>
      </c>
      <c r="L427" s="765">
        <f t="shared" ca="1" si="137"/>
        <v>0.13881678913936973</v>
      </c>
      <c r="M427" s="540"/>
      <c r="N427" s="747">
        <f t="shared" ca="1" si="133"/>
        <v>1333.0285714285712</v>
      </c>
      <c r="O427" s="749">
        <f ca="1">N427/Inputs!$C$11</f>
        <v>0.58109353593224555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0.6837970082560787</v>
      </c>
      <c r="D428" s="542">
        <f t="shared" ca="1" si="130"/>
        <v>7</v>
      </c>
      <c r="E428" s="769">
        <f t="shared" ca="1" si="134"/>
        <v>78.784015257564732</v>
      </c>
      <c r="F428" s="770">
        <f ca="1">Calcs!L375</f>
        <v>53580.886386772174</v>
      </c>
      <c r="G428" s="771">
        <f t="shared" ca="1" si="131"/>
        <v>7</v>
      </c>
      <c r="H428" s="558">
        <f t="shared" ca="1" si="135"/>
        <v>6173348.6979931891</v>
      </c>
      <c r="I428" s="558">
        <f t="shared" ca="1" si="136"/>
        <v>6173427.4820084469</v>
      </c>
      <c r="J428" s="630" t="s">
        <v>118</v>
      </c>
      <c r="K428" s="772">
        <f t="shared" ca="1" si="132"/>
        <v>737.38161590656443</v>
      </c>
      <c r="L428" s="765">
        <f t="shared" ca="1" si="137"/>
        <v>0.32143923971515448</v>
      </c>
      <c r="M428" s="540"/>
      <c r="N428" s="747">
        <f t="shared" ca="1" si="133"/>
        <v>3086.7137410042233</v>
      </c>
      <c r="O428" s="749">
        <f ca="1">N428/Inputs!$C$11</f>
        <v>1.345559608109949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81279.221080428004</v>
      </c>
      <c r="G429" s="771">
        <f t="shared" ca="1" si="131"/>
        <v>7.4653646735695212</v>
      </c>
      <c r="H429" s="558">
        <f t="shared" ca="1" si="135"/>
        <v>8780868.238472186</v>
      </c>
      <c r="I429" s="558">
        <f t="shared" ca="1" si="136"/>
        <v>8780868.238472186</v>
      </c>
      <c r="J429" s="630" t="s">
        <v>119</v>
      </c>
      <c r="K429" s="772">
        <f t="shared" ca="1" si="132"/>
        <v>1048.8259284841777</v>
      </c>
      <c r="L429" s="765">
        <f t="shared" ca="1" si="137"/>
        <v>0.45720397928691264</v>
      </c>
      <c r="M429" s="540"/>
      <c r="N429" s="747">
        <f t="shared" ca="1" si="133"/>
        <v>4390.4341192360935</v>
      </c>
      <c r="O429" s="749">
        <f ca="1">N429/Inputs!$C$11</f>
        <v>1.9138771225963791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102940.68393303681</v>
      </c>
      <c r="G430" s="771">
        <f t="shared" ca="1" si="131"/>
        <v>7.6793336300501736</v>
      </c>
      <c r="H430" s="558">
        <f t="shared" ca="1" si="135"/>
        <v>10811164.31410254</v>
      </c>
      <c r="I430" s="558">
        <f t="shared" ca="1" si="136"/>
        <v>10811164.31410254</v>
      </c>
      <c r="J430" s="630" t="s">
        <v>120</v>
      </c>
      <c r="K430" s="772">
        <f t="shared" ca="1" si="132"/>
        <v>1291.333515295581</v>
      </c>
      <c r="L430" s="765">
        <f t="shared" ca="1" si="137"/>
        <v>0.56291783578708854</v>
      </c>
      <c r="M430" s="540"/>
      <c r="N430" s="747">
        <f t="shared" ca="1" si="133"/>
        <v>5405.5821570512708</v>
      </c>
      <c r="O430" s="749">
        <f ca="1">N430/Inputs!$C$11</f>
        <v>2.3564002428296735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86504.633840249851</v>
      </c>
      <c r="G431" s="771">
        <f t="shared" ca="1" si="131"/>
        <v>7.4645961226485582</v>
      </c>
      <c r="H431" s="558">
        <f t="shared" ca="1" si="135"/>
        <v>9346349.3895136546</v>
      </c>
      <c r="I431" s="558">
        <f t="shared" ca="1" si="136"/>
        <v>9346349.3895136546</v>
      </c>
      <c r="J431" s="630" t="s">
        <v>121</v>
      </c>
      <c r="K431" s="772">
        <f t="shared" ca="1" si="132"/>
        <v>1116.3695104141309</v>
      </c>
      <c r="L431" s="765">
        <f t="shared" ca="1" si="137"/>
        <v>0.48664756338889753</v>
      </c>
      <c r="M431" s="540"/>
      <c r="N431" s="747">
        <f t="shared" ca="1" si="133"/>
        <v>4673.1746947568272</v>
      </c>
      <c r="O431" s="749">
        <f ca="1">N431/Inputs!$C$11</f>
        <v>2.0371293351163153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1.0102256783284247E-3</v>
      </c>
      <c r="D432" s="542">
        <f t="shared" ca="1" si="130"/>
        <v>7</v>
      </c>
      <c r="E432" s="769">
        <f t="shared" ca="1" si="134"/>
        <v>0.11639365819688459</v>
      </c>
      <c r="F432" s="770">
        <f ca="1">Calcs!L379</f>
        <v>63110.717638728165</v>
      </c>
      <c r="G432" s="771">
        <f t="shared" ca="1" si="131"/>
        <v>7.1101077927533858</v>
      </c>
      <c r="H432" s="558">
        <f t="shared" ca="1" si="135"/>
        <v>7158728.4441465177</v>
      </c>
      <c r="I432" s="558">
        <f t="shared" ca="1" si="136"/>
        <v>7158728.560540176</v>
      </c>
      <c r="J432" s="630" t="s">
        <v>122</v>
      </c>
      <c r="K432" s="772">
        <f t="shared" ca="1" si="132"/>
        <v>855.07035584229868</v>
      </c>
      <c r="L432" s="765">
        <f t="shared" ca="1" si="137"/>
        <v>0.37274209060257135</v>
      </c>
      <c r="M432" s="540"/>
      <c r="N432" s="747">
        <f t="shared" ca="1" si="133"/>
        <v>3579.3642802700883</v>
      </c>
      <c r="O432" s="749">
        <f ca="1">N432/Inputs!$C$11</f>
        <v>1.5603157281037874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519.8252474331166</v>
      </c>
      <c r="D433" s="542">
        <f t="shared" ca="1" si="130"/>
        <v>7.2817078330562381</v>
      </c>
      <c r="E433" s="769">
        <f t="shared" ca="1" si="134"/>
        <v>57574.884324360894</v>
      </c>
      <c r="F433" s="770">
        <f ca="1">Calcs!L380</f>
        <v>14296.108328070855</v>
      </c>
      <c r="G433" s="771">
        <f t="shared" ca="1" si="131"/>
        <v>7</v>
      </c>
      <c r="H433" s="558">
        <f t="shared" ca="1" si="135"/>
        <v>1647133.2910844453</v>
      </c>
      <c r="I433" s="558">
        <f t="shared" ca="1" si="136"/>
        <v>2754925.7142857136</v>
      </c>
      <c r="J433" s="630" t="s">
        <v>123</v>
      </c>
      <c r="K433" s="772">
        <f t="shared" ca="1" si="132"/>
        <v>329.06057142857134</v>
      </c>
      <c r="L433" s="765">
        <f t="shared" ca="1" si="137"/>
        <v>0.14344401544401542</v>
      </c>
      <c r="M433" s="540"/>
      <c r="N433" s="747">
        <f t="shared" ca="1" si="133"/>
        <v>1377.4628571428568</v>
      </c>
      <c r="O433" s="749">
        <f ca="1">N433/Inputs!$C$11</f>
        <v>0.60046332046332029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20068.425408285621</v>
      </c>
      <c r="D434" s="542">
        <f t="shared" ca="1" si="130"/>
        <v>7.848710317175918</v>
      </c>
      <c r="E434" s="769">
        <f t="shared" ca="1" si="134"/>
        <v>2062167.5709285641</v>
      </c>
      <c r="F434" s="770">
        <f ca="1">Calcs!L381</f>
        <v>653.35278163857583</v>
      </c>
      <c r="G434" s="771">
        <f t="shared" ca="1" si="131"/>
        <v>7</v>
      </c>
      <c r="H434" s="558">
        <f t="shared" ca="1" si="135"/>
        <v>75276.368418841113</v>
      </c>
      <c r="I434" s="558">
        <f t="shared" ca="1" si="136"/>
        <v>2666057.1428571423</v>
      </c>
      <c r="J434" s="630" t="s">
        <v>124</v>
      </c>
      <c r="K434" s="772">
        <f t="shared" ca="1" si="132"/>
        <v>318.44571428571419</v>
      </c>
      <c r="L434" s="765">
        <f t="shared" ca="1" si="137"/>
        <v>0.13881678913936973</v>
      </c>
      <c r="M434" s="540"/>
      <c r="N434" s="747">
        <f t="shared" ca="1" si="133"/>
        <v>1333.0285714285712</v>
      </c>
      <c r="O434" s="749">
        <f ca="1">N434/Inputs!$C$11</f>
        <v>0.58109353593224555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60922.569332412619</v>
      </c>
      <c r="D435" s="542">
        <f t="shared" ca="1" si="130"/>
        <v>8.2766596356106845</v>
      </c>
      <c r="E435" s="769">
        <f t="shared" ca="1" si="134"/>
        <v>5936521.8370996267</v>
      </c>
      <c r="F435" s="770">
        <f ca="1">Calcs!L382</f>
        <v>67.877545583731262</v>
      </c>
      <c r="G435" s="771">
        <f t="shared" ca="1" si="131"/>
        <v>7</v>
      </c>
      <c r="H435" s="558">
        <f t="shared" ca="1" si="135"/>
        <v>7820.5454577128748</v>
      </c>
      <c r="I435" s="558">
        <f t="shared" ca="1" si="136"/>
        <v>5944342.38255734</v>
      </c>
      <c r="J435" s="630" t="s">
        <v>125</v>
      </c>
      <c r="K435" s="772">
        <f t="shared" ca="1" si="132"/>
        <v>710.01867347212681</v>
      </c>
      <c r="L435" s="765">
        <f t="shared" ca="1" si="137"/>
        <v>0.30951119157459756</v>
      </c>
      <c r="M435" s="540"/>
      <c r="N435" s="747">
        <f t="shared" ca="1" si="133"/>
        <v>2972.17119127867</v>
      </c>
      <c r="O435" s="749">
        <f ca="1">N435/Inputs!$C$11</f>
        <v>1.2956282438006408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8515.3337825752787</v>
      </c>
      <c r="L436" s="775">
        <f ca="1">SUM(L424:L435)</f>
        <v>3.7120025207390057</v>
      </c>
      <c r="M436" s="540"/>
      <c r="N436" s="746"/>
      <c r="O436" s="748">
        <f ca="1">SUM(O424:O435)</f>
        <v>15.538615203093514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0.3545194716884168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1.05</v>
      </c>
      <c r="E472" s="540" t="s">
        <v>306</v>
      </c>
      <c r="F472" s="540"/>
      <c r="G472" s="540"/>
      <c r="H472" s="507" t="s">
        <v>304</v>
      </c>
      <c r="I472" s="780">
        <f ca="1">MAX((1-I471),0.1)</f>
        <v>0.6454805283115832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3.1500000000000004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0.8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0.25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18251.159095512558</v>
      </c>
      <c r="D523" s="540"/>
      <c r="E523" s="806">
        <f ca="1">IF(Calcs!$D$446=1,0,IF($D$469=0,0,(C523+L345)/$D$469))</f>
        <v>114069.74434695349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12.83098326657348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13053.238813787857</v>
      </c>
      <c r="D524" s="540"/>
      <c r="E524" s="806">
        <f ca="1">IF(Calcs!$D$446=1,0,IF($D$469=0,0,(C524+L346)/$D$469))</f>
        <v>81582.742586174107</v>
      </c>
      <c r="F524" s="540"/>
      <c r="G524" s="806">
        <f t="shared" ca="1" si="140"/>
        <v>0</v>
      </c>
      <c r="H524" s="806">
        <f t="shared" ca="1" si="141"/>
        <v>29.772069504006858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5214.200767467466</v>
      </c>
      <c r="D525" s="540"/>
      <c r="E525" s="806">
        <f ca="1">IF(Calcs!$D$446=1,0,IF($D$469=0,0,(C525+L347)/$D$469))</f>
        <v>32588.754796671674</v>
      </c>
      <c r="F525" s="540"/>
      <c r="G525" s="806">
        <f t="shared" ca="1" si="140"/>
        <v>0</v>
      </c>
      <c r="H525" s="806">
        <f t="shared" ca="1" si="141"/>
        <v>305.22229868859984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222.77112134699559</v>
      </c>
      <c r="D526" s="540"/>
      <c r="E526" s="806">
        <f ca="1">IF(Calcs!$D$446=1,0,IF($D$469=0,0,(C526+L348)/$D$469))</f>
        <v>1392.3195084187228</v>
      </c>
      <c r="F526" s="540"/>
      <c r="G526" s="806">
        <f t="shared" ca="1" si="140"/>
        <v>0</v>
      </c>
      <c r="H526" s="806">
        <f t="shared" ca="1" si="141"/>
        <v>3956.627646061459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0.17094925206401965</v>
      </c>
      <c r="D527" s="540"/>
      <c r="E527" s="806">
        <f ca="1">IF(Calcs!$D$446=1,0,IF($D$469=0,0,(C527+L349)/$D$469))</f>
        <v>1.068432825400123</v>
      </c>
      <c r="F527" s="540"/>
      <c r="G527" s="806">
        <f t="shared" ca="1" si="140"/>
        <v>0</v>
      </c>
      <c r="H527" s="806">
        <f t="shared" ca="1" si="141"/>
        <v>17009.805202149895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25802.92732712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32679.582200964061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27461.788520714235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2.5255641958210606E-4</v>
      </c>
      <c r="D531" s="540"/>
      <c r="E531" s="806">
        <f ca="1">IF(Calcs!$D$446=1,0,IF($D$469=0,0,(C531+L353)/$D$469))</f>
        <v>1.5784776223881636E-3</v>
      </c>
      <c r="F531" s="540"/>
      <c r="G531" s="806">
        <f t="shared" ca="1" si="140"/>
        <v>0</v>
      </c>
      <c r="H531" s="806">
        <f t="shared" ca="1" si="141"/>
        <v>20035.148456739098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129.95631185827912</v>
      </c>
      <c r="D532" s="540"/>
      <c r="E532" s="806">
        <f ca="1">IF(Calcs!$D$446=1,0,IF($D$469=0,0,(C532+L354)/$D$469))</f>
        <v>812.22694911424469</v>
      </c>
      <c r="F532" s="540"/>
      <c r="G532" s="806">
        <f t="shared" ca="1" si="140"/>
        <v>0</v>
      </c>
      <c r="H532" s="806">
        <f t="shared" ca="1" si="141"/>
        <v>4538.4470882764617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5017.1063520714033</v>
      </c>
      <c r="D533" s="540"/>
      <c r="E533" s="806">
        <f ca="1">IF(Calcs!$D$446=1,0,IF($D$469=0,0,(C533+L355)/$D$469))</f>
        <v>31356.914700446276</v>
      </c>
      <c r="F533" s="540"/>
      <c r="G533" s="806">
        <f t="shared" ca="1" si="140"/>
        <v>0</v>
      </c>
      <c r="H533" s="806">
        <f t="shared" ca="1" si="141"/>
        <v>207.41358147256372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15230.642333103151</v>
      </c>
      <c r="D534" s="540"/>
      <c r="E534" s="806">
        <f ca="1">IF(Calcs!$D$446=1,0,IF($D$469=0,0,(C534+L356)/$D$469))</f>
        <v>95191.514581894706</v>
      </c>
      <c r="F534" s="540"/>
      <c r="G534" s="806">
        <f t="shared" ca="1" si="140"/>
        <v>0</v>
      </c>
      <c r="H534" s="806">
        <f t="shared" ca="1" si="141"/>
        <v>21.548427169438494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57119.245996956204</v>
      </c>
      <c r="D535" s="540"/>
      <c r="E535" s="808">
        <f ca="1">SUM(E523:E534)</f>
        <v>356995.28748097626</v>
      </c>
      <c r="F535" s="540"/>
      <c r="G535" s="809">
        <f ca="1">SUM(G523:G534)</f>
        <v>0</v>
      </c>
      <c r="H535" s="810">
        <f ca="1">SUM(H523:H534)</f>
        <v>132061.11380212641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12.83098326657348</v>
      </c>
      <c r="E558" s="786"/>
      <c r="F558" s="786">
        <f ca="1">IF(Inputs!C$46=2,E523,0)+I541</f>
        <v>114069.74434695349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29.772069504006858</v>
      </c>
      <c r="E559" s="786"/>
      <c r="F559" s="786">
        <f ca="1">IF(Inputs!C$46=2,E524,0)+I542</f>
        <v>81582.742586174107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305.22229868859984</v>
      </c>
      <c r="E560" s="786"/>
      <c r="F560" s="786">
        <f ca="1">IF(Inputs!C$46=2,E525,0)+I543</f>
        <v>32588.754796671674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3956.627646061459</v>
      </c>
      <c r="E561" s="786"/>
      <c r="F561" s="786">
        <f ca="1">IF(Inputs!C$46=2,E526,0)+I544</f>
        <v>1392.3195084187228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17009.805202149895</v>
      </c>
      <c r="E562" s="786"/>
      <c r="F562" s="786">
        <f ca="1">IF(Inputs!C$46=2,E527,0)+I545</f>
        <v>1.068432825400123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25802.92732712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32679.582200964061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27461.788520714235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20035.148456739098</v>
      </c>
      <c r="E566" s="786"/>
      <c r="F566" s="786">
        <f ca="1">IF(Inputs!C$46=2,E531,0)+I549</f>
        <v>1.5784776223881636E-3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4538.4470882764617</v>
      </c>
      <c r="E567" s="786"/>
      <c r="F567" s="786">
        <f ca="1">IF(Inputs!C$46=2,E532,0)+I550</f>
        <v>812.22694911424469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207.41358147256372</v>
      </c>
      <c r="E568" s="786"/>
      <c r="F568" s="786">
        <f ca="1">IF(Inputs!C$46=2,E533,0)+I551</f>
        <v>31356.914700446276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21.548427169438494</v>
      </c>
      <c r="E569" s="786"/>
      <c r="F569" s="786">
        <f ca="1">IF(Inputs!C$46=2,E534,0)+I552</f>
        <v>95191.514581894706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132061.11380212641</v>
      </c>
      <c r="E570" s="782"/>
      <c r="F570" s="788">
        <f ca="1">SUM(F558:F569)</f>
        <v>356995.28748097626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19.794399285728524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28.1</v>
      </c>
      <c r="J626" s="797">
        <f>$D$291</f>
        <v>0.2857142857142857</v>
      </c>
      <c r="K626" s="798">
        <f t="shared" ref="K626:K637" ca="1" si="152">1.205*1.008*E424/3600</f>
        <v>2391.8471690592114</v>
      </c>
      <c r="L626" s="743">
        <f t="shared" ref="L626:L637" si="153">O5</f>
        <v>2.6783999999999999</v>
      </c>
      <c r="M626" s="796">
        <f ca="1">K626*((I626-H626)-G626)*J626*L626</f>
        <v>59203.494416565016</v>
      </c>
      <c r="N626" s="799">
        <f ca="1">Calcs!L345</f>
        <v>73004.636382050245</v>
      </c>
      <c r="O626" s="798">
        <f ca="1">M626+N626</f>
        <v>132208.13079861525</v>
      </c>
      <c r="P626" s="796">
        <f ca="1">O626/(O626+O648)</f>
        <v>0.99949860047083228</v>
      </c>
      <c r="Q626" s="796">
        <f t="shared" ref="Q626:Q637" ca="1" si="154">M626*P626</f>
        <v>59173.809812339467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19.891071079803901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28.1</v>
      </c>
      <c r="J627" s="797">
        <f t="shared" ref="J627:J637" si="157">$D$291</f>
        <v>0.2857142857142857</v>
      </c>
      <c r="K627" s="798">
        <f t="shared" ca="1" si="152"/>
        <v>1730.7957206316</v>
      </c>
      <c r="L627" s="743">
        <f t="shared" si="153"/>
        <v>2.4192</v>
      </c>
      <c r="M627" s="796">
        <f t="shared" ref="M627:M637" ca="1" si="158">K627*((I627-H627)-G627)*J627*L627</f>
        <v>36163.938105164911</v>
      </c>
      <c r="N627" s="799">
        <f ca="1">Calcs!L346</f>
        <v>52212.955255151435</v>
      </c>
      <c r="O627" s="798">
        <f t="shared" ref="O627:O637" ca="1" si="159">M627+N627</f>
        <v>88376.893360316346</v>
      </c>
      <c r="P627" s="796">
        <f t="shared" ref="P627:P637" ca="1" si="160">O627/(O627+O649)</f>
        <v>0.99838746369404374</v>
      </c>
      <c r="Q627" s="796">
        <f t="shared" ca="1" si="154"/>
        <v>36105.62244200398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20.279013101910454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28.1</v>
      </c>
      <c r="J628" s="797">
        <f t="shared" si="157"/>
        <v>0.2857142857142857</v>
      </c>
      <c r="K628" s="798">
        <f t="shared" ca="1" si="152"/>
        <v>725.67174762666855</v>
      </c>
      <c r="L628" s="743">
        <f t="shared" si="153"/>
        <v>2.6783999999999999</v>
      </c>
      <c r="M628" s="796">
        <f t="shared" ca="1" si="158"/>
        <v>13258.396031752303</v>
      </c>
      <c r="N628" s="799">
        <f ca="1">Calcs!L347</f>
        <v>20856.803069869871</v>
      </c>
      <c r="O628" s="798">
        <f t="shared" ca="1" si="159"/>
        <v>34115.199101622173</v>
      </c>
      <c r="P628" s="796">
        <f t="shared" ca="1" si="160"/>
        <v>0.96233024328964611</v>
      </c>
      <c r="Q628" s="796">
        <f t="shared" ca="1" si="154"/>
        <v>12758.955478866672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20.829997538706209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28.1</v>
      </c>
      <c r="J629" s="797">
        <f t="shared" si="157"/>
        <v>0.2857142857142857</v>
      </c>
      <c r="K629" s="798">
        <f t="shared" ca="1" si="152"/>
        <v>33.353265250373866</v>
      </c>
      <c r="L629" s="743">
        <f t="shared" si="153"/>
        <v>2.5920000000000001</v>
      </c>
      <c r="M629" s="796">
        <f t="shared" ca="1" si="158"/>
        <v>438.71474743696893</v>
      </c>
      <c r="N629" s="799">
        <f ca="1">Calcs!L348</f>
        <v>891.08448538798257</v>
      </c>
      <c r="O629" s="798">
        <f t="shared" ca="1" si="159"/>
        <v>1329.7992328249516</v>
      </c>
      <c r="P629" s="796">
        <f t="shared" ca="1" si="160"/>
        <v>8.1628053168106451E-2</v>
      </c>
      <c r="Q629" s="796">
        <f t="shared" ca="1" si="154"/>
        <v>35.811430729417296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28.1</v>
      </c>
      <c r="J630" s="797">
        <f t="shared" si="157"/>
        <v>0.2857142857142857</v>
      </c>
      <c r="K630" s="798">
        <f t="shared" ca="1" si="152"/>
        <v>2.6581726747902344E-2</v>
      </c>
      <c r="L630" s="743">
        <f t="shared" si="153"/>
        <v>2.6783999999999999</v>
      </c>
      <c r="M630" s="796">
        <f t="shared" ca="1" si="158"/>
        <v>0.25229643419480757</v>
      </c>
      <c r="N630" s="799">
        <f ca="1">Calcs!L349</f>
        <v>0.6837970082560787</v>
      </c>
      <c r="O630" s="798">
        <f t="shared" ca="1" si="159"/>
        <v>0.93609344245088622</v>
      </c>
      <c r="P630" s="796">
        <f t="shared" ca="1" si="160"/>
        <v>1.6675268696687799E-5</v>
      </c>
      <c r="Q630" s="796">
        <f t="shared" ca="1" si="154"/>
        <v>4.2071108314146276E-6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28.1</v>
      </c>
      <c r="J631" s="797">
        <f t="shared" si="157"/>
        <v>0.2857142857142857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28.1</v>
      </c>
      <c r="J632" s="797">
        <f t="shared" si="157"/>
        <v>0.2857142857142857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28.1</v>
      </c>
      <c r="J633" s="797">
        <f t="shared" si="157"/>
        <v>0.2857142857142857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28.1</v>
      </c>
      <c r="J634" s="797">
        <f t="shared" si="157"/>
        <v>0.2857142857142857</v>
      </c>
      <c r="K634" s="798">
        <f t="shared" ca="1" si="152"/>
        <v>3.927122027562887E-5</v>
      </c>
      <c r="L634" s="743">
        <f t="shared" si="153"/>
        <v>2.5920000000000001</v>
      </c>
      <c r="M634" s="796">
        <f t="shared" ca="1" si="158"/>
        <v>2.7797426390138865E-4</v>
      </c>
      <c r="N634" s="799">
        <f ca="1">Calcs!L353</f>
        <v>1.0102256783284247E-3</v>
      </c>
      <c r="O634" s="798">
        <f t="shared" ca="1" si="159"/>
        <v>1.2881999422298133E-3</v>
      </c>
      <c r="P634" s="796">
        <f t="shared" ca="1" si="160"/>
        <v>2.115654674330106E-8</v>
      </c>
      <c r="Q634" s="796">
        <f t="shared" ca="1" si="154"/>
        <v>5.8809755076644335E-12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20.818292166943763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28.1</v>
      </c>
      <c r="J635" s="797">
        <f t="shared" si="157"/>
        <v>0.2857142857142857</v>
      </c>
      <c r="K635" s="798">
        <f t="shared" ca="1" si="152"/>
        <v>19.425765971039368</v>
      </c>
      <c r="L635" s="743">
        <f t="shared" si="153"/>
        <v>2.6783999999999999</v>
      </c>
      <c r="M635" s="796">
        <f t="shared" ca="1" si="158"/>
        <v>248.50705280051108</v>
      </c>
      <c r="N635" s="799">
        <f ca="1">Calcs!L354</f>
        <v>519.8252474331166</v>
      </c>
      <c r="O635" s="798">
        <f t="shared" ca="1" si="159"/>
        <v>768.33230023362762</v>
      </c>
      <c r="P635" s="796">
        <f t="shared" ca="1" si="160"/>
        <v>4.3702984784259068E-2</v>
      </c>
      <c r="Q635" s="796">
        <f t="shared" ca="1" si="154"/>
        <v>10.8604999473218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20.251289682824083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28.1</v>
      </c>
      <c r="J636" s="797">
        <f t="shared" si="157"/>
        <v>0.2857142857142857</v>
      </c>
      <c r="K636" s="798">
        <f t="shared" ca="1" si="152"/>
        <v>695.77533843129754</v>
      </c>
      <c r="L636" s="743">
        <f t="shared" si="153"/>
        <v>2.5920000000000001</v>
      </c>
      <c r="M636" s="796">
        <f t="shared" ca="1" si="158"/>
        <v>11830.987709840252</v>
      </c>
      <c r="N636" s="799">
        <f ca="1">Calcs!L355</f>
        <v>20068.425408285621</v>
      </c>
      <c r="O636" s="798">
        <f t="shared" ca="1" si="159"/>
        <v>31899.413118125871</v>
      </c>
      <c r="P636" s="796">
        <f t="shared" ca="1" si="160"/>
        <v>0.97309195935301684</v>
      </c>
      <c r="Q636" s="796">
        <f t="shared" ca="1" si="154"/>
        <v>11512.639011649913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19.823340364389317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28.1</v>
      </c>
      <c r="J637" s="797">
        <f t="shared" si="157"/>
        <v>0.2857142857142857</v>
      </c>
      <c r="K637" s="798">
        <f t="shared" ca="1" si="152"/>
        <v>2002.9824678374143</v>
      </c>
      <c r="L637" s="743">
        <f t="shared" si="153"/>
        <v>2.6783999999999999</v>
      </c>
      <c r="M637" s="796">
        <f t="shared" ca="1" si="158"/>
        <v>48094.632200496802</v>
      </c>
      <c r="N637" s="799">
        <f ca="1">Calcs!L356</f>
        <v>60922.569332412619</v>
      </c>
      <c r="O637" s="798">
        <f t="shared" ca="1" si="159"/>
        <v>109017.20153290941</v>
      </c>
      <c r="P637" s="796">
        <f t="shared" ca="1" si="160"/>
        <v>0.99899724115634514</v>
      </c>
      <c r="Q637" s="796">
        <f t="shared" ca="1" si="154"/>
        <v>48046.404882725423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24.3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17.3</v>
      </c>
      <c r="J648" s="797">
        <f>$D$291</f>
        <v>0.2857142857142857</v>
      </c>
      <c r="K648" s="798">
        <f t="shared" ref="K648:K659" ca="1" si="164">1.205*1.008*H424/3600</f>
        <v>1.5711819648081722</v>
      </c>
      <c r="L648" s="743">
        <f t="shared" ref="L648:L659" si="165">O5</f>
        <v>2.6783999999999999</v>
      </c>
      <c r="M648" s="796">
        <f ca="1">K648*((I648-H648)-G648)*J648*L648</f>
        <v>25.904751239182538</v>
      </c>
      <c r="N648" s="799">
        <f ca="1">Calcs!L371</f>
        <v>40.417597289706464</v>
      </c>
      <c r="O648" s="798">
        <f ca="1">M648+N648</f>
        <v>66.322348528888995</v>
      </c>
      <c r="P648" s="796">
        <f ca="1">O648/(O648+O626)</f>
        <v>5.0139952916766924E-4</v>
      </c>
      <c r="Q648" s="796">
        <f t="shared" ref="Q648:Q659" ca="1" si="166">M648*P648</f>
        <v>1.298863007453172E-2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24.3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17.3</v>
      </c>
      <c r="J649" s="797">
        <f t="shared" ref="J649:J659" si="170">$D$291</f>
        <v>0.2857142857142857</v>
      </c>
      <c r="K649" s="798">
        <f t="shared" ca="1" si="164"/>
        <v>3.6456550279800082</v>
      </c>
      <c r="L649" s="743">
        <f t="shared" si="165"/>
        <v>2.4192</v>
      </c>
      <c r="M649" s="796">
        <f t="shared" ref="M649:M659" ca="1" si="171">K649*((I649-H649)-G649)*J649*L649</f>
        <v>48.959105458955854</v>
      </c>
      <c r="N649" s="799">
        <f ca="1">Calcs!L372</f>
        <v>93.782018937621615</v>
      </c>
      <c r="O649" s="798">
        <f t="shared" ref="O649:O659" ca="1" si="172">M649+N649</f>
        <v>142.74112439657748</v>
      </c>
      <c r="P649" s="796">
        <f t="shared" ref="P649:P659" ca="1" si="173">O649/(O649+O627)</f>
        <v>1.6125363059562615E-3</v>
      </c>
      <c r="Q649" s="796">
        <f t="shared" ca="1" si="166"/>
        <v>7.8948335059707705E-2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24.3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17.3</v>
      </c>
      <c r="J650" s="797">
        <f t="shared" si="170"/>
        <v>0.2857142857142857</v>
      </c>
      <c r="K650" s="798">
        <f t="shared" ca="1" si="164"/>
        <v>37.375138054005724</v>
      </c>
      <c r="L650" s="743">
        <f t="shared" si="165"/>
        <v>2.6783999999999999</v>
      </c>
      <c r="M650" s="796">
        <f t="shared" ca="1" si="171"/>
        <v>373.96580704637864</v>
      </c>
      <c r="N650" s="799">
        <f ca="1">Calcs!L373</f>
        <v>961.45024086908961</v>
      </c>
      <c r="O650" s="798">
        <f t="shared" ca="1" si="172"/>
        <v>1335.4160479154682</v>
      </c>
      <c r="P650" s="796">
        <f t="shared" ca="1" si="173"/>
        <v>3.7669756710353872E-2</v>
      </c>
      <c r="Q650" s="796">
        <f t="shared" ca="1" si="166"/>
        <v>14.087200969428222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24.3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17.3</v>
      </c>
      <c r="J651" s="797">
        <f t="shared" si="170"/>
        <v>0.2857142857142857</v>
      </c>
      <c r="K651" s="798">
        <f t="shared" ca="1" si="164"/>
        <v>484.49770916218478</v>
      </c>
      <c r="L651" s="743">
        <f t="shared" si="165"/>
        <v>2.5920000000000001</v>
      </c>
      <c r="M651" s="796">
        <f t="shared" ca="1" si="171"/>
        <v>2497.7822583730626</v>
      </c>
      <c r="N651" s="799">
        <f ca="1">Calcs!L374</f>
        <v>12463.377085093598</v>
      </c>
      <c r="O651" s="798">
        <f t="shared" ca="1" si="172"/>
        <v>14961.159343466661</v>
      </c>
      <c r="P651" s="796">
        <f t="shared" ca="1" si="173"/>
        <v>0.9183719468318936</v>
      </c>
      <c r="Q651" s="796">
        <f t="shared" ca="1" si="166"/>
        <v>2293.8931553842335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24.3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17.3</v>
      </c>
      <c r="J652" s="797">
        <f t="shared" si="170"/>
        <v>0.2857142857142857</v>
      </c>
      <c r="K652" s="798">
        <f t="shared" ca="1" si="164"/>
        <v>2082.8878507029021</v>
      </c>
      <c r="L652" s="743">
        <f t="shared" si="165"/>
        <v>2.6783999999999999</v>
      </c>
      <c r="M652" s="796">
        <f t="shared" ca="1" si="171"/>
        <v>2554.8107265907347</v>
      </c>
      <c r="N652" s="799">
        <f ca="1">Calcs!L375</f>
        <v>53580.886386772174</v>
      </c>
      <c r="O652" s="798">
        <f t="shared" ca="1" si="172"/>
        <v>56135.697113362912</v>
      </c>
      <c r="P652" s="796">
        <f t="shared" ca="1" si="173"/>
        <v>0.99998332473130336</v>
      </c>
      <c r="Q652" s="796">
        <f t="shared" ca="1" si="166"/>
        <v>2554.7681244353998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24.765364673569522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17.3</v>
      </c>
      <c r="J653" s="797">
        <f t="shared" si="170"/>
        <v>0.2857142857142857</v>
      </c>
      <c r="K653" s="798">
        <f t="shared" ca="1" si="164"/>
        <v>2962.6649436605157</v>
      </c>
      <c r="L653" s="743">
        <f t="shared" si="165"/>
        <v>2.5920000000000001</v>
      </c>
      <c r="M653" s="796">
        <f t="shared" ca="1" si="171"/>
        <v>-9237.013690858721</v>
      </c>
      <c r="N653" s="799">
        <f ca="1">Calcs!L376</f>
        <v>81279.221080428004</v>
      </c>
      <c r="O653" s="798">
        <f t="shared" ca="1" si="172"/>
        <v>72042.207389569288</v>
      </c>
      <c r="P653" s="796">
        <f t="shared" ca="1" si="173"/>
        <v>1</v>
      </c>
      <c r="Q653" s="796">
        <f t="shared" ca="1" si="166"/>
        <v>-9237.013690858721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24.979333630050174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17.3</v>
      </c>
      <c r="J654" s="797">
        <f t="shared" si="170"/>
        <v>0.2857142857142857</v>
      </c>
      <c r="K654" s="798">
        <f t="shared" ca="1" si="164"/>
        <v>3647.6868395781971</v>
      </c>
      <c r="L654" s="743">
        <f t="shared" si="165"/>
        <v>2.6783999999999999</v>
      </c>
      <c r="M654" s="796">
        <f t="shared" ca="1" si="171"/>
        <v>-20180.754486229547</v>
      </c>
      <c r="N654" s="799">
        <f ca="1">Calcs!L377</f>
        <v>102940.68393303681</v>
      </c>
      <c r="O654" s="798">
        <f t="shared" ca="1" si="172"/>
        <v>82759.929446807262</v>
      </c>
      <c r="P654" s="796">
        <f t="shared" ca="1" si="173"/>
        <v>1</v>
      </c>
      <c r="Q654" s="796">
        <f t="shared" ca="1" si="166"/>
        <v>-20180.754486229547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24.764596122648559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17.3</v>
      </c>
      <c r="J655" s="797">
        <f t="shared" si="170"/>
        <v>0.2857142857142857</v>
      </c>
      <c r="K655" s="798">
        <f t="shared" ca="1" si="164"/>
        <v>3153.4582840219073</v>
      </c>
      <c r="L655" s="743">
        <f t="shared" si="165"/>
        <v>2.6783999999999999</v>
      </c>
      <c r="M655" s="796">
        <f t="shared" ca="1" si="171"/>
        <v>-11777.355801548811</v>
      </c>
      <c r="N655" s="799">
        <f ca="1">Calcs!L378</f>
        <v>86504.633840249851</v>
      </c>
      <c r="O655" s="798">
        <f t="shared" ca="1" si="172"/>
        <v>74727.278038701043</v>
      </c>
      <c r="P655" s="796">
        <f t="shared" ca="1" si="173"/>
        <v>1</v>
      </c>
      <c r="Q655" s="796">
        <f t="shared" ca="1" si="166"/>
        <v>-11777.355801548811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24.410107792753386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17.3</v>
      </c>
      <c r="J656" s="797">
        <f t="shared" si="170"/>
        <v>0.2857142857142857</v>
      </c>
      <c r="K656" s="798">
        <f t="shared" ca="1" si="164"/>
        <v>2415.3549770550353</v>
      </c>
      <c r="L656" s="743">
        <f t="shared" si="165"/>
        <v>2.5920000000000001</v>
      </c>
      <c r="M656" s="796">
        <f t="shared" ca="1" si="171"/>
        <v>-2221.767726151229</v>
      </c>
      <c r="N656" s="799">
        <f ca="1">Calcs!L379</f>
        <v>63110.717638728165</v>
      </c>
      <c r="O656" s="798">
        <f t="shared" ca="1" si="172"/>
        <v>60888.949912576936</v>
      </c>
      <c r="P656" s="796">
        <f t="shared" ca="1" si="173"/>
        <v>0.99999997884345326</v>
      </c>
      <c r="Q656" s="796">
        <f t="shared" ca="1" si="166"/>
        <v>-2221.7676791462964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24.3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17.3</v>
      </c>
      <c r="J657" s="797">
        <f t="shared" si="170"/>
        <v>0.2857142857142857</v>
      </c>
      <c r="K657" s="798">
        <f t="shared" ca="1" si="164"/>
        <v>555.74277241189191</v>
      </c>
      <c r="L657" s="743">
        <f t="shared" si="165"/>
        <v>2.6783999999999999</v>
      </c>
      <c r="M657" s="796">
        <f t="shared" ca="1" si="171"/>
        <v>2516.3334086753739</v>
      </c>
      <c r="N657" s="799">
        <f ca="1">Calcs!L380</f>
        <v>14296.108328070855</v>
      </c>
      <c r="O657" s="798">
        <f t="shared" ca="1" si="172"/>
        <v>16812.44173674623</v>
      </c>
      <c r="P657" s="796">
        <f t="shared" ca="1" si="173"/>
        <v>0.95629701521574084</v>
      </c>
      <c r="Q657" s="796">
        <f t="shared" ca="1" si="166"/>
        <v>2406.362128003911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24.3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17.3</v>
      </c>
      <c r="J658" s="797">
        <f t="shared" si="170"/>
        <v>0.2857142857142857</v>
      </c>
      <c r="K658" s="798">
        <f t="shared" ca="1" si="164"/>
        <v>25.398246704516996</v>
      </c>
      <c r="L658" s="743">
        <f t="shared" si="165"/>
        <v>2.5920000000000001</v>
      </c>
      <c r="M658" s="796">
        <f t="shared" ca="1" si="171"/>
        <v>228.7331266327609</v>
      </c>
      <c r="N658" s="799">
        <f ca="1">Calcs!L381</f>
        <v>653.35278163857583</v>
      </c>
      <c r="O658" s="798">
        <f t="shared" ca="1" si="172"/>
        <v>882.08590827133673</v>
      </c>
      <c r="P658" s="796">
        <f t="shared" ca="1" si="173"/>
        <v>2.6908040646983215E-2</v>
      </c>
      <c r="Q658" s="796">
        <f t="shared" ca="1" si="166"/>
        <v>6.1547602687458891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24.3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17.3</v>
      </c>
      <c r="J659" s="797">
        <f t="shared" si="170"/>
        <v>0.2857142857142857</v>
      </c>
      <c r="K659" s="798">
        <f t="shared" ca="1" si="164"/>
        <v>2.6386520374323243</v>
      </c>
      <c r="L659" s="743">
        <f t="shared" si="165"/>
        <v>2.6783999999999999</v>
      </c>
      <c r="M659" s="796">
        <f t="shared" ca="1" si="171"/>
        <v>41.55014695031592</v>
      </c>
      <c r="N659" s="799">
        <f ca="1">Calcs!L382</f>
        <v>67.877545583731262</v>
      </c>
      <c r="O659" s="798">
        <f t="shared" ca="1" si="172"/>
        <v>109.42769253404718</v>
      </c>
      <c r="P659" s="796">
        <f t="shared" ca="1" si="173"/>
        <v>1.0027588436547577E-3</v>
      </c>
      <c r="Q659" s="796">
        <f t="shared" ca="1" si="166"/>
        <v>4.1664777309584046E-2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0.99944667578312507</v>
      </c>
      <c r="E701" s="834">
        <f ca="1">$E$713*(D701/$D$713)</f>
        <v>3651.7400219959504</v>
      </c>
      <c r="F701" s="540"/>
      <c r="G701" s="598">
        <f ca="1">Calcs!L371/(Calcs!L345+Calcs!L371)</f>
        <v>5.5332421687494639E-4</v>
      </c>
      <c r="H701" s="834">
        <f ca="1">$H$713*(G701/$G$713)</f>
        <v>1.4553919106278863</v>
      </c>
      <c r="I701" s="540"/>
      <c r="J701" s="835">
        <f ca="1">(Calcs!L345+Calcs!L371)/($L$357+Calcs!$L$383)</f>
        <v>0.11334136810729013</v>
      </c>
      <c r="K701" s="834">
        <f ca="1">IF(OR($E$713=0,$H$713=0),E701+H701,$K$713*J701/$J$713)</f>
        <v>4160.0815750099782</v>
      </c>
      <c r="L701" s="776">
        <f ca="1">H701+E701</f>
        <v>3653.1954139065783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0.99820707572628353</v>
      </c>
      <c r="E702" s="834">
        <f t="shared" ref="E702:E712" ca="1" si="175">$E$713*(D702/$D$713)</f>
        <v>3647.2108187392687</v>
      </c>
      <c r="F702" s="540"/>
      <c r="G702" s="598">
        <f ca="1">Calcs!L372/(Calcs!L346+Calcs!L372)</f>
        <v>1.792924273716418E-3</v>
      </c>
      <c r="H702" s="834">
        <f t="shared" ref="H702:H712" ca="1" si="176">$H$713*(G702/$G$713)</f>
        <v>4.7158743549534359</v>
      </c>
      <c r="I702" s="540"/>
      <c r="J702" s="835">
        <f ca="1">(Calcs!L346+Calcs!L372)/($L$357+Calcs!$L$383)</f>
        <v>8.1162472212706727E-2</v>
      </c>
      <c r="K702" s="834">
        <f t="shared" ref="K702:K712" ca="1" si="177">IF(OR($E$713=0,$H$713=0),E702+H702,$K$713*J702/$J$713)</f>
        <v>2978.9873800951882</v>
      </c>
      <c r="L702" s="776">
        <f t="shared" ref="L702:L712" ca="1" si="178">H702+E702</f>
        <v>3651.9266930942222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0.95593367502082016</v>
      </c>
      <c r="E703" s="834">
        <f t="shared" ca="1" si="175"/>
        <v>3492.7538847552187</v>
      </c>
      <c r="F703" s="540"/>
      <c r="G703" s="598">
        <f ca="1">Calcs!L373/(Calcs!L347+Calcs!L373)</f>
        <v>4.4066324979179845E-2</v>
      </c>
      <c r="H703" s="834">
        <f t="shared" ca="1" si="176"/>
        <v>115.90631848360329</v>
      </c>
      <c r="I703" s="540"/>
      <c r="J703" s="835">
        <f ca="1">(Calcs!L347+Calcs!L373)/($L$357+Calcs!$L$383)</f>
        <v>3.3854594462343797E-2</v>
      </c>
      <c r="K703" s="834">
        <f t="shared" ca="1" si="177"/>
        <v>1242.599035145867</v>
      </c>
      <c r="L703" s="776">
        <f t="shared" ca="1" si="178"/>
        <v>3608.6602032388219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6.6725601828651546E-2</v>
      </c>
      <c r="E704" s="834">
        <f t="shared" ca="1" si="175"/>
        <v>243.7994508296579</v>
      </c>
      <c r="F704" s="540"/>
      <c r="G704" s="598">
        <f ca="1">Calcs!L374/(Calcs!L348+Calcs!L374)</f>
        <v>0.9332743981713485</v>
      </c>
      <c r="H704" s="834">
        <f t="shared" ca="1" si="176"/>
        <v>2454.7633522457354</v>
      </c>
      <c r="I704" s="540"/>
      <c r="J704" s="835">
        <f ca="1">(Calcs!L348+Calcs!L374)/($L$357+Calcs!$L$383)</f>
        <v>2.0721634967409603E-2</v>
      </c>
      <c r="K704" s="834">
        <f t="shared" ca="1" si="177"/>
        <v>760.56688984380219</v>
      </c>
      <c r="L704" s="776">
        <f t="shared" ca="1" si="178"/>
        <v>2698.5628030753933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1.2761794884149728E-5</v>
      </c>
      <c r="E705" s="834">
        <f t="shared" ca="1" si="175"/>
        <v>4.6628557841204225E-2</v>
      </c>
      <c r="F705" s="540"/>
      <c r="G705" s="598">
        <f ca="1">Calcs!L375/(Calcs!L349+Calcs!L375)</f>
        <v>0.99998723820511581</v>
      </c>
      <c r="H705" s="834">
        <f t="shared" ca="1" si="176"/>
        <v>2630.236112625751</v>
      </c>
      <c r="I705" s="540"/>
      <c r="J705" s="835">
        <f ca="1">(Calcs!L349+Calcs!L375)/($L$357+Calcs!$L$383)</f>
        <v>8.3140584325998954E-2</v>
      </c>
      <c r="K705" s="834">
        <f t="shared" ca="1" si="177"/>
        <v>3051.5920071014662</v>
      </c>
      <c r="L705" s="776">
        <f t="shared" ca="1" si="178"/>
        <v>2630.2827411835924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2630.2696795878915</v>
      </c>
      <c r="I706" s="540"/>
      <c r="J706" s="835">
        <f ca="1">(Calcs!L350+Calcs!L376)/($L$357+Calcs!$L$383)</f>
        <v>0.12611802735550323</v>
      </c>
      <c r="K706" s="834">
        <f t="shared" ca="1" si="177"/>
        <v>4629.0360760563917</v>
      </c>
      <c r="L706" s="776">
        <f t="shared" ca="1" si="178"/>
        <v>2630.2696795878915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2630.2696795878915</v>
      </c>
      <c r="I707" s="540"/>
      <c r="J707" s="835">
        <f ca="1">(Calcs!L351+Calcs!L377)/($L$357+Calcs!$L$383)</f>
        <v>0.15972933573531956</v>
      </c>
      <c r="K707" s="834">
        <f t="shared" ca="1" si="177"/>
        <v>5862.7055388291701</v>
      </c>
      <c r="L707" s="776">
        <f t="shared" ca="1" si="178"/>
        <v>2630.2696795878915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2630.2696795878915</v>
      </c>
      <c r="I708" s="540"/>
      <c r="J708" s="835">
        <f ca="1">(Calcs!L352+Calcs!L378)/($L$357+Calcs!$L$383)</f>
        <v>0.13422611132366638</v>
      </c>
      <c r="K708" s="834">
        <f t="shared" ca="1" si="177"/>
        <v>4926.6351900238515</v>
      </c>
      <c r="L708" s="776">
        <f t="shared" ca="1" si="178"/>
        <v>2630.2696795878915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1.600719655796806E-8</v>
      </c>
      <c r="E709" s="834">
        <f t="shared" ca="1" si="175"/>
        <v>5.848648229770293E-5</v>
      </c>
      <c r="F709" s="540"/>
      <c r="G709" s="598">
        <f ca="1">Calcs!L379/(Calcs!L353+Calcs!L379)</f>
        <v>0.99999998399280343</v>
      </c>
      <c r="H709" s="834">
        <f t="shared" ca="1" si="176"/>
        <v>2630.2696374846482</v>
      </c>
      <c r="I709" s="540"/>
      <c r="J709" s="835">
        <f ca="1">(Calcs!L353+Calcs!L379)/($L$357+Calcs!$L$383)</f>
        <v>9.7926619315386723E-2</v>
      </c>
      <c r="K709" s="834">
        <f t="shared" ca="1" si="177"/>
        <v>3594.298635351955</v>
      </c>
      <c r="L709" s="776">
        <f t="shared" ca="1" si="178"/>
        <v>2630.2696959711307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3.5085554668831218E-2</v>
      </c>
      <c r="E710" s="834">
        <f t="shared" ca="1" si="175"/>
        <v>128.19425716505157</v>
      </c>
      <c r="F710" s="540"/>
      <c r="G710" s="598">
        <f ca="1">Calcs!L380/(Calcs!L354+Calcs!L380)</f>
        <v>0.96491444533116877</v>
      </c>
      <c r="H710" s="834">
        <f t="shared" ca="1" si="176"/>
        <v>2537.9852089509413</v>
      </c>
      <c r="I710" s="540"/>
      <c r="J710" s="835">
        <f ca="1">(Calcs!L354+Calcs!L380)/($L$357+Calcs!$L$383)</f>
        <v>2.2989348213902559E-2</v>
      </c>
      <c r="K710" s="834">
        <f t="shared" ca="1" si="177"/>
        <v>843.80103684307971</v>
      </c>
      <c r="L710" s="776">
        <f t="shared" ca="1" si="178"/>
        <v>2666.1794661159929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0.96847023572734392</v>
      </c>
      <c r="E711" s="834">
        <f t="shared" ca="1" si="175"/>
        <v>3538.5594905763828</v>
      </c>
      <c r="F711" s="540"/>
      <c r="G711" s="598">
        <f ca="1">Calcs!L381/(Calcs!L355+Calcs!L381)</f>
        <v>3.152976427265608E-2</v>
      </c>
      <c r="H711" s="834">
        <f t="shared" ca="1" si="176"/>
        <v>82.93178297092085</v>
      </c>
      <c r="I711" s="540"/>
      <c r="J711" s="835">
        <f ca="1">(Calcs!L355+Calcs!L381)/($L$357+Calcs!$L$383)</f>
        <v>3.2153233678574623E-2</v>
      </c>
      <c r="K711" s="834">
        <f t="shared" ca="1" si="177"/>
        <v>1180.1522889384032</v>
      </c>
      <c r="L711" s="776">
        <f t="shared" ca="1" si="178"/>
        <v>3621.4912735473035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0.99888707905814311</v>
      </c>
      <c r="E712" s="834">
        <f t="shared" ca="1" si="175"/>
        <v>3649.6953888941462</v>
      </c>
      <c r="F712" s="540"/>
      <c r="G712" s="598">
        <f ca="1">Calcs!L382/(Calcs!L356+Calcs!L382)</f>
        <v>1.1129209418568728E-3</v>
      </c>
      <c r="H712" s="834">
        <f t="shared" ca="1" si="176"/>
        <v>2.9272822091445314</v>
      </c>
      <c r="I712" s="540"/>
      <c r="J712" s="835">
        <f ca="1">(Calcs!L356+Calcs!L382)/($L$357+Calcs!$L$383)</f>
        <v>9.4636670301897596E-2</v>
      </c>
      <c r="K712" s="834">
        <f t="shared" ca="1" si="177"/>
        <v>3473.5443467608502</v>
      </c>
      <c r="L712" s="776">
        <f t="shared" ca="1" si="178"/>
        <v>3652.6226711032905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5.0227686756152794</v>
      </c>
      <c r="E713" s="774">
        <f>$D$675*(D693*C2)</f>
        <v>18352</v>
      </c>
      <c r="F713" s="595">
        <f ca="1">SUM(E701:E712)</f>
        <v>18352</v>
      </c>
      <c r="G713" s="836">
        <f ca="1">SUM(G701:G712)</f>
        <v>6.9772313243847206</v>
      </c>
      <c r="H713" s="774">
        <f>$D$675*(G693*C2)</f>
        <v>18352</v>
      </c>
      <c r="I713" s="595">
        <f ca="1">SUM(H701:H712)</f>
        <v>18352</v>
      </c>
      <c r="J713" s="836">
        <f ca="1">SUM(J701:J712)</f>
        <v>0.99999999999999978</v>
      </c>
      <c r="K713" s="774">
        <f>E713+H713</f>
        <v>36704</v>
      </c>
      <c r="L713" s="776">
        <f ca="1">SUM(K701:K712)</f>
        <v>36704.000000000007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1.9684114285714289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4.76</v>
      </c>
      <c r="D748" s="286">
        <f>Inputs!C29</f>
        <v>0</v>
      </c>
      <c r="E748" s="287">
        <f>E18</f>
        <v>0.2857142857142857</v>
      </c>
      <c r="G748" s="82" t="s">
        <v>115</v>
      </c>
      <c r="H748" s="838">
        <f t="shared" si="186"/>
        <v>1.7779200000000002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1.8</v>
      </c>
      <c r="D749" s="286">
        <f>Inputs!C30</f>
        <v>0</v>
      </c>
      <c r="E749" s="287">
        <f>1-E748</f>
        <v>0.7142857142857143</v>
      </c>
      <c r="G749" s="82" t="s">
        <v>116</v>
      </c>
      <c r="H749" s="838">
        <f t="shared" si="186"/>
        <v>1.9684114285714289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2.6457142857142859</v>
      </c>
      <c r="D750" s="837">
        <f>SUMPRODUCT(D748:D749,$E$748:$E$749)</f>
        <v>0</v>
      </c>
      <c r="G750" s="82" t="s">
        <v>117</v>
      </c>
      <c r="H750" s="838">
        <f t="shared" si="186"/>
        <v>1.9049142857142858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1.9684114285714289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1.9049142857142858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1.9684114285714289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1.9684114285714289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1.9049142857142858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1.9684114285714289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1.9049142857142858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1.9684114285714289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23.176457142857146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0.64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0.4917184265010352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24692.410496598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48</v>
      </c>
      <c r="AA801" s="10"/>
      <c r="AB801" s="10"/>
    </row>
    <row r="802" spans="2:28" outlineLevel="1" x14ac:dyDescent="0.25">
      <c r="B802" s="10" t="s">
        <v>735</v>
      </c>
      <c r="C802" s="11">
        <f>PeoDOcc</f>
        <v>9.5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10.114251208055576</v>
      </c>
      <c r="E809" s="338">
        <v>9.5350000000000001</v>
      </c>
      <c r="F809" s="337">
        <f>D809-E809</f>
        <v>0.57925120805557562</v>
      </c>
      <c r="G809" s="338">
        <v>34.17</v>
      </c>
      <c r="H809" s="338">
        <f>F809*G809</f>
        <v>19.79301377925902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3.8712010109078911</v>
      </c>
      <c r="E811" s="338">
        <v>3.972</v>
      </c>
      <c r="F811" s="337">
        <f t="shared" si="196"/>
        <v>-0.10079898909210883</v>
      </c>
      <c r="G811" s="338">
        <v>55.96</v>
      </c>
      <c r="H811" s="338">
        <f t="shared" si="197"/>
        <v>-5.6407114295944103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2.2802645700093827</v>
      </c>
      <c r="E812" s="338">
        <v>0.56159999999999999</v>
      </c>
      <c r="F812" s="337">
        <f t="shared" si="196"/>
        <v>1.7186645700093828</v>
      </c>
      <c r="G812" s="338">
        <v>10.34</v>
      </c>
      <c r="H812" s="338">
        <f t="shared" si="197"/>
        <v>17.770991653897017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197.760158714054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623.70108130778533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392.93168122390477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12.705758027264713</v>
      </c>
      <c r="D830" s="206">
        <f ca="1">D846/Calcs!$C$2/3.6</f>
        <v>6.9612698999541882</v>
      </c>
      <c r="E830" s="206">
        <f ca="1">E846/Calcs!$C$2/3.6</f>
        <v>19.6670279272189</v>
      </c>
      <c r="F830" s="206">
        <f ca="1">F846/Calcs!$C$2/3.6</f>
        <v>1.4183747241012681</v>
      </c>
      <c r="G830" s="206">
        <f>G846/Calcs!$C$2/3.6</f>
        <v>5.6562196283160739</v>
      </c>
      <c r="H830" s="206">
        <f>H846/Calcs!$C$2/3.6</f>
        <v>3.7723178082191779</v>
      </c>
      <c r="I830" s="206">
        <f ca="1">I846/Calcs!$C$2/3.6</f>
        <v>10.846912160636519</v>
      </c>
      <c r="J830" s="206">
        <f t="shared" ref="J830:J841" ca="1" si="198">J846</f>
        <v>0.99816258367909949</v>
      </c>
      <c r="K830" s="206">
        <f ca="1">K846/Calcs!$C$2/3.6</f>
        <v>8.8400460600177091</v>
      </c>
      <c r="L830" s="204"/>
      <c r="M830" s="9" t="s">
        <v>114</v>
      </c>
      <c r="N830" s="206">
        <f ca="1">N846/Calcs!$C$2/3.6</f>
        <v>15.048171689573307</v>
      </c>
      <c r="O830" s="206">
        <f ca="1">O846/Calcs!$C$2/3.6</f>
        <v>8.2827582682300687</v>
      </c>
      <c r="P830" s="206">
        <f ca="1">P846/Calcs!$C$2/3.6</f>
        <v>23.330929957803377</v>
      </c>
      <c r="Q830" s="206">
        <f ca="1">Q846/Calcs!$C$2/3.6</f>
        <v>1.4183747241012681</v>
      </c>
      <c r="R830" s="206">
        <f>R846/Calcs!$C$2/3.6</f>
        <v>5.6562196283160739</v>
      </c>
      <c r="S830" s="206">
        <f>S846/Calcs!$C$2/3.6</f>
        <v>3.7723178082191779</v>
      </c>
      <c r="T830" s="206">
        <f ca="1">T846/Calcs!$C$2/3.6</f>
        <v>10.846912160636519</v>
      </c>
      <c r="U830" s="206">
        <f t="shared" ref="U830:U841" ca="1" si="199">U846</f>
        <v>0.46470578158038889</v>
      </c>
      <c r="V830" s="206">
        <f ca="1">V846/Calcs!$C$2/3.6</f>
        <v>4.8941195981917155E-3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10.528037945258893</v>
      </c>
      <c r="D831" s="206">
        <f ca="1">D847/Calcs!$C$2/3.6</f>
        <v>6.0238608629840149</v>
      </c>
      <c r="E831" s="206">
        <f ca="1">E847/Calcs!$C$2/3.6</f>
        <v>16.551898808242907</v>
      </c>
      <c r="F831" s="206">
        <f ca="1">F847/Calcs!$C$2/3.6</f>
        <v>1.7613821345671101</v>
      </c>
      <c r="G831" s="206">
        <f>G847/Calcs!$C$2/3.6</f>
        <v>5.1088435352532278</v>
      </c>
      <c r="H831" s="206">
        <f>H847/Calcs!$C$2/3.6</f>
        <v>3.407254794520548</v>
      </c>
      <c r="I831" s="206">
        <f ca="1">I847/Calcs!$C$2/3.6</f>
        <v>10.277480464340885</v>
      </c>
      <c r="J831" s="206">
        <f t="shared" ca="1" si="198"/>
        <v>0.99533082461588718</v>
      </c>
      <c r="K831" s="206">
        <f ca="1">K847/Calcs!$C$2/3.6</f>
        <v>6.3224057026968215</v>
      </c>
      <c r="L831" s="204"/>
      <c r="M831" s="9" t="s">
        <v>115</v>
      </c>
      <c r="N831" s="206">
        <f ca="1">N847/Calcs!$C$2/3.6</f>
        <v>12.598371520427204</v>
      </c>
      <c r="O831" s="206">
        <f ca="1">O847/Calcs!$C$2/3.6</f>
        <v>7.2422082921812319</v>
      </c>
      <c r="P831" s="206">
        <f ca="1">P847/Calcs!$C$2/3.6</f>
        <v>19.840579812608436</v>
      </c>
      <c r="Q831" s="206">
        <f ca="1">Q847/Calcs!$C$2/3.6</f>
        <v>1.7613821345671101</v>
      </c>
      <c r="R831" s="206">
        <f>R847/Calcs!$C$2/3.6</f>
        <v>5.1088435352532278</v>
      </c>
      <c r="S831" s="206">
        <f>S847/Calcs!$C$2/3.6</f>
        <v>3.407254794520548</v>
      </c>
      <c r="T831" s="206">
        <f ca="1">T847/Calcs!$C$2/3.6</f>
        <v>10.277480464340885</v>
      </c>
      <c r="U831" s="206">
        <f t="shared" ca="1" si="199"/>
        <v>0.51743067018620292</v>
      </c>
      <c r="V831" s="206">
        <f ca="1">V847/Calcs!$C$2/3.6</f>
        <v>1.1355955020054927E-2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8.5542655760945845</v>
      </c>
      <c r="D832" s="206">
        <f ca="1">D848/Calcs!$C$2/3.6</f>
        <v>5.342982118264004</v>
      </c>
      <c r="E832" s="206">
        <f ca="1">E848/Calcs!$C$2/3.6</f>
        <v>13.897247694358589</v>
      </c>
      <c r="F832" s="206">
        <f ca="1">F848/Calcs!$C$2/3.6</f>
        <v>2.4486101671935478</v>
      </c>
      <c r="G832" s="206">
        <f>G848/Calcs!$C$2/3.6</f>
        <v>5.6562196283160739</v>
      </c>
      <c r="H832" s="206">
        <f>H848/Calcs!$C$2/3.6</f>
        <v>3.7723178082191779</v>
      </c>
      <c r="I832" s="206">
        <f ca="1">I848/Calcs!$C$2/3.6</f>
        <v>11.877147603728798</v>
      </c>
      <c r="J832" s="206">
        <f t="shared" ca="1" si="198"/>
        <v>0.95744552282367779</v>
      </c>
      <c r="K832" s="206">
        <f ca="1">K848/Calcs!$C$2/3.6</f>
        <v>2.525525897252479</v>
      </c>
      <c r="L832" s="204"/>
      <c r="M832" s="9" t="s">
        <v>116</v>
      </c>
      <c r="N832" s="206">
        <f ca="1">N848/Calcs!$C$2/3.6</f>
        <v>10.64473369418919</v>
      </c>
      <c r="O832" s="206">
        <f ca="1">O848/Calcs!$C$2/3.6</f>
        <v>6.6804963361455618</v>
      </c>
      <c r="P832" s="206">
        <f ca="1">P848/Calcs!$C$2/3.6</f>
        <v>17.325230030334751</v>
      </c>
      <c r="Q832" s="206">
        <f ca="1">Q848/Calcs!$C$2/3.6</f>
        <v>2.4486101671935478</v>
      </c>
      <c r="R832" s="206">
        <f>R848/Calcs!$C$2/3.6</f>
        <v>5.6562196283160739</v>
      </c>
      <c r="S832" s="206">
        <f>S848/Calcs!$C$2/3.6</f>
        <v>3.7723178082191779</v>
      </c>
      <c r="T832" s="206">
        <f ca="1">T848/Calcs!$C$2/3.6</f>
        <v>11.877147603728798</v>
      </c>
      <c r="U832" s="206">
        <f t="shared" ca="1" si="199"/>
        <v>0.67882081205445288</v>
      </c>
      <c r="V832" s="206">
        <f ca="1">V848/Calcs!$C$2/3.6</f>
        <v>0.11642088550676762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5.4796600771478774</v>
      </c>
      <c r="D833" s="206">
        <f ca="1">D849/Calcs!$C$2/3.6</f>
        <v>2.9250481000578707</v>
      </c>
      <c r="E833" s="206">
        <f ca="1">E849/Calcs!$C$2/3.6</f>
        <v>8.4047081772057464</v>
      </c>
      <c r="F833" s="206">
        <f ca="1">F849/Calcs!$C$2/3.6</f>
        <v>2.6840835366603568</v>
      </c>
      <c r="G833" s="206">
        <f>G849/Calcs!$C$2/3.6</f>
        <v>5.4737609306284574</v>
      </c>
      <c r="H833" s="206">
        <f>H849/Calcs!$C$2/3.6</f>
        <v>3.650630136986301</v>
      </c>
      <c r="I833" s="206">
        <f ca="1">I849/Calcs!$C$2/3.6</f>
        <v>11.808474604275116</v>
      </c>
      <c r="J833" s="206">
        <f t="shared" ca="1" si="198"/>
        <v>0.70261469637682172</v>
      </c>
      <c r="K833" s="206">
        <f ca="1">K849/Calcs!$C$2/3.6</f>
        <v>0.10790037844957649</v>
      </c>
      <c r="L833" s="204"/>
      <c r="M833" s="9" t="s">
        <v>117</v>
      </c>
      <c r="N833" s="206">
        <f ca="1">N849/Calcs!$C$2/3.6</f>
        <v>7.225483171495199</v>
      </c>
      <c r="O833" s="206">
        <f ca="1">O849/Calcs!$C$2/3.6</f>
        <v>3.8748751574517359</v>
      </c>
      <c r="P833" s="206">
        <f ca="1">P849/Calcs!$C$2/3.6</f>
        <v>11.100358328946935</v>
      </c>
      <c r="Q833" s="206">
        <f ca="1">Q849/Calcs!$C$2/3.6</f>
        <v>2.6840835366603568</v>
      </c>
      <c r="R833" s="206">
        <f>R849/Calcs!$C$2/3.6</f>
        <v>5.4737609306284574</v>
      </c>
      <c r="S833" s="206">
        <f>S849/Calcs!$C$2/3.6</f>
        <v>3.650630136986301</v>
      </c>
      <c r="T833" s="206">
        <f ca="1">T849/Calcs!$C$2/3.6</f>
        <v>11.808474604275116</v>
      </c>
      <c r="U833" s="206">
        <f t="shared" ca="1" si="199"/>
        <v>0.92783480861012235</v>
      </c>
      <c r="V833" s="206">
        <f ca="1">V849/Calcs!$C$2/3.6</f>
        <v>1.5091757586328582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3.0168254478923284</v>
      </c>
      <c r="D834" s="206">
        <f ca="1">D850/Calcs!$C$2/3.6</f>
        <v>1.1860999938062424</v>
      </c>
      <c r="E834" s="206">
        <f ca="1">E850/Calcs!$C$2/3.6</f>
        <v>4.2029254416985706</v>
      </c>
      <c r="F834" s="206">
        <f ca="1">F850/Calcs!$C$2/3.6</f>
        <v>3.5836917673027648</v>
      </c>
      <c r="G834" s="206">
        <f>G850/Calcs!$C$2/3.6</f>
        <v>5.6562196283160739</v>
      </c>
      <c r="H834" s="206">
        <f>H850/Calcs!$C$2/3.6</f>
        <v>3.7723178082191779</v>
      </c>
      <c r="I834" s="206">
        <f ca="1">I850/Calcs!$C$2/3.6</f>
        <v>13.012229203838015</v>
      </c>
      <c r="J834" s="206">
        <f t="shared" ca="1" si="198"/>
        <v>0.32299174689289301</v>
      </c>
      <c r="K834" s="206">
        <f ca="1">K850/Calcs!$C$2/3.6</f>
        <v>8.280018021118844E-5</v>
      </c>
      <c r="L834" s="204"/>
      <c r="M834" s="9" t="s">
        <v>118</v>
      </c>
      <c r="N834" s="206">
        <f ca="1">N850/Calcs!$C$2/3.6</f>
        <v>4.6804712511355708</v>
      </c>
      <c r="O834" s="206">
        <f ca="1">O850/Calcs!$C$2/3.6</f>
        <v>1.849270145662284</v>
      </c>
      <c r="P834" s="206">
        <f ca="1">P850/Calcs!$C$2/3.6</f>
        <v>6.5297413967978546</v>
      </c>
      <c r="Q834" s="206">
        <f ca="1">Q850/Calcs!$C$2/3.6</f>
        <v>3.5836917673027648</v>
      </c>
      <c r="R834" s="206">
        <f>R850/Calcs!$C$2/3.6</f>
        <v>5.6562196283160739</v>
      </c>
      <c r="S834" s="206">
        <f>S850/Calcs!$C$2/3.6</f>
        <v>3.7723178082191779</v>
      </c>
      <c r="T834" s="206">
        <f ca="1">T850/Calcs!$C$2/3.6</f>
        <v>13.012229203838015</v>
      </c>
      <c r="U834" s="206">
        <f t="shared" ca="1" si="199"/>
        <v>0.9991486528155471</v>
      </c>
      <c r="V834" s="206">
        <f ca="1">V850/Calcs!$C$2/3.6</f>
        <v>6.4880468839935306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-5.0311869049702715E-3</v>
      </c>
      <c r="D835" s="206">
        <f ca="1">D851/Calcs!$C$2/3.6</f>
        <v>-2.6543840221587719E-3</v>
      </c>
      <c r="E835" s="206">
        <f ca="1">E851/Calcs!$C$2/3.6</f>
        <v>-7.6855709271290429E-3</v>
      </c>
      <c r="F835" s="206">
        <f ca="1">F851/Calcs!$C$2/3.6</f>
        <v>3.5377533827790519</v>
      </c>
      <c r="G835" s="206">
        <f>G851/Calcs!$C$2/3.6</f>
        <v>5.4737609306284574</v>
      </c>
      <c r="H835" s="206">
        <f>H851/Calcs!$C$2/3.6</f>
        <v>3.650630136986301</v>
      </c>
      <c r="I835" s="206">
        <f ca="1">I851/Calcs!$C$2/3.6</f>
        <v>12.662144450393811</v>
      </c>
      <c r="J835" s="206">
        <f t="shared" ca="1" si="198"/>
        <v>-6.0697229898447498E-4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1.8390822878551019</v>
      </c>
      <c r="O835" s="206">
        <f ca="1">O851/Calcs!$C$2/3.6</f>
        <v>0.98105837074464575</v>
      </c>
      <c r="P835" s="206">
        <f ca="1">P851/Calcs!$C$2/3.6</f>
        <v>2.8201406585997475</v>
      </c>
      <c r="Q835" s="206">
        <f ca="1">Q851/Calcs!$C$2/3.6</f>
        <v>3.5377533827790519</v>
      </c>
      <c r="R835" s="206">
        <f>R851/Calcs!$C$2/3.6</f>
        <v>5.4737609306284574</v>
      </c>
      <c r="S835" s="206">
        <f>S851/Calcs!$C$2/3.6</f>
        <v>3.650630136986301</v>
      </c>
      <c r="T835" s="206">
        <f ca="1">T851/Calcs!$C$2/3.6</f>
        <v>12.662144450393811</v>
      </c>
      <c r="U835" s="206">
        <f t="shared" ca="1" si="199"/>
        <v>0.99999927151629642</v>
      </c>
      <c r="V835" s="206">
        <f ca="1">V851/Calcs!$C$2/3.6</f>
        <v>9.8420058462205748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-1.5750410116390516</v>
      </c>
      <c r="D836" s="206">
        <f ca="1">D852/Calcs!$C$2/3.6</f>
        <v>-0.71023448472061335</v>
      </c>
      <c r="E836" s="206">
        <f ca="1">E852/Calcs!$C$2/3.6</f>
        <v>-2.2852754963596653</v>
      </c>
      <c r="F836" s="206">
        <f ca="1">F852/Calcs!$C$2/3.6</f>
        <v>3.676323978889843</v>
      </c>
      <c r="G836" s="206">
        <f>G852/Calcs!$C$2/3.6</f>
        <v>5.6562196283160739</v>
      </c>
      <c r="H836" s="206">
        <f>H852/Calcs!$C$2/3.6</f>
        <v>3.7723178082191779</v>
      </c>
      <c r="I836" s="206">
        <f ca="1">I852/Calcs!$C$2/3.6</f>
        <v>13.104861415425093</v>
      </c>
      <c r="J836" s="206">
        <f t="shared" ca="1" si="198"/>
        <v>-0.17438379727310804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0.44178308617761886</v>
      </c>
      <c r="O836" s="206">
        <f ca="1">O852/Calcs!$C$2/3.6</f>
        <v>0.19811127351839997</v>
      </c>
      <c r="P836" s="206">
        <f ca="1">P852/Calcs!$C$2/3.6</f>
        <v>0.63989435969601882</v>
      </c>
      <c r="Q836" s="206">
        <f ca="1">Q852/Calcs!$C$2/3.6</f>
        <v>3.676323978889843</v>
      </c>
      <c r="R836" s="206">
        <f>R852/Calcs!$C$2/3.6</f>
        <v>5.6562196283160739</v>
      </c>
      <c r="S836" s="206">
        <f>S852/Calcs!$C$2/3.6</f>
        <v>3.7723178082191779</v>
      </c>
      <c r="T836" s="206">
        <f ca="1">T852/Calcs!$C$2/3.6</f>
        <v>13.104861415425093</v>
      </c>
      <c r="U836" s="206">
        <f t="shared" ca="1" si="199"/>
        <v>0.99999999999927791</v>
      </c>
      <c r="V836" s="206">
        <f ca="1">V852/Calcs!$C$2/3.6</f>
        <v>12.464967055729536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-0.35372039045772091</v>
      </c>
      <c r="D837" s="206">
        <f ca="1">D853/Calcs!$C$2/3.6</f>
        <v>-0.14168801329801334</v>
      </c>
      <c r="E837" s="206">
        <f ca="1">E853/Calcs!$C$2/3.6</f>
        <v>-0.49540840375573425</v>
      </c>
      <c r="F837" s="206">
        <f ca="1">F853/Calcs!$C$2/3.6</f>
        <v>3.2228218525098047</v>
      </c>
      <c r="G837" s="206">
        <f>G853/Calcs!$C$2/3.6</f>
        <v>5.6562196283160739</v>
      </c>
      <c r="H837" s="206">
        <f>H853/Calcs!$C$2/3.6</f>
        <v>3.7723178082191779</v>
      </c>
      <c r="I837" s="206">
        <f ca="1">I853/Calcs!$C$2/3.6</f>
        <v>12.651359289045054</v>
      </c>
      <c r="J837" s="206">
        <f t="shared" ca="1" si="198"/>
        <v>-3.9158511938295323E-2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1.5514639720503205</v>
      </c>
      <c r="O837" s="206">
        <f ca="1">O853/Calcs!$C$2/3.6</f>
        <v>0.62515050479576728</v>
      </c>
      <c r="P837" s="206">
        <f ca="1">P853/Calcs!$C$2/3.6</f>
        <v>2.1766144768460878</v>
      </c>
      <c r="Q837" s="206">
        <f ca="1">Q853/Calcs!$C$2/3.6</f>
        <v>3.2228218525098047</v>
      </c>
      <c r="R837" s="206">
        <f>R853/Calcs!$C$2/3.6</f>
        <v>5.6562196283160739</v>
      </c>
      <c r="S837" s="206">
        <f>S853/Calcs!$C$2/3.6</f>
        <v>3.7723178082191779</v>
      </c>
      <c r="T837" s="206">
        <f ca="1">T853/Calcs!$C$2/3.6</f>
        <v>12.651359289045054</v>
      </c>
      <c r="U837" s="206">
        <f t="shared" ca="1" si="199"/>
        <v>0.9999999286141471</v>
      </c>
      <c r="V837" s="206">
        <f ca="1">V853/Calcs!$C$2/3.6</f>
        <v>10.474744967578447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1.4881831599324193</v>
      </c>
      <c r="D838" s="206">
        <f ca="1">D854/Calcs!$C$2/3.6</f>
        <v>0.52557096787839042</v>
      </c>
      <c r="E838" s="206">
        <f ca="1">E854/Calcs!$C$2/3.6</f>
        <v>2.0137541278108095</v>
      </c>
      <c r="F838" s="206">
        <f ca="1">F854/Calcs!$C$2/3.6</f>
        <v>2.7912917928294996</v>
      </c>
      <c r="G838" s="206">
        <f>G854/Calcs!$C$2/3.6</f>
        <v>5.4737609306284574</v>
      </c>
      <c r="H838" s="206">
        <f>H854/Calcs!$C$2/3.6</f>
        <v>3.650630136986301</v>
      </c>
      <c r="I838" s="206">
        <f ca="1">I854/Calcs!$C$2/3.6</f>
        <v>11.91568286044426</v>
      </c>
      <c r="J838" s="206">
        <f t="shared" ca="1" si="198"/>
        <v>0.16900030229645469</v>
      </c>
      <c r="K838" s="206">
        <f ca="1">K854/Calcs!$C$2/3.6</f>
        <v>1.2232704619883084E-7</v>
      </c>
      <c r="L838" s="204"/>
      <c r="M838" s="9" t="s">
        <v>122</v>
      </c>
      <c r="N838" s="206">
        <f ca="1">N854/Calcs!$C$2/3.6</f>
        <v>3.1535602580262472</v>
      </c>
      <c r="O838" s="206">
        <f ca="1">O854/Calcs!$C$2/3.6</f>
        <v>1.1203296637767712</v>
      </c>
      <c r="P838" s="206">
        <f ca="1">P854/Calcs!$C$2/3.6</f>
        <v>4.2738899218030184</v>
      </c>
      <c r="Q838" s="206">
        <f ca="1">Q854/Calcs!$C$2/3.6</f>
        <v>2.7912917928294996</v>
      </c>
      <c r="R838" s="206">
        <f>R854/Calcs!$C$2/3.6</f>
        <v>5.4737609306284574</v>
      </c>
      <c r="S838" s="206">
        <f>S854/Calcs!$C$2/3.6</f>
        <v>3.650630136986301</v>
      </c>
      <c r="T838" s="206">
        <f ca="1">T854/Calcs!$C$2/3.6</f>
        <v>11.91568286044426</v>
      </c>
      <c r="U838" s="206">
        <f t="shared" ca="1" si="199"/>
        <v>0.99995084827752811</v>
      </c>
      <c r="V838" s="206">
        <f ca="1">V854/Calcs!$C$2/3.6</f>
        <v>7.6420030076925505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5.1131598740352944</v>
      </c>
      <c r="D839" s="206">
        <f ca="1">D855/Calcs!$C$2/3.6</f>
        <v>2.6892435877246532</v>
      </c>
      <c r="E839" s="206">
        <f ca="1">E855/Calcs!$C$2/3.6</f>
        <v>7.8024034617599476</v>
      </c>
      <c r="F839" s="206">
        <f ca="1">F855/Calcs!$C$2/3.6</f>
        <v>2.2588458978240076</v>
      </c>
      <c r="G839" s="206">
        <f>G855/Calcs!$C$2/3.6</f>
        <v>5.6562196283160739</v>
      </c>
      <c r="H839" s="206">
        <f>H855/Calcs!$C$2/3.6</f>
        <v>3.7723178082191779</v>
      </c>
      <c r="I839" s="206">
        <f ca="1">I855/Calcs!$C$2/3.6</f>
        <v>11.687383334359257</v>
      </c>
      <c r="J839" s="206">
        <f t="shared" ca="1" si="198"/>
        <v>0.66220626199472543</v>
      </c>
      <c r="K839" s="206">
        <f ca="1">K855/Calcs!$C$2/3.6</f>
        <v>6.2945031414452748E-2</v>
      </c>
      <c r="L839" s="204"/>
      <c r="M839" s="9" t="s">
        <v>123</v>
      </c>
      <c r="N839" s="206">
        <f ca="1">N855/Calcs!$C$2/3.6</f>
        <v>6.923262569217524</v>
      </c>
      <c r="O839" s="206">
        <f ca="1">O855/Calcs!$C$2/3.6</f>
        <v>3.658719151977369</v>
      </c>
      <c r="P839" s="206">
        <f ca="1">P855/Calcs!$C$2/3.6</f>
        <v>10.581981721194893</v>
      </c>
      <c r="Q839" s="206">
        <f ca="1">Q855/Calcs!$C$2/3.6</f>
        <v>2.2588458978240076</v>
      </c>
      <c r="R839" s="206">
        <f>R855/Calcs!$C$2/3.6</f>
        <v>5.6562196283160739</v>
      </c>
      <c r="S839" s="206">
        <f>S855/Calcs!$C$2/3.6</f>
        <v>3.7723178082191779</v>
      </c>
      <c r="T839" s="206">
        <f ca="1">T855/Calcs!$C$2/3.6</f>
        <v>11.687383334359257</v>
      </c>
      <c r="U839" s="206">
        <f t="shared" ca="1" si="199"/>
        <v>0.94087143171527476</v>
      </c>
      <c r="V839" s="206">
        <f ca="1">V855/Calcs!$C$2/3.6</f>
        <v>1.7310990419537506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7.8043691411207998</v>
      </c>
      <c r="D840" s="206">
        <f ca="1">D856/Calcs!$C$2/3.6</f>
        <v>4.6658717313537501</v>
      </c>
      <c r="E840" s="206">
        <f ca="1">E856/Calcs!$C$2/3.6</f>
        <v>12.47024087247455</v>
      </c>
      <c r="F840" s="206">
        <f ca="1">F856/Calcs!$C$2/3.6</f>
        <v>1.3056778030874931</v>
      </c>
      <c r="G840" s="206">
        <f>G856/Calcs!$C$2/3.6</f>
        <v>5.4737609306284574</v>
      </c>
      <c r="H840" s="206">
        <f>H856/Calcs!$C$2/3.6</f>
        <v>3.650630136986301</v>
      </c>
      <c r="I840" s="206">
        <f ca="1">I856/Calcs!$C$2/3.6</f>
        <v>10.430068870702252</v>
      </c>
      <c r="J840" s="206">
        <f t="shared" ca="1" si="198"/>
        <v>0.96261863933306291</v>
      </c>
      <c r="K840" s="206">
        <f ca="1">K856/Calcs!$C$2/3.6</f>
        <v>2.4300621680090115</v>
      </c>
      <c r="L840" s="204"/>
      <c r="M840" s="9" t="s">
        <v>124</v>
      </c>
      <c r="N840" s="206">
        <f ca="1">N856/Calcs!$C$2/3.6</f>
        <v>9.8413509740998322</v>
      </c>
      <c r="O840" s="206">
        <f ca="1">O856/Calcs!$C$2/3.6</f>
        <v>5.9124296884965171</v>
      </c>
      <c r="P840" s="206">
        <f ca="1">P856/Calcs!$C$2/3.6</f>
        <v>15.75378066259635</v>
      </c>
      <c r="Q840" s="206">
        <f ca="1">Q856/Calcs!$C$2/3.6</f>
        <v>1.3056778030874931</v>
      </c>
      <c r="R840" s="206">
        <f>R856/Calcs!$C$2/3.6</f>
        <v>5.4737609306284574</v>
      </c>
      <c r="S840" s="206">
        <f>S856/Calcs!$C$2/3.6</f>
        <v>3.650630136986301</v>
      </c>
      <c r="T840" s="206">
        <f ca="1">T856/Calcs!$C$2/3.6</f>
        <v>10.430068870702252</v>
      </c>
      <c r="U840" s="206">
        <f t="shared" ca="1" si="199"/>
        <v>0.65704578272259884</v>
      </c>
      <c r="V840" s="206">
        <f ca="1">V856/Calcs!$C$2/3.6</f>
        <v>7.9113724406492281E-2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12.217600243706439</v>
      </c>
      <c r="D841" s="206">
        <f ca="1">D857/Calcs!$C$2/3.6</f>
        <v>5.7521877504768275</v>
      </c>
      <c r="E841" s="206">
        <f ca="1">E857/Calcs!$C$2/3.6</f>
        <v>17.969787994183267</v>
      </c>
      <c r="F841" s="206">
        <f ca="1">F857/Calcs!$C$2/3.6</f>
        <v>1.1981836519452875</v>
      </c>
      <c r="G841" s="206">
        <f>G857/Calcs!$C$2/3.6</f>
        <v>5.6562196283160739</v>
      </c>
      <c r="H841" s="206">
        <f>H857/Calcs!$C$2/3.6</f>
        <v>3.7723178082191779</v>
      </c>
      <c r="I841" s="206">
        <f ca="1">I857/Calcs!$C$2/3.6</f>
        <v>10.626721088480538</v>
      </c>
      <c r="J841" s="206">
        <f t="shared" ca="1" si="198"/>
        <v>0.99680279723613419</v>
      </c>
      <c r="K841" s="206">
        <f ca="1">K857/Calcs!$C$2/3.6</f>
        <v>7.3770426877376511</v>
      </c>
      <c r="L841" s="204"/>
      <c r="M841" s="9" t="s">
        <v>125</v>
      </c>
      <c r="N841" s="206">
        <f ca="1">N857/Calcs!$C$2/3.6</f>
        <v>14.544967748497731</v>
      </c>
      <c r="O841" s="206">
        <f ca="1">O857/Calcs!$C$2/3.6</f>
        <v>6.8791831470294662</v>
      </c>
      <c r="P841" s="206">
        <f ca="1">P857/Calcs!$C$2/3.6</f>
        <v>21.424150895527198</v>
      </c>
      <c r="Q841" s="206">
        <f ca="1">Q857/Calcs!$C$2/3.6</f>
        <v>1.1981836519452875</v>
      </c>
      <c r="R841" s="206">
        <f>R857/Calcs!$C$2/3.6</f>
        <v>5.6562196283160739</v>
      </c>
      <c r="S841" s="206">
        <f>S857/Calcs!$C$2/3.6</f>
        <v>3.7723178082191779</v>
      </c>
      <c r="T841" s="206">
        <f ca="1">T857/Calcs!$C$2/3.6</f>
        <v>10.626721088480538</v>
      </c>
      <c r="U841" s="206">
        <f t="shared" ca="1" si="199"/>
        <v>0.49563233229781756</v>
      </c>
      <c r="V841" s="206">
        <f ca="1">V857/Calcs!$C$2/3.6</f>
        <v>8.2192126300168616E-3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64.9740669034516</v>
      </c>
      <c r="D842" s="208">
        <f t="shared" ca="1" si="200"/>
        <v>35.21755813045916</v>
      </c>
      <c r="E842" s="208">
        <f t="shared" ca="1" si="200"/>
        <v>100.19162503391075</v>
      </c>
      <c r="F842" s="208">
        <f t="shared" ca="1" si="200"/>
        <v>29.887040689690039</v>
      </c>
      <c r="G842" s="208">
        <f t="shared" si="200"/>
        <v>66.59742465597958</v>
      </c>
      <c r="H842" s="208">
        <f t="shared" si="200"/>
        <v>44.415999999999997</v>
      </c>
      <c r="I842" s="208">
        <f t="shared" ca="1" si="200"/>
        <v>140.9004653456696</v>
      </c>
      <c r="J842" s="208" t="s">
        <v>479</v>
      </c>
      <c r="K842" s="208">
        <f ca="1">SUM(K830:K841)</f>
        <v>27.666010848084966</v>
      </c>
      <c r="L842" s="204"/>
      <c r="M842" s="207" t="s">
        <v>178</v>
      </c>
      <c r="N842" s="208">
        <f t="shared" ref="N842:T842" ca="1" si="201">SUM(N830:N841)</f>
        <v>88.492702222744839</v>
      </c>
      <c r="O842" s="208">
        <f t="shared" ca="1" si="201"/>
        <v>47.304590000009817</v>
      </c>
      <c r="P842" s="208">
        <f t="shared" ca="1" si="201"/>
        <v>135.79729222275469</v>
      </c>
      <c r="Q842" s="208">
        <f t="shared" ca="1" si="201"/>
        <v>29.887040689690039</v>
      </c>
      <c r="R842" s="208">
        <f>SUM(R830:R841)</f>
        <v>66.59742465597958</v>
      </c>
      <c r="S842" s="208">
        <f t="shared" si="201"/>
        <v>44.415999999999997</v>
      </c>
      <c r="T842" s="208">
        <f t="shared" ca="1" si="201"/>
        <v>140.9004653456696</v>
      </c>
      <c r="U842" s="208" t="s">
        <v>479</v>
      </c>
      <c r="V842" s="208">
        <f ca="1">SUM(V830:V841)</f>
        <v>50.372046458962764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104929.2320923629</v>
      </c>
      <c r="D846" s="208">
        <f t="shared" ref="D846:D857" ca="1" si="203">E345</f>
        <v>57488.951341781671</v>
      </c>
      <c r="E846" s="208">
        <f t="shared" ref="E846:E857" ca="1" si="204">C846+D846</f>
        <v>162418.18343414456</v>
      </c>
      <c r="F846" s="208">
        <f t="shared" ref="F846:F857" ca="1" si="205">AM144</f>
        <v>11713.505821517912</v>
      </c>
      <c r="G846" s="208">
        <f t="shared" ref="G846:G857" si="206">C313+D313</f>
        <v>46711.324178485462</v>
      </c>
      <c r="H846" s="208">
        <f t="shared" ref="H846:H857" si="207">E313</f>
        <v>31153.309387397258</v>
      </c>
      <c r="I846" s="208">
        <f t="shared" ref="I846:I857" ca="1" si="208">F846+G846+H846</f>
        <v>89578.139387400632</v>
      </c>
      <c r="J846" s="209">
        <f t="shared" ref="J846:J857" ca="1" si="209">J345</f>
        <v>0.99816258367909949</v>
      </c>
      <c r="K846" s="208">
        <f t="shared" ref="K846:K857" ca="1" si="210">L345</f>
        <v>73004.636382050245</v>
      </c>
      <c r="L846" s="204"/>
      <c r="M846" s="9" t="s">
        <v>114</v>
      </c>
      <c r="N846" s="208">
        <f t="shared" ref="N846:N857" ca="1" si="211">C371</f>
        <v>124273.82108117219</v>
      </c>
      <c r="O846" s="208">
        <f t="shared" ref="O846:O857" ca="1" si="212">E371</f>
        <v>68402.330882351205</v>
      </c>
      <c r="P846" s="208">
        <f t="shared" ref="P846:P857" ca="1" si="213">N846+O846</f>
        <v>192676.15196352341</v>
      </c>
      <c r="Q846" s="208">
        <f ca="1">AM144</f>
        <v>11713.505821517912</v>
      </c>
      <c r="R846" s="208">
        <f t="shared" ref="R846:R857" si="214">C313+D313</f>
        <v>46711.324178485462</v>
      </c>
      <c r="S846" s="208">
        <f t="shared" ref="S846:S857" si="215">E313</f>
        <v>31153.309387397258</v>
      </c>
      <c r="T846" s="208">
        <f t="shared" ref="T846:T857" ca="1" si="216">Q846+R846+S846</f>
        <v>89578.139387400632</v>
      </c>
      <c r="U846" s="209">
        <f t="shared" ref="U846:U857" ca="1" si="217">J371</f>
        <v>0.46470578158038889</v>
      </c>
      <c r="V846" s="208">
        <f t="shared" ref="V846:V857" ca="1" si="218">L371</f>
        <v>40.417597289706464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86944.748567126037</v>
      </c>
      <c r="D847" s="208">
        <f t="shared" ca="1" si="203"/>
        <v>49747.452550867187</v>
      </c>
      <c r="E847" s="208">
        <f t="shared" ca="1" si="204"/>
        <v>136692.20111799322</v>
      </c>
      <c r="F847" s="208">
        <f t="shared" ca="1" si="205"/>
        <v>14546.198220109023</v>
      </c>
      <c r="G847" s="208">
        <f t="shared" si="206"/>
        <v>42190.873451535255</v>
      </c>
      <c r="H847" s="208">
        <f t="shared" si="207"/>
        <v>28138.472995068492</v>
      </c>
      <c r="I847" s="208">
        <f t="shared" ca="1" si="208"/>
        <v>84875.544666712769</v>
      </c>
      <c r="J847" s="209">
        <f t="shared" ca="1" si="209"/>
        <v>0.99533082461588718</v>
      </c>
      <c r="K847" s="208">
        <f t="shared" ca="1" si="210"/>
        <v>52212.955255151435</v>
      </c>
      <c r="L847" s="204"/>
      <c r="M847" s="9" t="s">
        <v>115</v>
      </c>
      <c r="N847" s="208">
        <f t="shared" ca="1" si="211"/>
        <v>104042.39136429601</v>
      </c>
      <c r="O847" s="208">
        <f t="shared" ca="1" si="212"/>
        <v>59809.052960149485</v>
      </c>
      <c r="P847" s="208">
        <f t="shared" ca="1" si="213"/>
        <v>163851.4443244455</v>
      </c>
      <c r="Q847" s="208">
        <f t="shared" ref="Q847:Q858" ca="1" si="219">AM145</f>
        <v>14546.198220109023</v>
      </c>
      <c r="R847" s="208">
        <f t="shared" si="214"/>
        <v>42190.873451535255</v>
      </c>
      <c r="S847" s="208">
        <f t="shared" si="215"/>
        <v>28138.472995068492</v>
      </c>
      <c r="T847" s="208">
        <f t="shared" ca="1" si="216"/>
        <v>84875.544666712769</v>
      </c>
      <c r="U847" s="209">
        <f t="shared" ca="1" si="217"/>
        <v>0.51743067018620292</v>
      </c>
      <c r="V847" s="208">
        <f t="shared" ca="1" si="218"/>
        <v>93.782018937621615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70644.546833619519</v>
      </c>
      <c r="D848" s="208">
        <f t="shared" ca="1" si="203"/>
        <v>44124.483525471449</v>
      </c>
      <c r="E848" s="208">
        <f t="shared" ca="1" si="204"/>
        <v>114769.03035909098</v>
      </c>
      <c r="F848" s="208">
        <f t="shared" ca="1" si="205"/>
        <v>20221.602204751198</v>
      </c>
      <c r="G848" s="208">
        <f t="shared" si="206"/>
        <v>46711.324178485462</v>
      </c>
      <c r="H848" s="208">
        <f t="shared" si="207"/>
        <v>31153.309387397258</v>
      </c>
      <c r="I848" s="208">
        <f t="shared" ca="1" si="208"/>
        <v>98086.23577063391</v>
      </c>
      <c r="J848" s="209">
        <f t="shared" ca="1" si="209"/>
        <v>0.95744552282367779</v>
      </c>
      <c r="K848" s="208">
        <f t="shared" ca="1" si="210"/>
        <v>20856.803069869871</v>
      </c>
      <c r="L848" s="204"/>
      <c r="M848" s="9" t="s">
        <v>116</v>
      </c>
      <c r="N848" s="208">
        <f t="shared" ca="1" si="211"/>
        <v>87908.468740092008</v>
      </c>
      <c r="O848" s="208">
        <f t="shared" ca="1" si="212"/>
        <v>55170.210942424506</v>
      </c>
      <c r="P848" s="208">
        <f t="shared" ca="1" si="213"/>
        <v>143078.67968251652</v>
      </c>
      <c r="Q848" s="208">
        <f t="shared" ca="1" si="219"/>
        <v>20221.602204751198</v>
      </c>
      <c r="R848" s="208">
        <f t="shared" si="214"/>
        <v>46711.324178485462</v>
      </c>
      <c r="S848" s="208">
        <f t="shared" si="215"/>
        <v>31153.309387397258</v>
      </c>
      <c r="T848" s="208">
        <f t="shared" ca="1" si="216"/>
        <v>98086.23577063391</v>
      </c>
      <c r="U848" s="209">
        <f t="shared" ca="1" si="217"/>
        <v>0.67882081205445288</v>
      </c>
      <c r="V848" s="208">
        <f t="shared" ca="1" si="218"/>
        <v>961.45024086908961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45253.224781118035</v>
      </c>
      <c r="D849" s="208">
        <f t="shared" ca="1" si="203"/>
        <v>24156.217229517919</v>
      </c>
      <c r="E849" s="208">
        <f t="shared" ca="1" si="204"/>
        <v>69409.442010635947</v>
      </c>
      <c r="F849" s="208">
        <f t="shared" ca="1" si="205"/>
        <v>22166.23547915589</v>
      </c>
      <c r="G849" s="208">
        <f t="shared" si="206"/>
        <v>45204.507269502057</v>
      </c>
      <c r="H849" s="208">
        <f t="shared" si="207"/>
        <v>30148.36392328767</v>
      </c>
      <c r="I849" s="208">
        <f t="shared" ca="1" si="208"/>
        <v>97519.106671945614</v>
      </c>
      <c r="J849" s="209">
        <f t="shared" ca="1" si="209"/>
        <v>0.70261469637682172</v>
      </c>
      <c r="K849" s="208">
        <f t="shared" ca="1" si="210"/>
        <v>891.08448538798257</v>
      </c>
      <c r="L849" s="204"/>
      <c r="M849" s="9" t="s">
        <v>117</v>
      </c>
      <c r="N849" s="208">
        <f t="shared" ca="1" si="211"/>
        <v>59670.930223475953</v>
      </c>
      <c r="O849" s="208">
        <f t="shared" ca="1" si="212"/>
        <v>32000.269000299417</v>
      </c>
      <c r="P849" s="208">
        <f t="shared" ca="1" si="213"/>
        <v>91671.199223775373</v>
      </c>
      <c r="Q849" s="208">
        <f t="shared" ca="1" si="219"/>
        <v>22166.23547915589</v>
      </c>
      <c r="R849" s="208">
        <f t="shared" si="214"/>
        <v>45204.507269502057</v>
      </c>
      <c r="S849" s="208">
        <f t="shared" si="215"/>
        <v>30148.36392328767</v>
      </c>
      <c r="T849" s="208">
        <f t="shared" ca="1" si="216"/>
        <v>97519.106671945614</v>
      </c>
      <c r="U849" s="209">
        <f t="shared" ca="1" si="217"/>
        <v>0.92783480861012235</v>
      </c>
      <c r="V849" s="208">
        <f t="shared" ca="1" si="218"/>
        <v>12463.377085093598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24914.151278874004</v>
      </c>
      <c r="D850" s="208">
        <f t="shared" ca="1" si="203"/>
        <v>9795.2881888494721</v>
      </c>
      <c r="E850" s="208">
        <f t="shared" ca="1" si="204"/>
        <v>34709.439467723474</v>
      </c>
      <c r="F850" s="208">
        <f t="shared" ca="1" si="205"/>
        <v>29595.560091093153</v>
      </c>
      <c r="G850" s="208">
        <f t="shared" si="206"/>
        <v>46711.324178485462</v>
      </c>
      <c r="H850" s="208">
        <f t="shared" si="207"/>
        <v>31153.309387397258</v>
      </c>
      <c r="I850" s="208">
        <f t="shared" ca="1" si="208"/>
        <v>107460.19365697587</v>
      </c>
      <c r="J850" s="209">
        <f t="shared" ca="1" si="209"/>
        <v>0.32299174689289301</v>
      </c>
      <c r="K850" s="208">
        <f t="shared" ca="1" si="210"/>
        <v>0.6837970082560787</v>
      </c>
      <c r="L850" s="204"/>
      <c r="M850" s="9" t="s">
        <v>118</v>
      </c>
      <c r="N850" s="208">
        <f t="shared" ca="1" si="211"/>
        <v>38653.203780377997</v>
      </c>
      <c r="O850" s="208">
        <f t="shared" ca="1" si="212"/>
        <v>15272.012570937406</v>
      </c>
      <c r="P850" s="208">
        <f t="shared" ca="1" si="213"/>
        <v>53925.216351315401</v>
      </c>
      <c r="Q850" s="208">
        <f t="shared" ca="1" si="219"/>
        <v>29595.560091093153</v>
      </c>
      <c r="R850" s="208">
        <f t="shared" si="214"/>
        <v>46711.324178485462</v>
      </c>
      <c r="S850" s="208">
        <f t="shared" si="215"/>
        <v>31153.309387397258</v>
      </c>
      <c r="T850" s="208">
        <f t="shared" ca="1" si="216"/>
        <v>107460.19365697587</v>
      </c>
      <c r="U850" s="209">
        <f t="shared" ca="1" si="217"/>
        <v>0.9991486528155471</v>
      </c>
      <c r="V850" s="208">
        <f t="shared" ca="1" si="218"/>
        <v>53580.886386772174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-41.54955393600649</v>
      </c>
      <c r="D851" s="208">
        <f t="shared" ca="1" si="203"/>
        <v>-21.920965008596003</v>
      </c>
      <c r="E851" s="208">
        <f t="shared" ca="1" si="204"/>
        <v>-63.470518944602489</v>
      </c>
      <c r="F851" s="208">
        <f t="shared" ca="1" si="205"/>
        <v>29216.182536342523</v>
      </c>
      <c r="G851" s="208">
        <f t="shared" si="206"/>
        <v>45204.507269502057</v>
      </c>
      <c r="H851" s="208">
        <f t="shared" si="207"/>
        <v>30148.36392328767</v>
      </c>
      <c r="I851" s="208">
        <f t="shared" ca="1" si="208"/>
        <v>104569.05372913225</v>
      </c>
      <c r="J851" s="209">
        <f t="shared" ca="1" si="209"/>
        <v>-6.0697229898447498E-4</v>
      </c>
      <c r="K851" s="208">
        <f t="shared" ca="1" si="210"/>
        <v>0</v>
      </c>
      <c r="L851" s="204"/>
      <c r="M851" s="9" t="s">
        <v>119</v>
      </c>
      <c r="N851" s="208">
        <f t="shared" ca="1" si="211"/>
        <v>15187.877166022574</v>
      </c>
      <c r="O851" s="208">
        <f t="shared" ca="1" si="212"/>
        <v>8101.9724489575829</v>
      </c>
      <c r="P851" s="208">
        <f t="shared" ca="1" si="213"/>
        <v>23289.849614980158</v>
      </c>
      <c r="Q851" s="208">
        <f t="shared" ca="1" si="219"/>
        <v>29216.182536342523</v>
      </c>
      <c r="R851" s="208">
        <f t="shared" si="214"/>
        <v>45204.507269502057</v>
      </c>
      <c r="S851" s="208">
        <f t="shared" si="215"/>
        <v>30148.36392328767</v>
      </c>
      <c r="T851" s="208">
        <f t="shared" ca="1" si="216"/>
        <v>104569.05372913225</v>
      </c>
      <c r="U851" s="209">
        <f t="shared" ca="1" si="217"/>
        <v>0.99999927151629642</v>
      </c>
      <c r="V851" s="208">
        <f t="shared" ca="1" si="218"/>
        <v>81279.221080428004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-13007.318690519944</v>
      </c>
      <c r="D852" s="208">
        <f t="shared" ca="1" si="203"/>
        <v>-5865.4004686167136</v>
      </c>
      <c r="E852" s="208">
        <f t="shared" ca="1" si="204"/>
        <v>-18872.719159136657</v>
      </c>
      <c r="F852" s="208">
        <f t="shared" ca="1" si="205"/>
        <v>30360.553947263877</v>
      </c>
      <c r="G852" s="208">
        <f t="shared" si="206"/>
        <v>46711.324178485462</v>
      </c>
      <c r="H852" s="208">
        <f t="shared" si="207"/>
        <v>31153.309387397258</v>
      </c>
      <c r="I852" s="208">
        <f t="shared" ca="1" si="208"/>
        <v>108225.18751314659</v>
      </c>
      <c r="J852" s="209">
        <f t="shared" ca="1" si="209"/>
        <v>-0.17438379727310804</v>
      </c>
      <c r="K852" s="208">
        <f t="shared" ca="1" si="210"/>
        <v>0</v>
      </c>
      <c r="L852" s="204"/>
      <c r="M852" s="9" t="s">
        <v>120</v>
      </c>
      <c r="N852" s="208">
        <f t="shared" ca="1" si="211"/>
        <v>3648.4214388892474</v>
      </c>
      <c r="O852" s="208">
        <f t="shared" ca="1" si="212"/>
        <v>1636.0821412243545</v>
      </c>
      <c r="P852" s="208">
        <f t="shared" ca="1" si="213"/>
        <v>5284.5035801136019</v>
      </c>
      <c r="Q852" s="208">
        <f t="shared" ca="1" si="219"/>
        <v>30360.553947263877</v>
      </c>
      <c r="R852" s="208">
        <f t="shared" si="214"/>
        <v>46711.324178485462</v>
      </c>
      <c r="S852" s="208">
        <f t="shared" si="215"/>
        <v>31153.309387397258</v>
      </c>
      <c r="T852" s="208">
        <f t="shared" ca="1" si="216"/>
        <v>108225.18751314659</v>
      </c>
      <c r="U852" s="209">
        <f t="shared" ca="1" si="217"/>
        <v>0.99999999999927791</v>
      </c>
      <c r="V852" s="208">
        <f t="shared" ca="1" si="218"/>
        <v>102940.68393303681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-2921.1644725560427</v>
      </c>
      <c r="D853" s="208">
        <f t="shared" ca="1" si="203"/>
        <v>-1170.1162890203134</v>
      </c>
      <c r="E853" s="208">
        <f t="shared" ca="1" si="204"/>
        <v>-4091.2807615763559</v>
      </c>
      <c r="F853" s="208">
        <f t="shared" ca="1" si="205"/>
        <v>26615.351986766971</v>
      </c>
      <c r="G853" s="208">
        <f t="shared" si="206"/>
        <v>46711.324178485462</v>
      </c>
      <c r="H853" s="208">
        <f t="shared" si="207"/>
        <v>31153.309387397258</v>
      </c>
      <c r="I853" s="208">
        <f t="shared" ca="1" si="208"/>
        <v>104479.98555264968</v>
      </c>
      <c r="J853" s="209">
        <f t="shared" ca="1" si="209"/>
        <v>-3.9158511938295323E-2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12812.610066780368</v>
      </c>
      <c r="O853" s="208">
        <f t="shared" ca="1" si="212"/>
        <v>5162.7429288053645</v>
      </c>
      <c r="P853" s="208">
        <f t="shared" ca="1" si="213"/>
        <v>17975.35299558573</v>
      </c>
      <c r="Q853" s="208">
        <f t="shared" ca="1" si="219"/>
        <v>26615.351986766971</v>
      </c>
      <c r="R853" s="208">
        <f t="shared" si="214"/>
        <v>46711.324178485462</v>
      </c>
      <c r="S853" s="208">
        <f t="shared" si="215"/>
        <v>31153.309387397258</v>
      </c>
      <c r="T853" s="208">
        <f t="shared" ca="1" si="216"/>
        <v>104479.98555264968</v>
      </c>
      <c r="U853" s="209">
        <f t="shared" ca="1" si="217"/>
        <v>0.9999999286141471</v>
      </c>
      <c r="V853" s="208">
        <f t="shared" ca="1" si="218"/>
        <v>86504.633840249851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12290.011807985893</v>
      </c>
      <c r="D854" s="208">
        <f t="shared" ca="1" si="203"/>
        <v>4340.3752811268996</v>
      </c>
      <c r="E854" s="208">
        <f t="shared" ca="1" si="204"/>
        <v>16630.387089112792</v>
      </c>
      <c r="F854" s="208">
        <f t="shared" ca="1" si="205"/>
        <v>23051.604141903139</v>
      </c>
      <c r="G854" s="208">
        <f t="shared" si="206"/>
        <v>45204.507269502057</v>
      </c>
      <c r="H854" s="208">
        <f t="shared" si="207"/>
        <v>30148.36392328767</v>
      </c>
      <c r="I854" s="208">
        <f t="shared" ca="1" si="208"/>
        <v>98404.475334692877</v>
      </c>
      <c r="J854" s="209">
        <f t="shared" ca="1" si="209"/>
        <v>0.16900030229645469</v>
      </c>
      <c r="K854" s="208">
        <f t="shared" ca="1" si="210"/>
        <v>1.0102256783284247E-3</v>
      </c>
      <c r="L854" s="204"/>
      <c r="M854" s="9" t="s">
        <v>122</v>
      </c>
      <c r="N854" s="208">
        <f t="shared" ca="1" si="211"/>
        <v>26043.362034883961</v>
      </c>
      <c r="O854" s="208">
        <f t="shared" ca="1" si="212"/>
        <v>9252.1304953340878</v>
      </c>
      <c r="P854" s="208">
        <f t="shared" ca="1" si="213"/>
        <v>35295.492530218049</v>
      </c>
      <c r="Q854" s="208">
        <f t="shared" ca="1" si="219"/>
        <v>23051.604141903139</v>
      </c>
      <c r="R854" s="208">
        <f t="shared" si="214"/>
        <v>45204.507269502057</v>
      </c>
      <c r="S854" s="208">
        <f t="shared" si="215"/>
        <v>30148.36392328767</v>
      </c>
      <c r="T854" s="208">
        <f t="shared" ca="1" si="216"/>
        <v>98404.475334692877</v>
      </c>
      <c r="U854" s="209">
        <f t="shared" ca="1" si="217"/>
        <v>0.99995084827752811</v>
      </c>
      <c r="V854" s="208">
        <f t="shared" ca="1" si="218"/>
        <v>63110.717638728165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42226.519503733078</v>
      </c>
      <c r="D855" s="208">
        <f t="shared" ca="1" si="203"/>
        <v>22208.849244865276</v>
      </c>
      <c r="E855" s="208">
        <f t="shared" ca="1" si="204"/>
        <v>64435.368748598354</v>
      </c>
      <c r="F855" s="208">
        <f t="shared" ca="1" si="205"/>
        <v>18654.452962589785</v>
      </c>
      <c r="G855" s="208">
        <f t="shared" si="206"/>
        <v>46711.324178485462</v>
      </c>
      <c r="H855" s="208">
        <f t="shared" si="207"/>
        <v>31153.309387397258</v>
      </c>
      <c r="I855" s="208">
        <f t="shared" ca="1" si="208"/>
        <v>96519.086528472501</v>
      </c>
      <c r="J855" s="209">
        <f t="shared" ca="1" si="209"/>
        <v>0.66220626199472543</v>
      </c>
      <c r="K855" s="208">
        <f t="shared" ca="1" si="210"/>
        <v>519.8252474331166</v>
      </c>
      <c r="L855" s="204"/>
      <c r="M855" s="9" t="s">
        <v>123</v>
      </c>
      <c r="N855" s="208">
        <f t="shared" ca="1" si="211"/>
        <v>57175.071601626005</v>
      </c>
      <c r="O855" s="208">
        <f t="shared" ca="1" si="212"/>
        <v>30215.166244689903</v>
      </c>
      <c r="P855" s="208">
        <f t="shared" ca="1" si="213"/>
        <v>87390.237846315911</v>
      </c>
      <c r="Q855" s="208">
        <f t="shared" ca="1" si="219"/>
        <v>18654.452962589785</v>
      </c>
      <c r="R855" s="208">
        <f t="shared" si="214"/>
        <v>46711.324178485462</v>
      </c>
      <c r="S855" s="208">
        <f t="shared" si="215"/>
        <v>31153.309387397258</v>
      </c>
      <c r="T855" s="208">
        <f t="shared" ca="1" si="216"/>
        <v>96519.086528472501</v>
      </c>
      <c r="U855" s="209">
        <f t="shared" ca="1" si="217"/>
        <v>0.94087143171527476</v>
      </c>
      <c r="V855" s="208">
        <f t="shared" ca="1" si="218"/>
        <v>14296.108328070855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64451.602115032008</v>
      </c>
      <c r="D856" s="208">
        <f t="shared" ca="1" si="203"/>
        <v>38532.635106211812</v>
      </c>
      <c r="E856" s="208">
        <f t="shared" ca="1" si="204"/>
        <v>102984.23722124382</v>
      </c>
      <c r="F856" s="208">
        <f t="shared" ca="1" si="205"/>
        <v>10782.809569017754</v>
      </c>
      <c r="G856" s="208">
        <f t="shared" si="206"/>
        <v>45204.507269502057</v>
      </c>
      <c r="H856" s="208">
        <f t="shared" si="207"/>
        <v>30148.36392328767</v>
      </c>
      <c r="I856" s="208">
        <f t="shared" ca="1" si="208"/>
        <v>86135.680761807482</v>
      </c>
      <c r="J856" s="209">
        <f t="shared" ca="1" si="209"/>
        <v>0.96261863933306291</v>
      </c>
      <c r="K856" s="208">
        <f t="shared" ca="1" si="210"/>
        <v>20068.425408285621</v>
      </c>
      <c r="L856" s="204"/>
      <c r="M856" s="9" t="s">
        <v>124</v>
      </c>
      <c r="N856" s="208">
        <f t="shared" ca="1" si="211"/>
        <v>81273.812884506056</v>
      </c>
      <c r="O856" s="208">
        <f t="shared" ca="1" si="212"/>
        <v>48827.209339479639</v>
      </c>
      <c r="P856" s="208">
        <f t="shared" ca="1" si="213"/>
        <v>130101.0222239857</v>
      </c>
      <c r="Q856" s="208">
        <f t="shared" ca="1" si="219"/>
        <v>10782.809569017754</v>
      </c>
      <c r="R856" s="208">
        <f t="shared" si="214"/>
        <v>45204.507269502057</v>
      </c>
      <c r="S856" s="208">
        <f t="shared" si="215"/>
        <v>30148.36392328767</v>
      </c>
      <c r="T856" s="208">
        <f t="shared" ca="1" si="216"/>
        <v>86135.680761807482</v>
      </c>
      <c r="U856" s="209">
        <f t="shared" ca="1" si="217"/>
        <v>0.65704578272259884</v>
      </c>
      <c r="V856" s="208">
        <f t="shared" ca="1" si="218"/>
        <v>653.35278163857583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100897.82985262526</v>
      </c>
      <c r="D857" s="208">
        <f t="shared" ca="1" si="203"/>
        <v>47503.867318537836</v>
      </c>
      <c r="E857" s="208">
        <f t="shared" ca="1" si="204"/>
        <v>148401.6971711631</v>
      </c>
      <c r="F857" s="208">
        <f t="shared" ca="1" si="205"/>
        <v>9895.0798712249616</v>
      </c>
      <c r="G857" s="208">
        <f t="shared" si="206"/>
        <v>46711.324178485462</v>
      </c>
      <c r="H857" s="208">
        <f t="shared" si="207"/>
        <v>31153.309387397258</v>
      </c>
      <c r="I857" s="208">
        <f t="shared" ca="1" si="208"/>
        <v>87759.713437107683</v>
      </c>
      <c r="J857" s="209">
        <f t="shared" ca="1" si="209"/>
        <v>0.99680279723613419</v>
      </c>
      <c r="K857" s="208">
        <f t="shared" ca="1" si="210"/>
        <v>60922.569332412619</v>
      </c>
      <c r="L857" s="204"/>
      <c r="M857" s="9" t="s">
        <v>125</v>
      </c>
      <c r="N857" s="208">
        <f t="shared" ca="1" si="211"/>
        <v>120118.16165419367</v>
      </c>
      <c r="O857" s="208">
        <f t="shared" ca="1" si="212"/>
        <v>56811.046101428146</v>
      </c>
      <c r="P857" s="208">
        <f t="shared" ca="1" si="213"/>
        <v>176929.20775562181</v>
      </c>
      <c r="Q857" s="208">
        <f t="shared" ca="1" si="219"/>
        <v>9895.0798712249616</v>
      </c>
      <c r="R857" s="208">
        <f t="shared" si="214"/>
        <v>46711.324178485462</v>
      </c>
      <c r="S857" s="208">
        <f t="shared" si="215"/>
        <v>31153.309387397258</v>
      </c>
      <c r="T857" s="208">
        <f t="shared" ca="1" si="216"/>
        <v>87759.713437107683</v>
      </c>
      <c r="U857" s="209">
        <f t="shared" ca="1" si="217"/>
        <v>0.49563233229781756</v>
      </c>
      <c r="V857" s="208">
        <f t="shared" ca="1" si="218"/>
        <v>67.877545583731262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536581.83411546482</v>
      </c>
      <c r="D858" s="208">
        <f t="shared" ca="1" si="220"/>
        <v>290840.68206458387</v>
      </c>
      <c r="E858" s="208">
        <f t="shared" ca="1" si="220"/>
        <v>827422.5161800487</v>
      </c>
      <c r="F858" s="208">
        <f t="shared" ca="1" si="220"/>
        <v>246819.13683173619</v>
      </c>
      <c r="G858" s="208">
        <f t="shared" si="220"/>
        <v>549988.17177894153</v>
      </c>
      <c r="H858" s="208">
        <f t="shared" si="220"/>
        <v>366805.09439999994</v>
      </c>
      <c r="I858" s="208">
        <f t="shared" ca="1" si="220"/>
        <v>1163612.4030106778</v>
      </c>
      <c r="J858" s="208" t="s">
        <v>479</v>
      </c>
      <c r="K858" s="208">
        <f ca="1">SUM(K846:K857)</f>
        <v>228476.98398782482</v>
      </c>
      <c r="L858" s="204"/>
      <c r="M858" s="207" t="s">
        <v>178</v>
      </c>
      <c r="N858" s="208">
        <f t="shared" ref="N858:T858" ca="1" si="221">SUM(N846:N857)</f>
        <v>730808.13203631598</v>
      </c>
      <c r="O858" s="208">
        <f t="shared" ca="1" si="221"/>
        <v>390660.22605608107</v>
      </c>
      <c r="P858" s="208">
        <f t="shared" ca="1" si="221"/>
        <v>1121468.3580923972</v>
      </c>
      <c r="Q858" s="208">
        <f t="shared" ca="1" si="219"/>
        <v>246819.13683173619</v>
      </c>
      <c r="R858" s="208">
        <f>SUM(R846:R857)</f>
        <v>549988.17177894153</v>
      </c>
      <c r="S858" s="208">
        <f t="shared" si="221"/>
        <v>366805.09439999994</v>
      </c>
      <c r="T858" s="208">
        <f t="shared" ca="1" si="221"/>
        <v>1163612.4030106778</v>
      </c>
      <c r="U858" s="208" t="s">
        <v>479</v>
      </c>
      <c r="V858" s="208">
        <f ca="1">SUM(V846:V857)</f>
        <v>415992.50847669819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0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Outputs</vt:lpstr>
      <vt:lpstr>Calcs</vt:lpstr>
      <vt:lpstr>Weather</vt:lpstr>
      <vt:lpstr>OfficeMedium</vt:lpstr>
      <vt:lpstr>OfficeLarge</vt:lpstr>
      <vt:lpstr>AptMidrise</vt:lpstr>
      <vt:lpstr>AptHighrise</vt:lpstr>
      <vt:lpstr>OfficeSmall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2013-11-20T20:50:18Z</dcterms:modified>
</cp:coreProperties>
</file>