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AptMidrise" sheetId="60" r:id="rId4"/>
    <sheet name="AptHighrise" sheetId="61" r:id="rId5"/>
    <sheet name="OfficeSmall" sheetId="64" r:id="rId6"/>
    <sheet name="OfficeLarge" sheetId="59" r:id="rId7"/>
    <sheet name="Outputs" sheetId="5" r:id="rId8"/>
    <sheet name="Calcs" sheetId="2" state="hidden" r:id="rId9"/>
    <sheet name="Weather" sheetId="4" state="hidden" r:id="rId10"/>
    <sheet name="OfficeMedium" sheetId="68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4">AptHighrise!$C$64</definedName>
    <definedName name="DHWSysEff" localSheetId="3">AptMidrise!$C$64</definedName>
    <definedName name="DHWSysEff" localSheetId="6">OfficeLarge!$C$64</definedName>
    <definedName name="DHWSysEff" localSheetId="10">OfficeMedium!$C$64</definedName>
    <definedName name="DHWSysEff" localSheetId="5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4">AptHighrise!$C$33</definedName>
    <definedName name="LPD" localSheetId="3">AptMidrise!$C$33</definedName>
    <definedName name="LPD" localSheetId="6">OfficeLarge!$C$33</definedName>
    <definedName name="LPD" localSheetId="10">OfficeMedium!$C$33</definedName>
    <definedName name="LPD" localSheetId="5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4">AptHighrise!$C$12</definedName>
    <definedName name="PeoDOcc" localSheetId="3">AptMidrise!$C$12</definedName>
    <definedName name="PeoDOcc" localSheetId="6">OfficeLarge!$C$12</definedName>
    <definedName name="PeoDOcc" localSheetId="10">OfficeMedium!$C$12</definedName>
    <definedName name="PeoDOcc" localSheetId="5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4">AptHighrise!$C$13</definedName>
    <definedName name="PeoDUnocc" localSheetId="3">AptMidrise!$C$13</definedName>
    <definedName name="PeoDUnocc" localSheetId="6">OfficeLarge!$C$13</definedName>
    <definedName name="PeoDUnocc" localSheetId="10">OfficeMedium!$C$13</definedName>
    <definedName name="PeoDUnocc" localSheetId="5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4">AptHighrise!$C$75</definedName>
    <definedName name="Qinf" localSheetId="3">AptMidrise!$C$75</definedName>
    <definedName name="Qinf" localSheetId="6">OfficeLarge!$C$75</definedName>
    <definedName name="Qinf" localSheetId="10">OfficeMedium!$C$75</definedName>
    <definedName name="Qinf" localSheetId="5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4">AptHighrise!$K$80</definedName>
    <definedName name="RoofAbs" localSheetId="3">AptMidrise!$K$80</definedName>
    <definedName name="RoofAbs" localSheetId="6">OfficeLarge!$K$80</definedName>
    <definedName name="RoofAbs" localSheetId="10">OfficeMedium!$K$80</definedName>
    <definedName name="RoofAbs" localSheetId="5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4">AptHighrise!$K$81</definedName>
    <definedName name="RoofEmis" localSheetId="3">AptMidrise!$K$81</definedName>
    <definedName name="RoofEmis" localSheetId="6">OfficeLarge!$K$81</definedName>
    <definedName name="RoofEmis" localSheetId="10">OfficeMedium!$K$81</definedName>
    <definedName name="RoofEmis" localSheetId="5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4">AptHighrise!$K$79</definedName>
    <definedName name="RoofU" localSheetId="3">AptMidrise!$K$79</definedName>
    <definedName name="RoofU" localSheetId="6">OfficeLarge!$K$79</definedName>
    <definedName name="RoofU" localSheetId="10">OfficeMedium!$K$79</definedName>
    <definedName name="RoofU" localSheetId="5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4">AptHighrise!$J$85</definedName>
    <definedName name="SHGC" localSheetId="3">AptMidrise!$J$85</definedName>
    <definedName name="SHGC" localSheetId="6">OfficeLarge!$J$85</definedName>
    <definedName name="SHGC" localSheetId="10">OfficeMedium!$J$85</definedName>
    <definedName name="SHGC" localSheetId="5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4">AptHighrise!$C$23</definedName>
    <definedName name="TCoolOcc" localSheetId="3">AptMidrise!$C$23</definedName>
    <definedName name="TCoolOcc" localSheetId="6">OfficeLarge!$C$23</definedName>
    <definedName name="TCoolOcc" localSheetId="10">OfficeMedium!$C$23</definedName>
    <definedName name="TCoolOcc" localSheetId="5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4">AptHighrise!$C$24</definedName>
    <definedName name="TCoolUnocc" localSheetId="3">AptMidrise!$C$24</definedName>
    <definedName name="TCoolUnocc" localSheetId="6">OfficeLarge!$C$24</definedName>
    <definedName name="TCoolUnocc" localSheetId="10">OfficeMedium!$C$24</definedName>
    <definedName name="TCoolUnocc" localSheetId="5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4">AptHighrise!$C$21</definedName>
    <definedName name="THeatOcc" localSheetId="3">AptMidrise!$C$21</definedName>
    <definedName name="THeatOcc" localSheetId="6">OfficeLarge!$C$21</definedName>
    <definedName name="THeatOcc" localSheetId="10">OfficeMedium!$C$21</definedName>
    <definedName name="THeatOcc" localSheetId="5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4">AptHighrise!$C$22</definedName>
    <definedName name="THeatUnocc" localSheetId="3">AptMidrise!$C$22</definedName>
    <definedName name="THeatUnocc" localSheetId="6">OfficeLarge!$C$22</definedName>
    <definedName name="THeatUnocc" localSheetId="10">OfficeMedium!$C$22</definedName>
    <definedName name="THeatUnocc" localSheetId="5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4">AptHighrise!$J$80</definedName>
    <definedName name="WallAbs" localSheetId="3">AptMidrise!$J$80</definedName>
    <definedName name="WallAbs" localSheetId="6">OfficeLarge!$J$80</definedName>
    <definedName name="WallAbs" localSheetId="10">OfficeMedium!$J$80</definedName>
    <definedName name="WallAbs" localSheetId="5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4">AptHighrise!$J$81</definedName>
    <definedName name="WallEmis" localSheetId="3">AptMidrise!$J$81</definedName>
    <definedName name="WallEmis" localSheetId="6">OfficeLarge!$J$81</definedName>
    <definedName name="WallEmis" localSheetId="10">OfficeMedium!$J$81</definedName>
    <definedName name="WallEmis" localSheetId="5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4">AptHighrise!$J$79</definedName>
    <definedName name="WallU" localSheetId="3">AptMidrise!$J$79</definedName>
    <definedName name="WallU" localSheetId="6">OfficeLarge!$J$79</definedName>
    <definedName name="WallU" localSheetId="10">OfficeMedium!$J$79</definedName>
    <definedName name="WallU" localSheetId="5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4">AptHighrise!$J$84</definedName>
    <definedName name="WinU" localSheetId="3">AptMidrise!$J$84</definedName>
    <definedName name="WinU" localSheetId="6">OfficeLarge!$J$84</definedName>
    <definedName name="WinU" localSheetId="10">OfficeMedium!$J$84</definedName>
    <definedName name="WinU" localSheetId="5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<sst xmlns="http://schemas.openxmlformats.org/spreadsheetml/2006/main" count="3484" uniqueCount="1178">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</sst>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7" Type="http://schemas.openxmlformats.org/officeDocument/2006/relationships/comments" Target="../comments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apt_midrise.xlsx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AptMidrise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12.19</v>
      </c>
    </row>
    <row r="8" spans="1:6" x14ac:dyDescent="0.25">
      <c r="A8" s="429" t="str">
        <f>"floorArea = "&amp;Inputs!C11</f>
        <v>floorArea = 3134</v>
      </c>
    </row>
    <row r="9" spans="1:6" x14ac:dyDescent="0.25">
      <c r="A9" s="429" t="str">
        <f>"peopleDensityOccupied = "&amp;Inputs!C12</f>
        <v>peopleDensityOccupied = 66.87</v>
      </c>
    </row>
    <row r="10" spans="1:6" s="429" customFormat="1" x14ac:dyDescent="0.25">
      <c r="A10" s="429" t="str">
        <f>"peopleDensityUnoccupied = "&amp;Inputs!C13</f>
        <v>peopleDensityUnoccupied = 43.26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6</v>
      </c>
    </row>
    <row r="13" spans="1:6" x14ac:dyDescent="0.25">
      <c r="A13" s="429" t="str">
        <f>"occupancyHourStart= "&amp;Inputs!C16</f>
        <v>occupancyHourStart= 0</v>
      </c>
    </row>
    <row r="14" spans="1:6" x14ac:dyDescent="0.25">
      <c r="A14" s="429" t="str">
        <f>"occupancyHourEnd= "&amp;Inputs!C17</f>
        <v>occupancyHourEnd= 17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0.97</v>
      </c>
    </row>
    <row r="17" spans="1:1" x14ac:dyDescent="0.25">
      <c r="A17" s="429" t="str">
        <f>"lightingPowerDensityUnoccupied = "&amp;Inputs!C34</f>
        <v>lightingPowerDensityUnoccupied = 1.36</v>
      </c>
    </row>
    <row r="18" spans="1:1" x14ac:dyDescent="0.25">
      <c r="A18" s="429" t="str">
        <f>"electricAppliancePowerDensityOccupied = "&amp;Inputs!C27</f>
        <v>electricAppliancePowerDensityOccupied = 3.61</v>
      </c>
    </row>
    <row r="19" spans="1:1" x14ac:dyDescent="0.25">
      <c r="A19" s="429" t="str">
        <f>"electricAppliancePowerDensityUnoccupied = "&amp;Inputs!C28</f>
        <v>electricAppliancePowerDensityUnoccupied = 4.87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1270</v>
      </c>
    </row>
    <row r="23" spans="1:1" x14ac:dyDescent="0.25">
      <c r="A23" s="429" t="str">
        <f>"heatGainPerPerson = "&amp;Inputs!C18</f>
        <v>heatGainPerPerson = 95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21.5</v>
      </c>
    </row>
    <row r="30" spans="1:1" x14ac:dyDescent="0.25">
      <c r="A30" s="429" t="str">
        <f>"heatingSetpointUnoccupied = "&amp;Inputs!C22</f>
        <v>heatingSetpointUnoccupied = 21.4</v>
      </c>
    </row>
    <row r="31" spans="1:1" x14ac:dyDescent="0.25">
      <c r="A31" s="429" t="str">
        <f>"coolingSetpointOccupied = "&amp;Inputs!C23</f>
        <v>coolingSetpointOccupied = 24.5</v>
      </c>
    </row>
    <row r="32" spans="1:1" x14ac:dyDescent="0.25">
      <c r="A32" s="429" t="str">
        <f>"coolingSetpointUnoccupied = "&amp;Inputs!C24</f>
        <v>coolingSetpointUnoccupied = 24.6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5</v>
      </c>
    </row>
    <row r="39" spans="1:1" x14ac:dyDescent="0.25">
      <c r="A39" s="429" t="str">
        <f>"coolingSystemIPLVToCopRatio= "&amp;Inputs!C44</f>
        <v>coolingSystemIPLVToCopRatio= 1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858</v>
      </c>
    </row>
    <row r="47" spans="1:1" s="429" customFormat="1" x14ac:dyDescent="0.25">
      <c r="A47" s="429" t="str">
        <f>"ventilationIntakeRateUnoccupied= "&amp;Inputs!C51</f>
        <v>ventilationIntakeRateUnoccupied= 858</v>
      </c>
    </row>
    <row r="48" spans="1:1" x14ac:dyDescent="0.25">
      <c r="A48" s="429" t="str">
        <f>"ventilationExhaustRateOccupied= "&amp;Inputs!C52</f>
        <v>ventilationExhaustRateOccupied= 858</v>
      </c>
    </row>
    <row r="49" spans="1:1" s="429" customFormat="1" x14ac:dyDescent="0.25">
      <c r="A49" s="429" t="str">
        <f>"ventilationExhaustRateUnoccupied= "&amp;Inputs!C53</f>
        <v>ventilationExhaustRateUnoccupied= 858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1874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1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46324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0.89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7.6</v>
      </c>
    </row>
    <row r="70" spans="1:1" s="429" customFormat="1" x14ac:dyDescent="0.25">
      <c r="A70" s="429" t="str">
        <f>"infiltrationRateUnoccupied= "&amp;Inputs!C76</f>
        <v>infiltrationRateUnoccupied= 7.6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0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783.66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481.6</v>
      </c>
    </row>
    <row r="86" spans="1:1" x14ac:dyDescent="0.25">
      <c r="A86" s="429" t="str">
        <f>"WallUvalueS= "&amp;Inputs!C79</f>
        <v>WallUvalueS= 0.363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0.363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172.56</v>
      </c>
    </row>
    <row r="94" spans="1:1" x14ac:dyDescent="0.25">
      <c r="A94" s="429" t="str">
        <f>"WallUvalueE= "&amp;Inputs!E79</f>
        <v>WallUvalueE= 0.363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0.363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481.6</v>
      </c>
    </row>
    <row r="102" spans="1:1" x14ac:dyDescent="0.25">
      <c r="A102" s="429" t="str">
        <f>"WallUvalueN= "&amp;Inputs!G79</f>
        <v>WallUvalueN= 0.363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0.363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172.56</v>
      </c>
    </row>
    <row r="110" spans="1:1" x14ac:dyDescent="0.25">
      <c r="A110" s="429" t="str">
        <f>"WallUvalueW= "&amp;Inputs!I79</f>
        <v>WallUvalueW= 0.363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83.2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33.66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83.2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33.66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65" activePane="bottomLeft" state="frozen"/>
      <selection pane="bottomLeft" activeCell="B97" sqref="B97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119.4  kWh/m2 = 37.8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1162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H8" s="430"/>
      <c r="I8" s="430"/>
      <c r="J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H9" s="430"/>
      <c r="I9" s="430"/>
      <c r="J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F13" s="430"/>
      <c r="H13" s="430"/>
      <c r="I13" s="430"/>
      <c r="J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0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7.6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1308.3200000000002</v>
      </c>
      <c r="D90" s="442">
        <f t="shared" si="0"/>
        <v>14051.356800000001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233.72</v>
      </c>
      <c r="D91" s="442">
        <f t="shared" si="0"/>
        <v>2510.1527999999998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2325.6999999999998</v>
      </c>
      <c r="D92" s="444">
        <f>C92*10.74</f>
        <v>24978.018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  <dataValidation type="list" allowBlank="1" showInputMessage="1" showErrorMessage="1" sqref="C54">
      <formula1>"0.4, 0.6, 0.65, 0.7"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5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5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2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0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16.294954563746334</v>
      </c>
      <c r="R4" s="316" t="s">
        <v>589</v>
      </c>
      <c r="S4" s="270">
        <f ca="1">Q4*Calcs!$N$23/Calcs!$N$20</f>
        <v>5.1654733942299371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6.9548285680451194</v>
      </c>
      <c r="C5" s="269">
        <f ca="1">(Calcs!D558+Calcs!G558)/Calcs!$C$2/Calcs!$N$22</f>
        <v>5.4186225273700171E-3</v>
      </c>
      <c r="D5" s="269">
        <f>Calcs!J48/Calcs!$C$2/Calcs!$N$22</f>
        <v>1.0697972602739725</v>
      </c>
      <c r="E5" s="269">
        <f>Calcs!Q48</f>
        <v>0.1381844288449266</v>
      </c>
      <c r="F5" s="269">
        <f ca="1">Calcs!L424</f>
        <v>0.53033826590909072</v>
      </c>
      <c r="G5" s="269">
        <f ca="1">Calcs!K701/Calcs!$C$2/Calcs!$N$22</f>
        <v>0.46504719666887151</v>
      </c>
      <c r="H5" s="269">
        <f>SUM(H22,H39)</f>
        <v>2.95926</v>
      </c>
      <c r="I5" s="269">
        <f ca="1">Calcs!M731/Calcs!$C$2</f>
        <v>2.940122861064244</v>
      </c>
      <c r="J5" s="269">
        <f>Calcs!AR766/Calcs!$C$2/Calcs!$N$22</f>
        <v>0</v>
      </c>
      <c r="K5" s="269">
        <f t="shared" ref="K5:K16" ca="1" si="0">SUM(B5:I5)-J5</f>
        <v>15.062997203333595</v>
      </c>
      <c r="L5" s="379">
        <f ca="1">K5*Inputs!$C$11</f>
        <v>47207.433235247488</v>
      </c>
      <c r="O5" s="314" t="s">
        <v>690</v>
      </c>
      <c r="P5" s="314"/>
      <c r="Q5" s="270">
        <f ca="1">Calcs!V842</f>
        <v>32.681205827205105</v>
      </c>
      <c r="R5" s="316" t="s">
        <v>589</v>
      </c>
      <c r="S5" s="270">
        <f ca="1">Q5*Calcs!$N$23/Calcs!$N$20</f>
        <v>10.359887689859798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4.6445945598094616</v>
      </c>
      <c r="C6" s="269">
        <f ca="1">(Calcs!D559+Calcs!G559)/Calcs!$C$2/Calcs!$N$22</f>
        <v>1.1379376206657035E-2</v>
      </c>
      <c r="D6" s="269">
        <f>Calcs!J49/Calcs!$C$2/Calcs!$N$22</f>
        <v>0.96626849315068497</v>
      </c>
      <c r="E6" s="269">
        <f>Calcs!Q49</f>
        <v>0.12481174218251437</v>
      </c>
      <c r="F6" s="269">
        <f ca="1">Calcs!L425</f>
        <v>0.35816224858618118</v>
      </c>
      <c r="G6" s="269">
        <f ca="1">Calcs!K702/Calcs!$C$2/Calcs!$N$22</f>
        <v>0.45988742892153117</v>
      </c>
      <c r="H6" s="269">
        <f t="shared" ref="H6:H16" si="1">SUM(H23,H40)</f>
        <v>2.6728800000000001</v>
      </c>
      <c r="I6" s="269">
        <f ca="1">Calcs!M732/Calcs!$C$2</f>
        <v>2.6555948422515758</v>
      </c>
      <c r="J6" s="269">
        <f>Calcs!AR767/Calcs!$C$2/Calcs!$N$22</f>
        <v>0</v>
      </c>
      <c r="K6" s="269">
        <f t="shared" ca="1" si="0"/>
        <v>11.893578691108607</v>
      </c>
      <c r="L6" s="379">
        <f ca="1">K6*Inputs!$C$11</f>
        <v>37274.475617934375</v>
      </c>
      <c r="O6" s="314" t="s">
        <v>688</v>
      </c>
      <c r="P6" s="314"/>
      <c r="Q6" s="270">
        <f ca="1">SUM(Q4:Q5)</f>
        <v>48.976160390951435</v>
      </c>
      <c r="R6" s="316" t="s">
        <v>589</v>
      </c>
      <c r="S6" s="270">
        <f ca="1">Q6*Calcs!$N$23/Calcs!$N$20</f>
        <v>15.525361084089734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1.821321323373398</v>
      </c>
      <c r="C7" s="269">
        <f ca="1">(Calcs!D560+Calcs!G560)/Calcs!$C$2/Calcs!$N$22</f>
        <v>6.6324039342894228E-2</v>
      </c>
      <c r="D7" s="269">
        <f>Calcs!J50/Calcs!$C$2/Calcs!$N$22</f>
        <v>1.0697972602739725</v>
      </c>
      <c r="E7" s="269">
        <f>Calcs!Q50</f>
        <v>0.1381844288449266</v>
      </c>
      <c r="F7" s="269">
        <f ca="1">Calcs!L426</f>
        <v>0.17225510871620026</v>
      </c>
      <c r="G7" s="269">
        <f ca="1">Calcs!K703/Calcs!$C$2/Calcs!$N$22</f>
        <v>0.37525410273504106</v>
      </c>
      <c r="H7" s="269">
        <f t="shared" si="1"/>
        <v>2.95926</v>
      </c>
      <c r="I7" s="269">
        <f ca="1">Calcs!M733/Calcs!$C$2</f>
        <v>2.940122861064244</v>
      </c>
      <c r="J7" s="269">
        <f>Calcs!AR768/Calcs!$C$2/Calcs!$N$22</f>
        <v>0</v>
      </c>
      <c r="K7" s="269">
        <f t="shared" ca="1" si="0"/>
        <v>9.5425191243506777</v>
      </c>
      <c r="L7" s="379">
        <f ca="1">K7*Inputs!$C$11</f>
        <v>29906.254935715024</v>
      </c>
      <c r="O7" s="320" t="s">
        <v>608</v>
      </c>
      <c r="P7" s="313"/>
      <c r="Q7" s="270">
        <f ca="1">K34</f>
        <v>62.81502011383067</v>
      </c>
      <c r="R7" s="316" t="s">
        <v>589</v>
      </c>
      <c r="S7" s="270">
        <f ca="1">Q7*Calcs!$N$23/Calcs!$N$20</f>
        <v>19.912256513921371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0.15125719212070207</v>
      </c>
      <c r="C8" s="269">
        <f ca="1">(Calcs!D561+Calcs!G561)/Calcs!$C$2/Calcs!$N$22</f>
        <v>0.29079229210888252</v>
      </c>
      <c r="D8" s="269">
        <f>Calcs!J51/Calcs!$C$2/Calcs!$N$22</f>
        <v>1.0352876712328767</v>
      </c>
      <c r="E8" s="269">
        <f>Calcs!Q51</f>
        <v>0.13372686662412253</v>
      </c>
      <c r="F8" s="269">
        <f ca="1">Calcs!L427</f>
        <v>0.16098392804057077</v>
      </c>
      <c r="G8" s="269">
        <f ca="1">Calcs!K704/Calcs!$C$2/Calcs!$N$22</f>
        <v>3.3447561725469747E-2</v>
      </c>
      <c r="H8" s="269">
        <f t="shared" si="1"/>
        <v>2.8638000000000003</v>
      </c>
      <c r="I8" s="269">
        <f ca="1">Calcs!M734/Calcs!$C$2</f>
        <v>2.8452801881266883</v>
      </c>
      <c r="J8" s="269">
        <f>Calcs!AR769/Calcs!$C$2/Calcs!$N$22</f>
        <v>0</v>
      </c>
      <c r="K8" s="269">
        <f t="shared" ca="1" si="0"/>
        <v>7.5145756999793125</v>
      </c>
      <c r="L8" s="379">
        <f ca="1">K8*Inputs!$C$11</f>
        <v>23550.680243735165</v>
      </c>
      <c r="O8" s="320" t="s">
        <v>609</v>
      </c>
      <c r="P8" s="320"/>
      <c r="Q8" s="270">
        <f ca="1">K51</f>
        <v>56.554169355014636</v>
      </c>
      <c r="R8" s="316" t="s">
        <v>589</v>
      </c>
      <c r="S8" s="270">
        <f ca="1">Q8*Calcs!$N$23/Calcs!$N$20</f>
        <v>17.927577275118185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9.4447098824117963E-4</v>
      </c>
      <c r="C9" s="269">
        <f ca="1">(Calcs!D562+Calcs!G562)/Calcs!$C$2/Calcs!$N$22</f>
        <v>0.81239027728021496</v>
      </c>
      <c r="D9" s="269">
        <f>Calcs!J52/Calcs!$C$2/Calcs!$N$22</f>
        <v>1.0697972602739725</v>
      </c>
      <c r="E9" s="269">
        <f>Calcs!Q52</f>
        <v>0.1381844288449266</v>
      </c>
      <c r="F9" s="269">
        <f ca="1">Calcs!L428</f>
        <v>0.41776096403265306</v>
      </c>
      <c r="G9" s="269">
        <f ca="1">Calcs!K705/Calcs!$C$2/Calcs!$N$22</f>
        <v>8.0504536675325518E-5</v>
      </c>
      <c r="H9" s="269">
        <f t="shared" si="1"/>
        <v>2.95926</v>
      </c>
      <c r="I9" s="269">
        <f ca="1">Calcs!M735/Calcs!$C$2</f>
        <v>2.940122861064244</v>
      </c>
      <c r="J9" s="269">
        <f>Calcs!AR770/Calcs!$C$2/Calcs!$N$22</f>
        <v>0</v>
      </c>
      <c r="K9" s="269">
        <f t="shared" ca="1" si="0"/>
        <v>8.3385407670209286</v>
      </c>
      <c r="L9" s="379">
        <f ca="1">K9*Inputs!$C$11</f>
        <v>26132.98676384359</v>
      </c>
      <c r="O9" s="320" t="s">
        <v>610</v>
      </c>
      <c r="P9" s="320"/>
      <c r="Q9" s="270">
        <f ca="1">K17</f>
        <v>119.36918946884528</v>
      </c>
      <c r="R9" s="316" t="s">
        <v>589</v>
      </c>
      <c r="S9" s="270">
        <f ca="1">Q9*Calcs!$N$23/Calcs!$N$20</f>
        <v>37.839833789039552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1.0853479799647498E-12</v>
      </c>
      <c r="C10" s="269">
        <f ca="1">(Calcs!D563+Calcs!G563)/Calcs!$C$2/Calcs!$N$22</f>
        <v>1.2186921077427906</v>
      </c>
      <c r="D10" s="269">
        <f>Calcs!J53/Calcs!$C$2/Calcs!$N$22</f>
        <v>1.0352876712328767</v>
      </c>
      <c r="E10" s="269">
        <f>Calcs!Q53</f>
        <v>0.13372686662412253</v>
      </c>
      <c r="F10" s="269">
        <f ca="1">Calcs!L429</f>
        <v>0.62658883849930036</v>
      </c>
      <c r="G10" s="269">
        <f ca="1">Calcs!K706/Calcs!$C$2/Calcs!$N$22</f>
        <v>6.168026737258989E-14</v>
      </c>
      <c r="H10" s="269">
        <f t="shared" si="1"/>
        <v>2.8638000000000003</v>
      </c>
      <c r="I10" s="269">
        <f ca="1">Calcs!M736/Calcs!$C$2</f>
        <v>2.8452801881266883</v>
      </c>
      <c r="J10" s="269">
        <f>Calcs!AR771/Calcs!$C$2/Calcs!$N$22</f>
        <v>0</v>
      </c>
      <c r="K10" s="269">
        <f t="shared" ca="1" si="0"/>
        <v>8.7233756722269256</v>
      </c>
      <c r="L10" s="379">
        <f ca="1">K10*Inputs!$C$11</f>
        <v>27339.059356759186</v>
      </c>
      <c r="O10" s="314" t="s">
        <v>686</v>
      </c>
      <c r="P10" s="314"/>
      <c r="Q10" s="270">
        <f ca="1">Q20/Inputs!C11*1000</f>
        <v>273.1296956187162</v>
      </c>
      <c r="R10" s="312" t="s">
        <v>589</v>
      </c>
      <c r="S10" s="270">
        <f ca="1">Q10*Calcs!$N$23/Calcs!$N$20</f>
        <v>86.581657553774477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1.5172070412268526</v>
      </c>
      <c r="D11" s="269">
        <f>Calcs!J54/Calcs!$C$2/Calcs!$N$22</f>
        <v>1.0697972602739725</v>
      </c>
      <c r="E11" s="269">
        <f>Calcs!Q54</f>
        <v>0.1381844288449266</v>
      </c>
      <c r="F11" s="269">
        <f ca="1">Calcs!L430</f>
        <v>0.78006987300996788</v>
      </c>
      <c r="G11" s="269">
        <f ca="1">Calcs!K707/Calcs!$C$2/Calcs!$N$22</f>
        <v>0</v>
      </c>
      <c r="H11" s="269">
        <f t="shared" si="1"/>
        <v>2.95926</v>
      </c>
      <c r="I11" s="269">
        <f ca="1">Calcs!M737/Calcs!$C$2</f>
        <v>2.940122861064244</v>
      </c>
      <c r="J11" s="269">
        <f>Calcs!AR772/Calcs!$C$2/Calcs!$N$22</f>
        <v>0</v>
      </c>
      <c r="K11" s="269">
        <f t="shared" ca="1" si="0"/>
        <v>9.4046414644199636</v>
      </c>
      <c r="L11" s="379">
        <f ca="1">K11*Inputs!$C$11</f>
        <v>29474.146349492166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1.2811236327136579</v>
      </c>
      <c r="D12" s="269">
        <f>Calcs!J55/Calcs!$C$2/Calcs!$N$22</f>
        <v>1.0697972602739725</v>
      </c>
      <c r="E12" s="269">
        <f>Calcs!Q55</f>
        <v>0.1381844288449266</v>
      </c>
      <c r="F12" s="269">
        <f ca="1">Calcs!L431</f>
        <v>0.65868791952936012</v>
      </c>
      <c r="G12" s="269">
        <f ca="1">Calcs!K708/Calcs!$C$2/Calcs!$N$22</f>
        <v>0</v>
      </c>
      <c r="H12" s="269">
        <f t="shared" si="1"/>
        <v>2.95926</v>
      </c>
      <c r="I12" s="269">
        <f ca="1">Calcs!M738/Calcs!$C$2</f>
        <v>2.940122861064244</v>
      </c>
      <c r="J12" s="269">
        <f>Calcs!AR773/Calcs!$C$2/Calcs!$N$22</f>
        <v>0</v>
      </c>
      <c r="K12" s="269">
        <f t="shared" ca="1" si="0"/>
        <v>9.0471761024261621</v>
      </c>
      <c r="L12" s="379">
        <f ca="1">K12*Inputs!$C$11</f>
        <v>28353.849905003593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1.1014506375486079E-5</v>
      </c>
      <c r="C13" s="269">
        <f ca="1">(Calcs!D566+Calcs!G566)/Calcs!$C$2/Calcs!$N$22</f>
        <v>0.93779813359185382</v>
      </c>
      <c r="D13" s="269">
        <f>Calcs!J56/Calcs!$C$2/Calcs!$N$22</f>
        <v>1.0352876712328767</v>
      </c>
      <c r="E13" s="269">
        <f>Calcs!Q56</f>
        <v>0.13372686662412253</v>
      </c>
      <c r="F13" s="269">
        <f ca="1">Calcs!L432</f>
        <v>0.4821684310192132</v>
      </c>
      <c r="G13" s="269">
        <f ca="1">Calcs!K709/Calcs!$C$2/Calcs!$N$22</f>
        <v>8.1344119565125478E-7</v>
      </c>
      <c r="H13" s="269">
        <f t="shared" si="1"/>
        <v>2.8638000000000003</v>
      </c>
      <c r="I13" s="269">
        <f ca="1">Calcs!M739/Calcs!$C$2</f>
        <v>2.8452801881266883</v>
      </c>
      <c r="J13" s="269">
        <f>Calcs!AR774/Calcs!$C$2/Calcs!$N$22</f>
        <v>0</v>
      </c>
      <c r="K13" s="269">
        <f t="shared" ca="1" si="0"/>
        <v>8.2980731185423267</v>
      </c>
      <c r="L13" s="379">
        <f ca="1">K13*Inputs!$C$11</f>
        <v>26006.161153511654</v>
      </c>
      <c r="O13" s="320" t="s">
        <v>619</v>
      </c>
      <c r="P13" s="313"/>
      <c r="Q13" s="285">
        <f ca="1">Q7*Inputs!C11/1000</f>
        <v>196.86227303674531</v>
      </c>
      <c r="R13" s="312" t="s">
        <v>685</v>
      </c>
      <c r="S13" s="270">
        <f ca="1">Q13</f>
        <v>196.86227303674531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0.10207424268639373</v>
      </c>
      <c r="C14" s="269">
        <f ca="1">(Calcs!D567+Calcs!G567)/Calcs!$C$2/Calcs!$N$22</f>
        <v>0.32294864320136252</v>
      </c>
      <c r="D14" s="269">
        <f>Calcs!J57/Calcs!$C$2/Calcs!$N$22</f>
        <v>1.0697972602739725</v>
      </c>
      <c r="E14" s="269">
        <f>Calcs!Q57</f>
        <v>0.1381844288449266</v>
      </c>
      <c r="F14" s="269">
        <f ca="1">Calcs!L433</f>
        <v>0.17378634231319914</v>
      </c>
      <c r="G14" s="269">
        <f ca="1">Calcs!K710/Calcs!$C$2/Calcs!$N$22</f>
        <v>2.0911241095539445E-2</v>
      </c>
      <c r="H14" s="269">
        <f t="shared" si="1"/>
        <v>2.95926</v>
      </c>
      <c r="I14" s="269">
        <f ca="1">Calcs!M740/Calcs!$C$2</f>
        <v>2.940122861064244</v>
      </c>
      <c r="J14" s="269">
        <f>Calcs!AR775/Calcs!$C$2/Calcs!$N$22</f>
        <v>0</v>
      </c>
      <c r="K14" s="269">
        <f t="shared" ca="1" si="0"/>
        <v>7.7270850194796381</v>
      </c>
      <c r="L14" s="379">
        <f ca="1">K14*Inputs!$C$11</f>
        <v>24216.684451049186</v>
      </c>
      <c r="O14" s="314" t="s">
        <v>620</v>
      </c>
      <c r="P14" s="315"/>
      <c r="Q14" s="285">
        <f ca="1">Q8*Inputs!C11/1000</f>
        <v>177.24076675861588</v>
      </c>
      <c r="R14" s="312" t="s">
        <v>685</v>
      </c>
      <c r="S14" s="270">
        <f ca="1">Q14*Calcs!$N$23/1000*10</f>
        <v>6.0477059934460256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1.8148481185887262</v>
      </c>
      <c r="C15" s="269">
        <f ca="1">(Calcs!D568+Calcs!G568)/Calcs!$C$2/Calcs!$N$22</f>
        <v>4.792670322108307E-2</v>
      </c>
      <c r="D15" s="269">
        <f>Calcs!J58/Calcs!$C$2/Calcs!$N$22</f>
        <v>1.0352876712328767</v>
      </c>
      <c r="E15" s="269">
        <f>Calcs!Q58</f>
        <v>0.13372686662412253</v>
      </c>
      <c r="F15" s="269">
        <f ca="1">Calcs!L434</f>
        <v>0.16230512499536667</v>
      </c>
      <c r="G15" s="269">
        <f ca="1">Calcs!K711/Calcs!$C$2/Calcs!$N$22</f>
        <v>0.39676725962918913</v>
      </c>
      <c r="H15" s="269">
        <f t="shared" si="1"/>
        <v>2.8638000000000003</v>
      </c>
      <c r="I15" s="269">
        <f ca="1">Calcs!M741/Calcs!$C$2</f>
        <v>2.8452801881266883</v>
      </c>
      <c r="J15" s="269">
        <f>Calcs!AR776/Calcs!$C$2/Calcs!$N$22</f>
        <v>0</v>
      </c>
      <c r="K15" s="269">
        <f t="shared" ca="1" si="0"/>
        <v>9.2999419324180543</v>
      </c>
      <c r="L15" s="379">
        <f ca="1">K15*Inputs!$C$11</f>
        <v>29146.018016198181</v>
      </c>
      <c r="O15" s="314" t="s">
        <v>621</v>
      </c>
      <c r="P15" s="321"/>
      <c r="Q15" s="285">
        <f ca="1">Q9*Inputs!C11/1000</f>
        <v>374.1030397953611</v>
      </c>
      <c r="R15" s="312" t="s">
        <v>685</v>
      </c>
      <c r="S15" s="270">
        <f ca="1">Q15*Calcs!$N$23/1000</f>
        <v>1.2764925571654926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6.44671424268709</v>
      </c>
      <c r="C16" s="269">
        <f ca="1">(Calcs!D569+Calcs!G569)/Calcs!$C$2/Calcs!$N$22</f>
        <v>5.9388210141665563E-3</v>
      </c>
      <c r="D16" s="269">
        <f>Calcs!J59/Calcs!$C$2/Calcs!$N$22</f>
        <v>1.0697972602739725</v>
      </c>
      <c r="E16" s="269">
        <f>Calcs!Q59</f>
        <v>0.1381844288449266</v>
      </c>
      <c r="F16" s="269">
        <f ca="1">Calcs!L435</f>
        <v>0.49206316840828401</v>
      </c>
      <c r="G16" s="269">
        <f ca="1">Calcs!K712/Calcs!$C$2/Calcs!$N$22</f>
        <v>0.46460389124642543</v>
      </c>
      <c r="H16" s="269">
        <f t="shared" si="1"/>
        <v>2.95926</v>
      </c>
      <c r="I16" s="269">
        <f ca="1">Calcs!M742/Calcs!$C$2</f>
        <v>2.940122861064244</v>
      </c>
      <c r="J16" s="269">
        <f>Calcs!AR777/Calcs!$C$2/Calcs!$N$22</f>
        <v>0</v>
      </c>
      <c r="K16" s="269">
        <f t="shared" ca="1" si="0"/>
        <v>14.516684673539109</v>
      </c>
      <c r="L16" s="379">
        <f ca="1">K16*Inputs!$C$11</f>
        <v>45495.289766871567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21.936593732806593</v>
      </c>
      <c r="C17" s="271">
        <f ca="1">SUM(C5:C16)</f>
        <v>6.5179396901777862</v>
      </c>
      <c r="D17" s="271">
        <f>SUM(D5:D16)</f>
        <v>12.595999999999997</v>
      </c>
      <c r="E17" s="271">
        <f t="shared" ref="E17:H17" si="2">SUM(E5:E16)</f>
        <v>1.6270102105934903</v>
      </c>
      <c r="F17" s="271">
        <f ca="1">SUM(F5:F16)</f>
        <v>5.0151702130593865</v>
      </c>
      <c r="G17" s="271">
        <f ca="1">SUM(G5:G16)</f>
        <v>2.2160000000000002</v>
      </c>
      <c r="H17" s="271">
        <f t="shared" si="2"/>
        <v>34.842900000000007</v>
      </c>
      <c r="I17" s="271">
        <f ca="1">SUM(I5:I16)</f>
        <v>34.617575622208037</v>
      </c>
      <c r="J17" s="271">
        <f>SUM(J5:J16)</f>
        <v>0</v>
      </c>
      <c r="K17" s="272">
        <f ca="1">SUM(K5:K16)</f>
        <v>119.36918946884528</v>
      </c>
      <c r="L17" s="383">
        <f ca="1">K17*Inputs!$C$11</f>
        <v>374103.03979536111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662.44154876864798</v>
      </c>
      <c r="R18" s="312" t="s">
        <v>685</v>
      </c>
      <c r="S18" s="323">
        <f ca="1">Q18*Calcs!$N$23/1000</f>
        <v>2.2603443880672964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193.54691730040855</v>
      </c>
      <c r="R19" s="312" t="s">
        <v>685</v>
      </c>
      <c r="S19" s="323">
        <f ca="1">Q19*Calcs!$N$23/1000</f>
        <v>0.66040949448430597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855.98846606905659</v>
      </c>
      <c r="R20" s="312" t="s">
        <v>685</v>
      </c>
      <c r="S20" s="270">
        <f ca="1">Q20*Calcs!$N$23/1000</f>
        <v>2.920753882551602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5.4186225273700171E-3</v>
      </c>
      <c r="D22" s="269">
        <f t="shared" ref="D22:D33" si="3">D5</f>
        <v>1.0697972602739725</v>
      </c>
      <c r="E22" s="269">
        <f t="shared" ref="E22" si="4">E5</f>
        <v>0.1381844288449266</v>
      </c>
      <c r="F22" s="269">
        <f t="shared" ref="F22:G33" ca="1" si="5">F5</f>
        <v>0.53033826590909072</v>
      </c>
      <c r="G22" s="269">
        <f t="shared" ca="1" si="5"/>
        <v>0.46504719666887151</v>
      </c>
      <c r="H22" s="269">
        <f>Calcs!H747</f>
        <v>2.95926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5.1680457742242307</v>
      </c>
      <c r="L22" s="379">
        <f ca="1">K22*Inputs!$C$11</f>
        <v>16196.655456418739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1.1379376206657035E-2</v>
      </c>
      <c r="D23" s="269">
        <f t="shared" si="3"/>
        <v>0.96626849315068497</v>
      </c>
      <c r="E23" s="269">
        <f t="shared" ref="E23:E33" si="8">E6</f>
        <v>0.12481174218251437</v>
      </c>
      <c r="F23" s="269">
        <f t="shared" ca="1" si="5"/>
        <v>0.35816224858618118</v>
      </c>
      <c r="G23" s="269">
        <f t="shared" ca="1" si="5"/>
        <v>0.45988742892153117</v>
      </c>
      <c r="H23" s="269">
        <f>Calcs!H748</f>
        <v>2.6728800000000001</v>
      </c>
      <c r="I23" s="269">
        <f>IF(Inputs!$C$66=2,0,Outputs!I6)</f>
        <v>0</v>
      </c>
      <c r="J23" s="269">
        <f t="shared" si="6"/>
        <v>0</v>
      </c>
      <c r="K23" s="381">
        <f t="shared" ca="1" si="7"/>
        <v>4.5933892890475692</v>
      </c>
      <c r="L23" s="379">
        <f ca="1">K23*Inputs!$C$11</f>
        <v>14395.682031875082</v>
      </c>
      <c r="O23" s="313" t="s">
        <v>616</v>
      </c>
      <c r="P23" s="313"/>
      <c r="Q23" s="270">
        <f ca="1">Calcs!U9*$Q$13+SUM(Calcs!T15:U15)*$Q$14</f>
        <v>155.29213367820157</v>
      </c>
      <c r="R23" s="312" t="s">
        <v>622</v>
      </c>
      <c r="S23" s="270">
        <f ca="1">Q23</f>
        <v>155.29213367820157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6.6324039342894228E-2</v>
      </c>
      <c r="D24" s="269">
        <f t="shared" si="3"/>
        <v>1.0697972602739725</v>
      </c>
      <c r="E24" s="269">
        <f t="shared" si="8"/>
        <v>0.1381844288449266</v>
      </c>
      <c r="F24" s="269">
        <f t="shared" ca="1" si="5"/>
        <v>0.17225510871620026</v>
      </c>
      <c r="G24" s="269">
        <f t="shared" ca="1" si="5"/>
        <v>0.37525410273504106</v>
      </c>
      <c r="H24" s="269">
        <f>Calcs!H749</f>
        <v>2.95926</v>
      </c>
      <c r="I24" s="269">
        <f>IF(Inputs!$C$66=2,0,Outputs!I7)</f>
        <v>0</v>
      </c>
      <c r="J24" s="269">
        <f t="shared" si="6"/>
        <v>0</v>
      </c>
      <c r="K24" s="381">
        <f t="shared" ca="1" si="7"/>
        <v>4.7810749399130348</v>
      </c>
      <c r="L24" s="379">
        <f ca="1">K24*Inputs!$C$11</f>
        <v>14983.88886168745</v>
      </c>
      <c r="O24" s="313" t="s">
        <v>617</v>
      </c>
      <c r="P24" s="313"/>
      <c r="Q24" s="285">
        <f ca="1">Calcs!U10*$Q$13+SUM(Calcs!T16:U16)*$Q$14</f>
        <v>0.25510965493447402</v>
      </c>
      <c r="R24" s="312" t="s">
        <v>622</v>
      </c>
      <c r="S24" s="285">
        <f t="shared" ref="S24:S25" ca="1" si="9">Q24</f>
        <v>0.25510965493447402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0.29079229210888252</v>
      </c>
      <c r="D25" s="269">
        <f t="shared" si="3"/>
        <v>1.0352876712328767</v>
      </c>
      <c r="E25" s="269">
        <f t="shared" si="8"/>
        <v>0.13372686662412253</v>
      </c>
      <c r="F25" s="269">
        <f t="shared" ca="1" si="5"/>
        <v>0.16098392804057077</v>
      </c>
      <c r="G25" s="269">
        <f t="shared" ca="1" si="5"/>
        <v>3.3447561725469747E-2</v>
      </c>
      <c r="H25" s="269">
        <f>Calcs!H750</f>
        <v>2.8638000000000003</v>
      </c>
      <c r="I25" s="269">
        <f>IF(Inputs!$C$66=2,0,Outputs!I8)</f>
        <v>0</v>
      </c>
      <c r="J25" s="269">
        <f t="shared" si="6"/>
        <v>0</v>
      </c>
      <c r="K25" s="381">
        <f t="shared" ca="1" si="7"/>
        <v>4.5180383197319225</v>
      </c>
      <c r="L25" s="379">
        <f ca="1">K25*Inputs!$C$11</f>
        <v>14159.532094039845</v>
      </c>
      <c r="O25" s="313" t="s">
        <v>618</v>
      </c>
      <c r="P25" s="313"/>
      <c r="Q25" s="285">
        <f ca="1">Calcs!U11*$Q$13+SUM(Calcs!T17:U17)*$Q$14</f>
        <v>0.75603344491214752</v>
      </c>
      <c r="R25" s="312" t="s">
        <v>622</v>
      </c>
      <c r="S25" s="285">
        <f t="shared" ca="1" si="9"/>
        <v>0.75603344491214752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0.81239027728021496</v>
      </c>
      <c r="D26" s="269">
        <f t="shared" si="3"/>
        <v>1.0697972602739725</v>
      </c>
      <c r="E26" s="269">
        <f t="shared" si="8"/>
        <v>0.1381844288449266</v>
      </c>
      <c r="F26" s="269">
        <f t="shared" ca="1" si="5"/>
        <v>0.41776096403265306</v>
      </c>
      <c r="G26" s="269">
        <f t="shared" ca="1" si="5"/>
        <v>8.0504536675325518E-5</v>
      </c>
      <c r="H26" s="269">
        <f>Calcs!H751</f>
        <v>2.95926</v>
      </c>
      <c r="I26" s="269">
        <f>IF(Inputs!$C$66=2,0,Outputs!I9)</f>
        <v>0</v>
      </c>
      <c r="J26" s="269">
        <f t="shared" si="6"/>
        <v>0</v>
      </c>
      <c r="K26" s="381">
        <f t="shared" ca="1" si="7"/>
        <v>5.3974734349684423</v>
      </c>
      <c r="L26" s="379">
        <f ca="1">K26*Inputs!$C$11</f>
        <v>16915.681745191097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1.2186921077427906</v>
      </c>
      <c r="D27" s="269">
        <f t="shared" si="3"/>
        <v>1.0352876712328767</v>
      </c>
      <c r="E27" s="269">
        <f t="shared" si="8"/>
        <v>0.13372686662412253</v>
      </c>
      <c r="F27" s="269">
        <f t="shared" ca="1" si="5"/>
        <v>0.62658883849930036</v>
      </c>
      <c r="G27" s="269">
        <f t="shared" ca="1" si="5"/>
        <v>6.168026737258989E-14</v>
      </c>
      <c r="H27" s="269">
        <f>Calcs!H752</f>
        <v>2.8638000000000003</v>
      </c>
      <c r="I27" s="269">
        <f>IF(Inputs!$C$66=2,0,Outputs!I10)</f>
        <v>0</v>
      </c>
      <c r="J27" s="269">
        <f t="shared" si="6"/>
        <v>0</v>
      </c>
      <c r="K27" s="381">
        <f t="shared" ca="1" si="7"/>
        <v>5.8780954840991519</v>
      </c>
      <c r="L27" s="379">
        <f ca="1">K27*Inputs!$C$11</f>
        <v>18421.951247166744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1.5172070412268526</v>
      </c>
      <c r="D28" s="269">
        <f t="shared" si="3"/>
        <v>1.0697972602739725</v>
      </c>
      <c r="E28" s="269">
        <f t="shared" si="8"/>
        <v>0.1381844288449266</v>
      </c>
      <c r="F28" s="269">
        <f t="shared" ca="1" si="5"/>
        <v>0.78006987300996788</v>
      </c>
      <c r="G28" s="269">
        <f t="shared" ca="1" si="5"/>
        <v>0</v>
      </c>
      <c r="H28" s="269">
        <f>Calcs!H753</f>
        <v>2.95926</v>
      </c>
      <c r="I28" s="269">
        <f>IF(Inputs!$C$66=2,0,Outputs!I11)</f>
        <v>0</v>
      </c>
      <c r="J28" s="269">
        <f t="shared" si="6"/>
        <v>0</v>
      </c>
      <c r="K28" s="381">
        <f t="shared" ca="1" si="7"/>
        <v>6.4645186033557192</v>
      </c>
      <c r="L28" s="379">
        <f ca="1">K28*Inputs!$C$11</f>
        <v>20259.801302916825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1.2811236327136579</v>
      </c>
      <c r="D29" s="269">
        <f t="shared" si="3"/>
        <v>1.0697972602739725</v>
      </c>
      <c r="E29" s="269">
        <f t="shared" si="8"/>
        <v>0.1381844288449266</v>
      </c>
      <c r="F29" s="269">
        <f t="shared" ca="1" si="5"/>
        <v>0.65868791952936012</v>
      </c>
      <c r="G29" s="269">
        <f t="shared" ca="1" si="5"/>
        <v>0</v>
      </c>
      <c r="H29" s="269">
        <f>Calcs!H754</f>
        <v>2.95926</v>
      </c>
      <c r="I29" s="269">
        <f>IF(Inputs!$C$66=2,0,Outputs!I12)</f>
        <v>0</v>
      </c>
      <c r="J29" s="269">
        <f t="shared" si="6"/>
        <v>0</v>
      </c>
      <c r="K29" s="381">
        <f t="shared" ca="1" si="7"/>
        <v>6.1070532413619176</v>
      </c>
      <c r="L29" s="379">
        <f ca="1">K29*Inputs!$C$11</f>
        <v>19139.504858428249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0.93779813359185382</v>
      </c>
      <c r="D30" s="269">
        <f t="shared" si="3"/>
        <v>1.0352876712328767</v>
      </c>
      <c r="E30" s="269">
        <f t="shared" si="8"/>
        <v>0.13372686662412253</v>
      </c>
      <c r="F30" s="269">
        <f t="shared" ca="1" si="5"/>
        <v>0.4821684310192132</v>
      </c>
      <c r="G30" s="269">
        <f t="shared" ca="1" si="5"/>
        <v>8.1344119565125478E-7</v>
      </c>
      <c r="H30" s="269">
        <f>Calcs!H755</f>
        <v>2.8638000000000003</v>
      </c>
      <c r="I30" s="269">
        <f>IF(Inputs!$C$66=2,0,Outputs!I13)</f>
        <v>0</v>
      </c>
      <c r="J30" s="269">
        <f t="shared" si="6"/>
        <v>0</v>
      </c>
      <c r="K30" s="381">
        <f t="shared" ca="1" si="7"/>
        <v>5.452781915909263</v>
      </c>
      <c r="L30" s="379">
        <f ca="1">K30*Inputs!$C$11</f>
        <v>17089.018524459629</v>
      </c>
      <c r="O30" s="313" t="s">
        <v>696</v>
      </c>
      <c r="P30" s="313"/>
      <c r="Q30" s="325">
        <f>Calcs!C821</f>
        <v>474.97269113638271</v>
      </c>
      <c r="R30" s="312" t="s">
        <v>589</v>
      </c>
      <c r="S30" s="325">
        <f>Q30*Calcs!$N$23/Calcs!$N$20</f>
        <v>150.56555018013563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0.32294864320136252</v>
      </c>
      <c r="D31" s="269">
        <f t="shared" si="3"/>
        <v>1.0697972602739725</v>
      </c>
      <c r="E31" s="269">
        <f t="shared" si="8"/>
        <v>0.1381844288449266</v>
      </c>
      <c r="F31" s="269">
        <f t="shared" ca="1" si="5"/>
        <v>0.17378634231319914</v>
      </c>
      <c r="G31" s="269">
        <f t="shared" ca="1" si="5"/>
        <v>2.0911241095539445E-2</v>
      </c>
      <c r="H31" s="269">
        <f>Calcs!H756</f>
        <v>2.95926</v>
      </c>
      <c r="I31" s="269">
        <f>IF(Inputs!$C$66=2,0,Outputs!I14)</f>
        <v>0</v>
      </c>
      <c r="J31" s="269">
        <f t="shared" si="6"/>
        <v>0</v>
      </c>
      <c r="K31" s="381">
        <f t="shared" ca="1" si="7"/>
        <v>4.684887915729</v>
      </c>
      <c r="L31" s="379">
        <f ca="1">K31*Inputs!$C$11</f>
        <v>14682.438727894685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4.792670322108307E-2</v>
      </c>
      <c r="D32" s="269">
        <f t="shared" si="3"/>
        <v>1.0352876712328767</v>
      </c>
      <c r="E32" s="269">
        <f t="shared" si="8"/>
        <v>0.13372686662412253</v>
      </c>
      <c r="F32" s="269">
        <f t="shared" ca="1" si="5"/>
        <v>0.16230512499536667</v>
      </c>
      <c r="G32" s="269">
        <f t="shared" ca="1" si="5"/>
        <v>0.39676725962918913</v>
      </c>
      <c r="H32" s="269">
        <f>Calcs!H757</f>
        <v>2.8638000000000003</v>
      </c>
      <c r="I32" s="269">
        <f>IF(Inputs!$C$66=2,0,Outputs!I15)</f>
        <v>0</v>
      </c>
      <c r="J32" s="269">
        <f t="shared" si="6"/>
        <v>0</v>
      </c>
      <c r="K32" s="381">
        <f t="shared" ca="1" si="7"/>
        <v>4.6398136257026383</v>
      </c>
      <c r="L32" s="379">
        <f ca="1">K32*Inputs!$C$11</f>
        <v>14541.175902952069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5.9388210141665563E-3</v>
      </c>
      <c r="D33" s="269">
        <f t="shared" si="3"/>
        <v>1.0697972602739725</v>
      </c>
      <c r="E33" s="269">
        <f t="shared" si="8"/>
        <v>0.1381844288449266</v>
      </c>
      <c r="F33" s="269">
        <f t="shared" ca="1" si="5"/>
        <v>0.49206316840828401</v>
      </c>
      <c r="G33" s="269">
        <f t="shared" ca="1" si="5"/>
        <v>0.46460389124642543</v>
      </c>
      <c r="H33" s="269">
        <f>Calcs!H758</f>
        <v>2.95926</v>
      </c>
      <c r="I33" s="269">
        <f>IF(Inputs!$C$66=2,0,Outputs!I16)</f>
        <v>0</v>
      </c>
      <c r="J33" s="269">
        <f t="shared" si="6"/>
        <v>0</v>
      </c>
      <c r="K33" s="381">
        <f t="shared" ca="1" si="7"/>
        <v>5.129847569787775</v>
      </c>
      <c r="L33" s="379">
        <f ca="1">K33*Inputs!$C$11</f>
        <v>16076.942283714887</v>
      </c>
      <c r="O33" s="314" t="s">
        <v>693</v>
      </c>
      <c r="P33" s="313"/>
      <c r="Q33" s="285">
        <f ca="1">Q6/Q28</f>
        <v>0.41505220670297827</v>
      </c>
      <c r="R33" s="313"/>
      <c r="S33" s="285">
        <f ca="1">Q33</f>
        <v>0.41505220670297827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6.5179396901777862</v>
      </c>
      <c r="D34" s="272">
        <f>SUM(D22:D33)</f>
        <v>12.595999999999997</v>
      </c>
      <c r="E34" s="272">
        <f t="shared" si="10"/>
        <v>1.6270102105934903</v>
      </c>
      <c r="F34" s="272">
        <f ca="1">SUM(F22:F33)</f>
        <v>5.0151702130593865</v>
      </c>
      <c r="G34" s="272">
        <f ca="1">SUM(G22:G33)</f>
        <v>2.2160000000000002</v>
      </c>
      <c r="H34" s="272">
        <f t="shared" si="10"/>
        <v>34.842900000000007</v>
      </c>
      <c r="I34" s="272">
        <f t="shared" si="10"/>
        <v>0</v>
      </c>
      <c r="J34" s="272">
        <f>SUM(J22:J33)</f>
        <v>0</v>
      </c>
      <c r="K34" s="382">
        <f ca="1">SUM(K22:K33)</f>
        <v>62.81502011383067</v>
      </c>
      <c r="L34" s="383">
        <f ca="1">K34*Inputs!$C$11</f>
        <v>196862.27303674532</v>
      </c>
      <c r="O34" s="314" t="s">
        <v>691</v>
      </c>
      <c r="P34" s="313"/>
      <c r="Q34" s="285">
        <f ca="1">Q9/Q29</f>
        <v>0.59684594734422636</v>
      </c>
      <c r="R34" s="313"/>
      <c r="S34" s="285">
        <f t="shared" ref="S34:S35" ca="1" si="11">Q34</f>
        <v>0.59684594734422636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0.57504294608022066</v>
      </c>
      <c r="R35" s="313"/>
      <c r="S35" s="285">
        <f t="shared" ca="1" si="11"/>
        <v>0.57504294608022066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6.9548285680451194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2.940122861064244</v>
      </c>
      <c r="J39" s="269"/>
      <c r="K39" s="381">
        <f t="shared" ref="K39:K50" ca="1" si="13">SUM(B39:I39)-J39</f>
        <v>9.8949514291093639</v>
      </c>
      <c r="L39" s="379">
        <f ca="1">K39*Inputs!$C$11</f>
        <v>31010.777778828746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4.6445945598094616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2.6555948422515758</v>
      </c>
      <c r="J40" s="269"/>
      <c r="K40" s="381">
        <f t="shared" ca="1" si="13"/>
        <v>7.3001894020610374</v>
      </c>
      <c r="L40" s="379">
        <f ca="1">K40*Inputs!$C$11</f>
        <v>22878.793586059292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1.821321323373398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2.940122861064244</v>
      </c>
      <c r="J41" s="269"/>
      <c r="K41" s="381">
        <f t="shared" ca="1" si="13"/>
        <v>4.7614441844376421</v>
      </c>
      <c r="L41" s="379">
        <f ca="1">K41*Inputs!$C$11</f>
        <v>14922.36607402757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0.15125719212070207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2.8452801881266883</v>
      </c>
      <c r="J42" s="269"/>
      <c r="K42" s="381">
        <f t="shared" ca="1" si="13"/>
        <v>2.9965373802473905</v>
      </c>
      <c r="L42" s="379">
        <f ca="1">K42*Inputs!$C$11</f>
        <v>9391.148149695322</v>
      </c>
    </row>
    <row r="43" spans="1:20" ht="13.5" customHeight="1" x14ac:dyDescent="0.2">
      <c r="A43" s="9" t="s">
        <v>118</v>
      </c>
      <c r="B43" s="269">
        <f ca="1">Calcs!F562/Calcs!$C$2/Calcs!$N$22</f>
        <v>9.4447098824117963E-4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2.940122861064244</v>
      </c>
      <c r="J43" s="269"/>
      <c r="K43" s="381">
        <f t="shared" ca="1" si="13"/>
        <v>2.9410673320524854</v>
      </c>
      <c r="L43" s="379">
        <f ca="1">K43*Inputs!$C$11</f>
        <v>9217.3050186524888</v>
      </c>
    </row>
    <row r="44" spans="1:20" ht="13.5" customHeight="1" x14ac:dyDescent="0.2">
      <c r="A44" s="9" t="s">
        <v>119</v>
      </c>
      <c r="B44" s="269">
        <f ca="1">Calcs!F563/Calcs!$C$2/Calcs!$N$22</f>
        <v>1.0853479799647498E-12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2.8452801881266883</v>
      </c>
      <c r="J44" s="269"/>
      <c r="K44" s="381">
        <f t="shared" ca="1" si="13"/>
        <v>2.8452801881277736</v>
      </c>
      <c r="L44" s="379">
        <f ca="1">K44*Inputs!$C$11</f>
        <v>8917.1081095924419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2.940122861064244</v>
      </c>
      <c r="J45" s="269"/>
      <c r="K45" s="381">
        <f t="shared" ca="1" si="13"/>
        <v>2.940122861064244</v>
      </c>
      <c r="L45" s="379">
        <f ca="1">K45*Inputs!$C$11</f>
        <v>9214.3450465753413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2.940122861064244</v>
      </c>
      <c r="J46" s="269"/>
      <c r="K46" s="381">
        <f t="shared" ca="1" si="13"/>
        <v>2.940122861064244</v>
      </c>
      <c r="L46" s="379">
        <f ca="1">K46*Inputs!$C$11</f>
        <v>9214.3450465753413</v>
      </c>
    </row>
    <row r="47" spans="1:20" ht="13.5" customHeight="1" x14ac:dyDescent="0.2">
      <c r="A47" s="9" t="s">
        <v>122</v>
      </c>
      <c r="B47" s="269">
        <f ca="1">Calcs!F566/Calcs!$C$2/Calcs!$N$22</f>
        <v>1.1014506375486079E-5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2.8452801881266883</v>
      </c>
      <c r="J47" s="269"/>
      <c r="K47" s="381">
        <f t="shared" ca="1" si="13"/>
        <v>2.8452912026330637</v>
      </c>
      <c r="L47" s="379">
        <f ca="1">K47*Inputs!$C$11</f>
        <v>8917.1426290520212</v>
      </c>
    </row>
    <row r="48" spans="1:20" ht="13.5" customHeight="1" x14ac:dyDescent="0.2">
      <c r="A48" s="9" t="s">
        <v>123</v>
      </c>
      <c r="B48" s="269">
        <f ca="1">Calcs!F567/Calcs!$C$2/Calcs!$N$22</f>
        <v>0.10207424268639373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2.940122861064244</v>
      </c>
      <c r="J48" s="269"/>
      <c r="K48" s="381">
        <f t="shared" ca="1" si="13"/>
        <v>3.0421971037506377</v>
      </c>
      <c r="L48" s="379">
        <f ca="1">K48*Inputs!$C$11</f>
        <v>9534.2457231544977</v>
      </c>
    </row>
    <row r="49" spans="1:12" ht="13.5" customHeight="1" x14ac:dyDescent="0.2">
      <c r="A49" s="9" t="s">
        <v>124</v>
      </c>
      <c r="B49" s="269">
        <f ca="1">Calcs!F568/Calcs!$C$2/Calcs!$N$22</f>
        <v>1.8148481185887262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2.8452801881266883</v>
      </c>
      <c r="J49" s="269"/>
      <c r="K49" s="381">
        <f t="shared" ca="1" si="13"/>
        <v>4.6601283067154142</v>
      </c>
      <c r="L49" s="379">
        <f ca="1">K49*Inputs!$C$11</f>
        <v>14604.842113246108</v>
      </c>
    </row>
    <row r="50" spans="1:12" ht="13.5" customHeight="1" x14ac:dyDescent="0.2">
      <c r="A50" s="9" t="s">
        <v>125</v>
      </c>
      <c r="B50" s="269">
        <f ca="1">Calcs!F569/Calcs!$C$2/Calcs!$N$22</f>
        <v>6.44671424268709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2.940122861064244</v>
      </c>
      <c r="J50" s="269"/>
      <c r="K50" s="381">
        <f t="shared" ca="1" si="13"/>
        <v>9.3868371037513345</v>
      </c>
      <c r="L50" s="379">
        <f ca="1">K50*Inputs!$C$11</f>
        <v>29418.347483156682</v>
      </c>
    </row>
    <row r="51" spans="1:12" ht="13.5" customHeight="1" x14ac:dyDescent="0.2">
      <c r="A51" s="9" t="s">
        <v>178</v>
      </c>
      <c r="B51" s="272">
        <f ca="1">SUM(B39:B50)</f>
        <v>21.936593732806593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34.617575622208037</v>
      </c>
      <c r="J51" s="272">
        <f t="shared" si="14"/>
        <v>0</v>
      </c>
      <c r="K51" s="382">
        <f ca="1">SUM(K39:K50)</f>
        <v>56.554169355014636</v>
      </c>
      <c r="L51" s="383">
        <f ca="1">K51*Inputs!$C$11</f>
        <v>177240.76675861588</v>
      </c>
    </row>
  </sheetData>
  <pageMargins left="0.7" right="0.7" top="0.75" bottom="0.75" header="0.3" footer="0.3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3134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1.8972</v>
      </c>
      <c r="AB5" s="569">
        <f>O5*$F$18</f>
        <v>0.66959999999999997</v>
      </c>
      <c r="AC5" s="569">
        <f>O5*$G$18</f>
        <v>0</v>
      </c>
      <c r="AD5" s="569">
        <f>O5*$H$18</f>
        <v>0.11159999999999999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-3.9166729917773568</v>
      </c>
      <c r="CS5" s="584">
        <f t="shared" ref="CS5:CS16" ca="1" si="1">SUMPRODUCT($BP$19:$CM$19,AR5:BO5)/SUM($BP$19:$CM$19)</f>
        <v>-6.4193548387096753</v>
      </c>
      <c r="CT5" s="510"/>
      <c r="CU5" s="584">
        <f t="shared" ref="CU5:CU16" ca="1" si="2">SUMPRODUCT($BP$18:$CM$18,BP5:CM5)/SUM($BP$18:$CM$18)</f>
        <v>103.7628083491461</v>
      </c>
      <c r="CV5" s="584">
        <f t="shared" ref="CV5:CV16" ca="1" si="3">SUMPRODUCT($BP$19:$CM$19,BP5:CM5)/SUM($BP$19:$CM$19)</f>
        <v>0</v>
      </c>
      <c r="CW5" s="584">
        <f t="shared" ref="CW5:CW16" ca="1" si="4">$CU5*AA5</f>
        <v>196.85879999999997</v>
      </c>
      <c r="CX5" s="584">
        <f t="shared" ref="CX5:CX16" ca="1" si="5">$CV5*AB5</f>
        <v>0</v>
      </c>
      <c r="CY5" s="584">
        <f t="shared" ref="CY5:CY16" ca="1" si="6">$CU5*AC5</f>
        <v>0</v>
      </c>
      <c r="CZ5" s="584">
        <f t="shared" ref="CZ5:CZ16" ca="1" si="7">$CV5*AD5</f>
        <v>0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1</v>
      </c>
      <c r="DD5" s="569">
        <f t="shared" ref="DD5:DD16" ca="1" si="10">CX5/$DA5</f>
        <v>0</v>
      </c>
      <c r="DE5" s="569">
        <f t="shared" ref="DE5:DE16" ca="1" si="11">CY5/$DA5</f>
        <v>0</v>
      </c>
      <c r="DF5" s="569">
        <f t="shared" ref="DF5:DF16" ca="1" si="12">CZ5/$DA5</f>
        <v>0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0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1.7136</v>
      </c>
      <c r="AB6" s="569">
        <f t="shared" ref="AB6:AB16" si="14">O6*$F$18</f>
        <v>0.6048</v>
      </c>
      <c r="AC6" s="569">
        <f t="shared" ref="AC6:AC16" si="15">O6*$G$18</f>
        <v>0</v>
      </c>
      <c r="AD6" s="569">
        <f t="shared" ref="AD6:AD16" si="16">O6*$H$18</f>
        <v>0.1008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-1.7182773109243696</v>
      </c>
      <c r="CS6" s="584">
        <f t="shared" ca="1" si="1"/>
        <v>-4.4984693877551027</v>
      </c>
      <c r="CT6" s="510"/>
      <c r="CU6" s="584">
        <f t="shared" ca="1" si="2"/>
        <v>146.48739495798318</v>
      </c>
      <c r="CV6" s="584">
        <f t="shared" ca="1" si="3"/>
        <v>0.43877551020408168</v>
      </c>
      <c r="CW6" s="584">
        <f t="shared" ca="1" si="4"/>
        <v>251.02079999999998</v>
      </c>
      <c r="CX6" s="584">
        <f t="shared" ca="1" si="5"/>
        <v>0.26537142857142859</v>
      </c>
      <c r="CY6" s="584">
        <f t="shared" ca="1" si="6"/>
        <v>0</v>
      </c>
      <c r="CZ6" s="584">
        <f t="shared" ca="1" si="7"/>
        <v>4.4228571428571437E-2</v>
      </c>
      <c r="DA6" s="691">
        <f t="shared" ca="1" si="8"/>
        <v>251.33039999999997</v>
      </c>
      <c r="DB6" s="539"/>
      <c r="DC6" s="569">
        <f t="shared" ca="1" si="9"/>
        <v>0.99876815538430697</v>
      </c>
      <c r="DD6" s="569">
        <f t="shared" ca="1" si="10"/>
        <v>1.0558668134512522E-3</v>
      </c>
      <c r="DE6" s="569">
        <f t="shared" ca="1" si="11"/>
        <v>0</v>
      </c>
      <c r="DF6" s="569">
        <f t="shared" ca="1" si="12"/>
        <v>1.759778022418754E-4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17</v>
      </c>
      <c r="E7" s="510"/>
      <c r="F7" s="529" t="s">
        <v>89</v>
      </c>
      <c r="G7" s="530">
        <f>Inputs!$C$15+1</f>
        <v>7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1.8972</v>
      </c>
      <c r="AB7" s="569">
        <f t="shared" si="14"/>
        <v>0.66959999999999997</v>
      </c>
      <c r="AC7" s="569">
        <f t="shared" si="15"/>
        <v>0</v>
      </c>
      <c r="AD7" s="569">
        <f t="shared" si="16"/>
        <v>0.11159999999999999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4.7924098671726743</v>
      </c>
      <c r="CS7" s="584">
        <f t="shared" ca="1" si="1"/>
        <v>1.4755760368663595</v>
      </c>
      <c r="CT7" s="510"/>
      <c r="CU7" s="584">
        <f t="shared" ca="1" si="2"/>
        <v>200.45920303605311</v>
      </c>
      <c r="CV7" s="584">
        <f t="shared" ca="1" si="3"/>
        <v>4.622119815668202</v>
      </c>
      <c r="CW7" s="584">
        <f t="shared" ca="1" si="4"/>
        <v>380.31119999999999</v>
      </c>
      <c r="CX7" s="584">
        <f t="shared" ca="1" si="5"/>
        <v>3.0949714285714278</v>
      </c>
      <c r="CY7" s="584">
        <f t="shared" ca="1" si="6"/>
        <v>0</v>
      </c>
      <c r="CZ7" s="584">
        <f t="shared" ca="1" si="7"/>
        <v>0.5158285714285713</v>
      </c>
      <c r="DA7" s="691">
        <f t="shared" ca="1" si="8"/>
        <v>383.92200000000003</v>
      </c>
      <c r="DB7" s="539"/>
      <c r="DC7" s="569">
        <f t="shared" ca="1" si="9"/>
        <v>0.99059496460218477</v>
      </c>
      <c r="DD7" s="569">
        <f t="shared" ca="1" si="10"/>
        <v>8.0614589124130102E-3</v>
      </c>
      <c r="DE7" s="569">
        <f t="shared" ca="1" si="11"/>
        <v>0</v>
      </c>
      <c r="DF7" s="569">
        <f t="shared" ca="1" si="12"/>
        <v>1.3435764854021683E-3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17</v>
      </c>
      <c r="E8" s="510"/>
      <c r="F8" s="531" t="s">
        <v>93</v>
      </c>
      <c r="G8" s="532">
        <f>IF(G7-G6&lt;0,7+(G7-G6),G7-G6)</f>
        <v>7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1.8360000000000001</v>
      </c>
      <c r="AB8" s="569">
        <f t="shared" si="14"/>
        <v>0.64800000000000002</v>
      </c>
      <c r="AC8" s="569">
        <f t="shared" si="15"/>
        <v>0</v>
      </c>
      <c r="AD8" s="569">
        <f t="shared" si="16"/>
        <v>0.108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10.957450980392156</v>
      </c>
      <c r="CS8" s="584">
        <f t="shared" ca="1" si="1"/>
        <v>7.4642857142857153</v>
      </c>
      <c r="CT8" s="510"/>
      <c r="CU8" s="584">
        <f t="shared" ca="1" si="2"/>
        <v>249.3294117647059</v>
      </c>
      <c r="CV8" s="584">
        <f t="shared" ca="1" si="3"/>
        <v>22.219047619047618</v>
      </c>
      <c r="CW8" s="584">
        <f t="shared" ca="1" si="4"/>
        <v>457.76880000000006</v>
      </c>
      <c r="CX8" s="584">
        <f t="shared" ca="1" si="5"/>
        <v>14.397942857142857</v>
      </c>
      <c r="CY8" s="584">
        <f t="shared" ca="1" si="6"/>
        <v>0</v>
      </c>
      <c r="CZ8" s="584">
        <f t="shared" ca="1" si="7"/>
        <v>2.3996571428571429</v>
      </c>
      <c r="DA8" s="691">
        <f t="shared" ca="1" si="8"/>
        <v>474.5664000000001</v>
      </c>
      <c r="DB8" s="539"/>
      <c r="DC8" s="569">
        <f t="shared" ca="1" si="9"/>
        <v>0.96460432091273207</v>
      </c>
      <c r="DD8" s="569">
        <f t="shared" ca="1" si="10"/>
        <v>3.0339153503372455E-2</v>
      </c>
      <c r="DE8" s="569">
        <f t="shared" ca="1" si="11"/>
        <v>0</v>
      </c>
      <c r="DF8" s="569">
        <f t="shared" ca="1" si="12"/>
        <v>5.0565255838954095E-3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1.8972</v>
      </c>
      <c r="AB9" s="569">
        <f t="shared" si="14"/>
        <v>0.66959999999999997</v>
      </c>
      <c r="AC9" s="569">
        <f t="shared" si="15"/>
        <v>0</v>
      </c>
      <c r="AD9" s="569">
        <f t="shared" si="16"/>
        <v>0.11159999999999999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17.129411764705882</v>
      </c>
      <c r="CS9" s="584">
        <f t="shared" ca="1" si="1"/>
        <v>10.847465437788017</v>
      </c>
      <c r="CT9" s="510"/>
      <c r="CU9" s="584">
        <f t="shared" ca="1" si="2"/>
        <v>335.07969639468689</v>
      </c>
      <c r="CV9" s="584">
        <f t="shared" ca="1" si="3"/>
        <v>39.930875576036861</v>
      </c>
      <c r="CW9" s="584">
        <f t="shared" ca="1" si="4"/>
        <v>635.71319999999992</v>
      </c>
      <c r="CX9" s="584">
        <f t="shared" ca="1" si="5"/>
        <v>26.737714285714283</v>
      </c>
      <c r="CY9" s="584">
        <f t="shared" ca="1" si="6"/>
        <v>0</v>
      </c>
      <c r="CZ9" s="584">
        <f t="shared" ca="1" si="7"/>
        <v>4.4562857142857135</v>
      </c>
      <c r="DA9" s="691">
        <f t="shared" ca="1" si="8"/>
        <v>666.90719999999999</v>
      </c>
      <c r="DB9" s="539"/>
      <c r="DC9" s="569">
        <f t="shared" ca="1" si="9"/>
        <v>0.95322587610390164</v>
      </c>
      <c r="DD9" s="569">
        <f t="shared" ca="1" si="10"/>
        <v>4.0092106196655673E-2</v>
      </c>
      <c r="DE9" s="569">
        <f t="shared" ca="1" si="11"/>
        <v>0</v>
      </c>
      <c r="DF9" s="569">
        <f t="shared" ca="1" si="12"/>
        <v>6.6820176994426116E-3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66.87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1.8360000000000001</v>
      </c>
      <c r="AB10" s="569">
        <f t="shared" si="14"/>
        <v>0.64800000000000002</v>
      </c>
      <c r="AC10" s="569">
        <f t="shared" si="15"/>
        <v>0</v>
      </c>
      <c r="AD10" s="569">
        <f t="shared" si="16"/>
        <v>0.108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22.578431372549019</v>
      </c>
      <c r="CS10" s="584">
        <f t="shared" ca="1" si="1"/>
        <v>17.543809523809522</v>
      </c>
      <c r="CT10" s="510"/>
      <c r="CU10" s="584">
        <f t="shared" ca="1" si="2"/>
        <v>349.9588235294118</v>
      </c>
      <c r="CV10" s="584">
        <f t="shared" ca="1" si="3"/>
        <v>49.171428571428571</v>
      </c>
      <c r="CW10" s="584">
        <f t="shared" ca="1" si="4"/>
        <v>642.52440000000013</v>
      </c>
      <c r="CX10" s="584">
        <f t="shared" ca="1" si="5"/>
        <v>31.863085714285713</v>
      </c>
      <c r="CY10" s="584">
        <f t="shared" ca="1" si="6"/>
        <v>0</v>
      </c>
      <c r="CZ10" s="584">
        <f t="shared" ca="1" si="7"/>
        <v>5.3105142857142855</v>
      </c>
      <c r="DA10" s="691">
        <f t="shared" ca="1" si="8"/>
        <v>679.69800000000009</v>
      </c>
      <c r="DB10" s="539"/>
      <c r="DC10" s="569">
        <f t="shared" ca="1" si="9"/>
        <v>0.94530865178358625</v>
      </c>
      <c r="DD10" s="569">
        <f t="shared" ca="1" si="10"/>
        <v>4.6878298471211784E-2</v>
      </c>
      <c r="DE10" s="569">
        <f t="shared" ca="1" si="11"/>
        <v>0</v>
      </c>
      <c r="DF10" s="569">
        <f t="shared" ca="1" si="12"/>
        <v>7.8130497452019651E-3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46.867055480783606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1.8972</v>
      </c>
      <c r="AB11" s="569">
        <f t="shared" si="14"/>
        <v>0.66959999999999997</v>
      </c>
      <c r="AC11" s="569">
        <f t="shared" si="15"/>
        <v>0</v>
      </c>
      <c r="AD11" s="569">
        <f t="shared" si="16"/>
        <v>0.11159999999999999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25.636053130929788</v>
      </c>
      <c r="CS11" s="584">
        <f t="shared" ca="1" si="1"/>
        <v>20.470967741935482</v>
      </c>
      <c r="CT11" s="510"/>
      <c r="CU11" s="584">
        <f t="shared" ca="1" si="2"/>
        <v>347.44212523719165</v>
      </c>
      <c r="CV11" s="584">
        <f t="shared" ca="1" si="3"/>
        <v>38.608294930875573</v>
      </c>
      <c r="CW11" s="584">
        <f t="shared" ca="1" si="4"/>
        <v>659.16719999999998</v>
      </c>
      <c r="CX11" s="584">
        <f t="shared" ca="1" si="5"/>
        <v>25.852114285714283</v>
      </c>
      <c r="CY11" s="584">
        <f t="shared" ca="1" si="6"/>
        <v>0</v>
      </c>
      <c r="CZ11" s="584">
        <f t="shared" ca="1" si="7"/>
        <v>4.3086857142857138</v>
      </c>
      <c r="DA11" s="691">
        <f t="shared" ca="1" si="8"/>
        <v>689.32799999999997</v>
      </c>
      <c r="DB11" s="539"/>
      <c r="DC11" s="569">
        <f t="shared" ca="1" si="9"/>
        <v>0.95624608314184245</v>
      </c>
      <c r="DD11" s="569">
        <f t="shared" ca="1" si="10"/>
        <v>3.7503357306992148E-2</v>
      </c>
      <c r="DE11" s="569">
        <f t="shared" ca="1" si="11"/>
        <v>0</v>
      </c>
      <c r="DF11" s="569">
        <f t="shared" ca="1" si="12"/>
        <v>6.2505595511653583E-3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1.8972</v>
      </c>
      <c r="AB12" s="569">
        <f t="shared" si="14"/>
        <v>0.66959999999999997</v>
      </c>
      <c r="AC12" s="569">
        <f t="shared" si="15"/>
        <v>0</v>
      </c>
      <c r="AD12" s="569">
        <f t="shared" si="16"/>
        <v>0.11159999999999999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23.188425047438326</v>
      </c>
      <c r="CS12" s="584">
        <f t="shared" ca="1" si="1"/>
        <v>18.360829493087557</v>
      </c>
      <c r="CT12" s="510"/>
      <c r="CU12" s="584">
        <f t="shared" ca="1" si="2"/>
        <v>293.57115749525616</v>
      </c>
      <c r="CV12" s="584">
        <f t="shared" ca="1" si="3"/>
        <v>24.387096774193544</v>
      </c>
      <c r="CW12" s="584">
        <f t="shared" ca="1" si="4"/>
        <v>556.96320000000003</v>
      </c>
      <c r="CX12" s="584">
        <f t="shared" ca="1" si="5"/>
        <v>16.329599999999996</v>
      </c>
      <c r="CY12" s="584">
        <f t="shared" ca="1" si="6"/>
        <v>0</v>
      </c>
      <c r="CZ12" s="584">
        <f t="shared" ca="1" si="7"/>
        <v>2.7215999999999991</v>
      </c>
      <c r="DA12" s="691">
        <f t="shared" ca="1" si="8"/>
        <v>576.01440000000002</v>
      </c>
      <c r="DB12" s="539"/>
      <c r="DC12" s="569">
        <f t="shared" ca="1" si="9"/>
        <v>0.96692582685432871</v>
      </c>
      <c r="DD12" s="569">
        <f t="shared" ca="1" si="10"/>
        <v>2.8349291267718298E-2</v>
      </c>
      <c r="DE12" s="569">
        <f t="shared" ca="1" si="11"/>
        <v>0</v>
      </c>
      <c r="DF12" s="569">
        <f t="shared" ca="1" si="12"/>
        <v>4.7248818779530499E-3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1.8360000000000001</v>
      </c>
      <c r="AB13" s="569">
        <f t="shared" si="14"/>
        <v>0.64800000000000002</v>
      </c>
      <c r="AC13" s="569">
        <f t="shared" si="15"/>
        <v>0</v>
      </c>
      <c r="AD13" s="569">
        <f t="shared" si="16"/>
        <v>0.108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19.713725490196079</v>
      </c>
      <c r="CS13" s="584">
        <f t="shared" ca="1" si="1"/>
        <v>14.325238095238095</v>
      </c>
      <c r="CT13" s="510"/>
      <c r="CU13" s="584">
        <f t="shared" ca="1" si="2"/>
        <v>240.88627450980391</v>
      </c>
      <c r="CV13" s="584">
        <f t="shared" ca="1" si="3"/>
        <v>13.93809523809524</v>
      </c>
      <c r="CW13" s="584">
        <f t="shared" ca="1" si="4"/>
        <v>442.2672</v>
      </c>
      <c r="CX13" s="584">
        <f t="shared" ca="1" si="5"/>
        <v>9.0318857142857158</v>
      </c>
      <c r="CY13" s="584">
        <f t="shared" ca="1" si="6"/>
        <v>0</v>
      </c>
      <c r="CZ13" s="584">
        <f t="shared" ca="1" si="7"/>
        <v>1.5053142857142858</v>
      </c>
      <c r="DA13" s="691">
        <f t="shared" ca="1" si="8"/>
        <v>452.80439999999999</v>
      </c>
      <c r="DB13" s="539"/>
      <c r="DC13" s="569">
        <f t="shared" ca="1" si="9"/>
        <v>0.97672902471795775</v>
      </c>
      <c r="DD13" s="569">
        <f t="shared" ca="1" si="10"/>
        <v>1.9946550241750557E-2</v>
      </c>
      <c r="DE13" s="569">
        <f t="shared" ca="1" si="11"/>
        <v>0</v>
      </c>
      <c r="DF13" s="569">
        <f t="shared" ca="1" si="12"/>
        <v>3.3244250402917593E-3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1.8972</v>
      </c>
      <c r="AB14" s="569">
        <f t="shared" si="14"/>
        <v>0.66959999999999997</v>
      </c>
      <c r="AC14" s="569">
        <f t="shared" si="15"/>
        <v>0</v>
      </c>
      <c r="AD14" s="569">
        <f t="shared" si="16"/>
        <v>0.11159999999999999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12.214990512333967</v>
      </c>
      <c r="CS14" s="584">
        <f t="shared" ca="1" si="1"/>
        <v>7.9917050691244231</v>
      </c>
      <c r="CT14" s="510"/>
      <c r="CU14" s="584">
        <f t="shared" ca="1" si="2"/>
        <v>171.02846299810247</v>
      </c>
      <c r="CV14" s="584">
        <f t="shared" ca="1" si="3"/>
        <v>4.8156682027649769</v>
      </c>
      <c r="CW14" s="584">
        <f t="shared" ca="1" si="4"/>
        <v>324.47520000000003</v>
      </c>
      <c r="CX14" s="584">
        <f t="shared" ca="1" si="5"/>
        <v>3.2245714285714282</v>
      </c>
      <c r="CY14" s="584">
        <f t="shared" ca="1" si="6"/>
        <v>0</v>
      </c>
      <c r="CZ14" s="584">
        <f t="shared" ca="1" si="7"/>
        <v>0.53742857142857137</v>
      </c>
      <c r="DA14" s="691">
        <f t="shared" ca="1" si="8"/>
        <v>328.23720000000003</v>
      </c>
      <c r="DB14" s="539"/>
      <c r="DC14" s="569">
        <f t="shared" ca="1" si="9"/>
        <v>0.98853877622646058</v>
      </c>
      <c r="DD14" s="569">
        <f t="shared" ca="1" si="10"/>
        <v>9.8239060916051803E-3</v>
      </c>
      <c r="DE14" s="569">
        <f t="shared" ca="1" si="11"/>
        <v>0</v>
      </c>
      <c r="DF14" s="569">
        <f t="shared" ca="1" si="12"/>
        <v>1.6373176819341967E-3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7</v>
      </c>
      <c r="F15" s="508">
        <f>E15-1</f>
        <v>6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1.8360000000000001</v>
      </c>
      <c r="AB15" s="569">
        <f t="shared" si="14"/>
        <v>0.64800000000000002</v>
      </c>
      <c r="AC15" s="569">
        <f t="shared" si="15"/>
        <v>0</v>
      </c>
      <c r="AD15" s="569">
        <f t="shared" si="16"/>
        <v>0.108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5.364705882352939</v>
      </c>
      <c r="CS15" s="584">
        <f t="shared" ca="1" si="1"/>
        <v>3.2204761904761905</v>
      </c>
      <c r="CT15" s="510"/>
      <c r="CU15" s="584">
        <f t="shared" ca="1" si="2"/>
        <v>106.69999999999999</v>
      </c>
      <c r="CV15" s="584">
        <f t="shared" ca="1" si="3"/>
        <v>0.67619047619047623</v>
      </c>
      <c r="CW15" s="584">
        <f t="shared" ca="1" si="4"/>
        <v>195.90119999999999</v>
      </c>
      <c r="CX15" s="584">
        <f t="shared" ca="1" si="5"/>
        <v>0.4381714285714286</v>
      </c>
      <c r="CY15" s="584">
        <f t="shared" ca="1" si="6"/>
        <v>0</v>
      </c>
      <c r="CZ15" s="584">
        <f t="shared" ca="1" si="7"/>
        <v>7.3028571428571429E-2</v>
      </c>
      <c r="DA15" s="691">
        <f t="shared" ca="1" si="8"/>
        <v>196.41239999999999</v>
      </c>
      <c r="DB15" s="539"/>
      <c r="DC15" s="569">
        <f t="shared" ca="1" si="9"/>
        <v>0.99739731300060486</v>
      </c>
      <c r="DD15" s="569">
        <f t="shared" ca="1" si="10"/>
        <v>2.2308745709101289E-3</v>
      </c>
      <c r="DE15" s="569">
        <f t="shared" ca="1" si="11"/>
        <v>0</v>
      </c>
      <c r="DF15" s="569">
        <f t="shared" ca="1" si="12"/>
        <v>3.7181242848502145E-4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17</v>
      </c>
      <c r="F16" s="511">
        <f>24-E16</f>
        <v>7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1.8972</v>
      </c>
      <c r="AB16" s="569">
        <f t="shared" si="14"/>
        <v>0.66959999999999997</v>
      </c>
      <c r="AC16" s="569">
        <f t="shared" si="15"/>
        <v>0</v>
      </c>
      <c r="AD16" s="569">
        <f t="shared" si="16"/>
        <v>0.11159999999999999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-3.0425996204933585</v>
      </c>
      <c r="CS16" s="584">
        <f t="shared" ca="1" si="1"/>
        <v>-5.2129032258064516</v>
      </c>
      <c r="CT16" s="510"/>
      <c r="CU16" s="584">
        <f t="shared" ca="1" si="2"/>
        <v>88.470588235294102</v>
      </c>
      <c r="CV16" s="584">
        <f t="shared" ca="1" si="3"/>
        <v>0</v>
      </c>
      <c r="CW16" s="584">
        <f t="shared" ca="1" si="4"/>
        <v>167.84639999999996</v>
      </c>
      <c r="CX16" s="584">
        <f t="shared" ca="1" si="5"/>
        <v>0</v>
      </c>
      <c r="CY16" s="584">
        <f t="shared" ca="1" si="6"/>
        <v>0</v>
      </c>
      <c r="CZ16" s="584">
        <f t="shared" ca="1" si="7"/>
        <v>0</v>
      </c>
      <c r="DA16" s="691">
        <f t="shared" ca="1" si="8"/>
        <v>167.84639999999996</v>
      </c>
      <c r="DB16" s="539"/>
      <c r="DC16" s="569">
        <f t="shared" ca="1" si="9"/>
        <v>1</v>
      </c>
      <c r="DD16" s="569">
        <f t="shared" ca="1" si="10"/>
        <v>0</v>
      </c>
      <c r="DE16" s="569">
        <f t="shared" ca="1" si="11"/>
        <v>0</v>
      </c>
      <c r="DF16" s="569">
        <f t="shared" ca="1" si="12"/>
        <v>0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119</v>
      </c>
      <c r="F17" s="511">
        <f>F16*F15</f>
        <v>42</v>
      </c>
      <c r="G17" s="513">
        <f>(7-E15)*E16</f>
        <v>0</v>
      </c>
      <c r="H17" s="513">
        <f>I17-G17</f>
        <v>7</v>
      </c>
      <c r="I17" s="513">
        <f>D17-E17-F17</f>
        <v>7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0.70833333333333337</v>
      </c>
      <c r="F18" s="517">
        <f>F17/D17</f>
        <v>0.25</v>
      </c>
      <c r="G18" s="517">
        <f>G17/D17</f>
        <v>0</v>
      </c>
      <c r="H18" s="517">
        <f>H17/D17</f>
        <v>4.1666666666666664E-2</v>
      </c>
      <c r="I18" s="517">
        <f>I17/D17</f>
        <v>4.1666666666666664E-2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1</v>
      </c>
      <c r="CH18" s="581">
        <f t="shared" si="17"/>
        <v>1</v>
      </c>
      <c r="CI18" s="581">
        <f t="shared" si="17"/>
        <v>1</v>
      </c>
      <c r="CJ18" s="581">
        <f t="shared" si="17"/>
        <v>1</v>
      </c>
      <c r="CK18" s="581">
        <f t="shared" si="17"/>
        <v>1</v>
      </c>
      <c r="CL18" s="581">
        <f t="shared" si="17"/>
        <v>1</v>
      </c>
      <c r="CM18" s="581">
        <f t="shared" si="17"/>
        <v>1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0</v>
      </c>
      <c r="CH19" s="581">
        <f>IF(AND(((BJ4-8)&gt;=0),((BJ4-8)&lt;Calcs!$E$16)),0,1)</f>
        <v>0</v>
      </c>
      <c r="CI19" s="581">
        <f>IF(AND(((BK4-8)&gt;=0),((BK4-8)&lt;Calcs!$E$16)),0,1)</f>
        <v>0</v>
      </c>
      <c r="CJ19" s="581">
        <f>IF(AND(((BL4-8)&gt;=0),((BL4-8)&lt;Calcs!$E$16)),0,1)</f>
        <v>0</v>
      </c>
      <c r="CK19" s="581">
        <f>IF(AND(((BM4-8)&gt;=0),((BM4-8)&lt;Calcs!$E$16)),0,1)</f>
        <v>0</v>
      </c>
      <c r="CL19" s="581">
        <f>IF(AND(((BN4-8)&gt;=0),((BN4-8)&lt;Calcs!$E$16)),0,1)</f>
        <v>0</v>
      </c>
      <c r="CM19" s="581">
        <f>IF(AND(((BO4-8)&gt;=0),((BO4-8)&lt;Calcs!$E$16)),0,1)</f>
        <v>0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0.88978615223568114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0.99118289217885458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0.97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4000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2800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20671.864000000001</v>
      </c>
      <c r="E47" s="536">
        <f>D34*C2</f>
        <v>18804</v>
      </c>
      <c r="F47" s="536">
        <f>D47+E47</f>
        <v>39475.864000000001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1755.6925589041098</v>
      </c>
      <c r="E48" s="536">
        <f t="shared" si="18"/>
        <v>1597.0520547945205</v>
      </c>
      <c r="F48" s="536">
        <f t="shared" ref="F48:F59" si="19">D48+E48</f>
        <v>3352.74461369863</v>
      </c>
      <c r="G48" s="539"/>
      <c r="H48" s="536">
        <f t="shared" ref="H48:H59" si="20">D48*$N$22</f>
        <v>6338.2402848523816</v>
      </c>
      <c r="I48" s="536">
        <f t="shared" ref="I48:I59" si="21">E48*$N$22</f>
        <v>5765.5308837347302</v>
      </c>
      <c r="J48" s="750">
        <f t="shared" ref="J48:J59" si="22">H48+I48</f>
        <v>12103.771168587111</v>
      </c>
      <c r="K48" s="548"/>
      <c r="L48" s="555"/>
      <c r="M48" s="539" t="s">
        <v>671</v>
      </c>
      <c r="N48" s="558">
        <f>Inputs!C35</f>
        <v>1270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0.1381844288449266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1585.7868273972604</v>
      </c>
      <c r="E49" s="536">
        <f t="shared" si="18"/>
        <v>1442.4986301369863</v>
      </c>
      <c r="F49" s="536">
        <f t="shared" si="19"/>
        <v>3028.2854575342467</v>
      </c>
      <c r="G49" s="539"/>
      <c r="H49" s="536">
        <f t="shared" si="20"/>
        <v>5724.8621927698923</v>
      </c>
      <c r="I49" s="536">
        <f t="shared" si="21"/>
        <v>5207.5762820829832</v>
      </c>
      <c r="J49" s="750">
        <f t="shared" si="22"/>
        <v>10932.438474852876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0.12481174218251437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1755.6925589041098</v>
      </c>
      <c r="E50" s="536">
        <f t="shared" si="18"/>
        <v>1597.0520547945205</v>
      </c>
      <c r="F50" s="536">
        <f t="shared" si="19"/>
        <v>3352.74461369863</v>
      </c>
      <c r="G50" s="539"/>
      <c r="H50" s="536">
        <f t="shared" si="20"/>
        <v>6338.2402848523816</v>
      </c>
      <c r="I50" s="536">
        <f t="shared" si="21"/>
        <v>5765.5308837347302</v>
      </c>
      <c r="J50" s="750">
        <f t="shared" si="22"/>
        <v>12103.771168587111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0.1381844288449266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1699.0573150684934</v>
      </c>
      <c r="E51" s="536">
        <f t="shared" si="18"/>
        <v>1545.5342465753424</v>
      </c>
      <c r="F51" s="536">
        <f t="shared" si="19"/>
        <v>3244.591561643836</v>
      </c>
      <c r="G51" s="539"/>
      <c r="H51" s="536">
        <f t="shared" si="20"/>
        <v>6133.7809208248855</v>
      </c>
      <c r="I51" s="536">
        <f t="shared" si="21"/>
        <v>5579.5460165174809</v>
      </c>
      <c r="J51" s="750">
        <f t="shared" si="22"/>
        <v>11713.326937342366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0.13372686662412253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1755.6925589041098</v>
      </c>
      <c r="E52" s="536">
        <f t="shared" si="18"/>
        <v>1597.0520547945205</v>
      </c>
      <c r="F52" s="536">
        <f t="shared" si="19"/>
        <v>3352.74461369863</v>
      </c>
      <c r="G52" s="539"/>
      <c r="H52" s="536">
        <f t="shared" si="20"/>
        <v>6338.2402848523816</v>
      </c>
      <c r="I52" s="536">
        <f t="shared" si="21"/>
        <v>5765.5308837347302</v>
      </c>
      <c r="J52" s="750">
        <f t="shared" si="22"/>
        <v>12103.771168587111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0.1381844288449266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1699.0573150684934</v>
      </c>
      <c r="E53" s="536">
        <f t="shared" si="18"/>
        <v>1545.5342465753424</v>
      </c>
      <c r="F53" s="536">
        <f t="shared" si="19"/>
        <v>3244.591561643836</v>
      </c>
      <c r="G53" s="539"/>
      <c r="H53" s="536">
        <f t="shared" si="20"/>
        <v>6133.7809208248855</v>
      </c>
      <c r="I53" s="536">
        <f t="shared" si="21"/>
        <v>5579.5460165174809</v>
      </c>
      <c r="J53" s="750">
        <f t="shared" si="22"/>
        <v>11713.326937342366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0.13372686662412253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1755.6925589041098</v>
      </c>
      <c r="E54" s="536">
        <f t="shared" si="18"/>
        <v>1597.0520547945205</v>
      </c>
      <c r="F54" s="536">
        <f t="shared" si="19"/>
        <v>3352.74461369863</v>
      </c>
      <c r="G54" s="539"/>
      <c r="H54" s="536">
        <f t="shared" si="20"/>
        <v>6338.2402848523816</v>
      </c>
      <c r="I54" s="536">
        <f t="shared" si="21"/>
        <v>5765.5308837347302</v>
      </c>
      <c r="J54" s="750">
        <f t="shared" si="22"/>
        <v>12103.771168587111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0.1381844288449266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1755.6925589041098</v>
      </c>
      <c r="E55" s="536">
        <f t="shared" si="18"/>
        <v>1597.0520547945205</v>
      </c>
      <c r="F55" s="536">
        <f t="shared" si="19"/>
        <v>3352.74461369863</v>
      </c>
      <c r="G55" s="539"/>
      <c r="H55" s="536">
        <f t="shared" si="20"/>
        <v>6338.2402848523816</v>
      </c>
      <c r="I55" s="536">
        <f t="shared" si="21"/>
        <v>5765.5308837347302</v>
      </c>
      <c r="J55" s="750">
        <f t="shared" si="22"/>
        <v>12103.771168587111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0.1381844288449266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1699.0573150684934</v>
      </c>
      <c r="E56" s="536">
        <f t="shared" si="18"/>
        <v>1545.5342465753424</v>
      </c>
      <c r="F56" s="536">
        <f t="shared" si="19"/>
        <v>3244.591561643836</v>
      </c>
      <c r="G56" s="539"/>
      <c r="H56" s="536">
        <f t="shared" si="20"/>
        <v>6133.7809208248855</v>
      </c>
      <c r="I56" s="536">
        <f t="shared" si="21"/>
        <v>5579.5460165174809</v>
      </c>
      <c r="J56" s="750">
        <f t="shared" si="22"/>
        <v>11713.326937342366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0.13372686662412253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1755.6925589041098</v>
      </c>
      <c r="E57" s="536">
        <f t="shared" si="18"/>
        <v>1597.0520547945205</v>
      </c>
      <c r="F57" s="536">
        <f t="shared" si="19"/>
        <v>3352.74461369863</v>
      </c>
      <c r="G57" s="539"/>
      <c r="H57" s="536">
        <f t="shared" si="20"/>
        <v>6338.2402848523816</v>
      </c>
      <c r="I57" s="536">
        <f t="shared" si="21"/>
        <v>5765.5308837347302</v>
      </c>
      <c r="J57" s="750">
        <f t="shared" si="22"/>
        <v>12103.771168587111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0.1381844288449266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1699.0573150684934</v>
      </c>
      <c r="E58" s="536">
        <f t="shared" si="18"/>
        <v>1545.5342465753424</v>
      </c>
      <c r="F58" s="536">
        <f t="shared" si="19"/>
        <v>3244.591561643836</v>
      </c>
      <c r="G58" s="539"/>
      <c r="H58" s="536">
        <f t="shared" si="20"/>
        <v>6133.7809208248855</v>
      </c>
      <c r="I58" s="536">
        <f t="shared" si="21"/>
        <v>5579.5460165174809</v>
      </c>
      <c r="J58" s="750">
        <f t="shared" si="22"/>
        <v>11713.326937342366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0.13372686662412253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1755.6925589041098</v>
      </c>
      <c r="E59" s="536">
        <f t="shared" si="18"/>
        <v>1597.0520547945205</v>
      </c>
      <c r="F59" s="536">
        <f t="shared" si="19"/>
        <v>3352.74461369863</v>
      </c>
      <c r="G59" s="539"/>
      <c r="H59" s="536">
        <f t="shared" si="20"/>
        <v>6338.2402848523816</v>
      </c>
      <c r="I59" s="536">
        <f t="shared" si="21"/>
        <v>5765.5308837347302</v>
      </c>
      <c r="J59" s="750">
        <f t="shared" si="22"/>
        <v>12103.771168587111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0.1381844288449266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1.6270102105934903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481.6</v>
      </c>
      <c r="E67" s="558">
        <f>Inputs!D78</f>
        <v>0</v>
      </c>
      <c r="F67" s="558">
        <f>Inputs!E78</f>
        <v>172.56</v>
      </c>
      <c r="G67" s="558">
        <f>Inputs!F78</f>
        <v>0</v>
      </c>
      <c r="H67" s="558">
        <f>Inputs!G78</f>
        <v>481.6</v>
      </c>
      <c r="I67" s="558">
        <f>Inputs!H78</f>
        <v>0</v>
      </c>
      <c r="J67" s="558">
        <f>Inputs!I78</f>
        <v>172.56</v>
      </c>
      <c r="K67" s="558">
        <f>Inputs!J78</f>
        <v>0</v>
      </c>
      <c r="L67" s="558">
        <f>Inputs!K78</f>
        <v>783.66</v>
      </c>
      <c r="M67" s="342">
        <f>SUM(D67:L67)</f>
        <v>2091.98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83.2</v>
      </c>
      <c r="E68" s="558">
        <f>Inputs!D83</f>
        <v>0</v>
      </c>
      <c r="F68" s="558">
        <f>Inputs!E83</f>
        <v>33.659999999999997</v>
      </c>
      <c r="G68" s="558">
        <f>Inputs!F83</f>
        <v>0</v>
      </c>
      <c r="H68" s="558">
        <f>Inputs!G83</f>
        <v>83.2</v>
      </c>
      <c r="I68" s="558">
        <f>Inputs!H83</f>
        <v>0</v>
      </c>
      <c r="J68" s="558">
        <f>Inputs!I83</f>
        <v>33.659999999999997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0.36299999999999999</v>
      </c>
      <c r="E73" s="539">
        <f>Inputs!D79</f>
        <v>0.36299999999999999</v>
      </c>
      <c r="F73" s="539">
        <f>Inputs!E79</f>
        <v>0.36299999999999999</v>
      </c>
      <c r="G73" s="539">
        <f>Inputs!F79</f>
        <v>0.36299999999999999</v>
      </c>
      <c r="H73" s="539">
        <f>Inputs!G79</f>
        <v>0.36299999999999999</v>
      </c>
      <c r="I73" s="539">
        <f>Inputs!H79</f>
        <v>0.36299999999999999</v>
      </c>
      <c r="J73" s="539">
        <f>Inputs!I79</f>
        <v>0.36299999999999999</v>
      </c>
      <c r="K73" s="570">
        <f>Inputs!J79</f>
        <v>0.36299999999999999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174.82079999999999</v>
      </c>
      <c r="E78" s="599">
        <f t="shared" si="25"/>
        <v>0</v>
      </c>
      <c r="F78" s="599">
        <f t="shared" si="25"/>
        <v>62.639279999999999</v>
      </c>
      <c r="G78" s="599">
        <f t="shared" si="25"/>
        <v>0</v>
      </c>
      <c r="H78" s="599">
        <f t="shared" si="25"/>
        <v>174.82079999999999</v>
      </c>
      <c r="I78" s="599">
        <f t="shared" si="25"/>
        <v>0</v>
      </c>
      <c r="J78" s="599">
        <f t="shared" si="25"/>
        <v>62.639279999999999</v>
      </c>
      <c r="K78" s="599">
        <f t="shared" si="25"/>
        <v>0</v>
      </c>
      <c r="L78" s="599">
        <f t="shared" si="25"/>
        <v>211.5882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220.7296</v>
      </c>
      <c r="E79" s="599">
        <f t="shared" si="26"/>
        <v>0</v>
      </c>
      <c r="F79" s="599">
        <f t="shared" si="26"/>
        <v>89.299979999999991</v>
      </c>
      <c r="G79" s="599">
        <f t="shared" si="26"/>
        <v>0</v>
      </c>
      <c r="H79" s="599">
        <f t="shared" si="26"/>
        <v>220.7296</v>
      </c>
      <c r="I79" s="599">
        <f t="shared" si="26"/>
        <v>0</v>
      </c>
      <c r="J79" s="599">
        <f t="shared" si="26"/>
        <v>89.299979999999991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395.55039999999997</v>
      </c>
      <c r="E81" s="595">
        <f t="shared" si="27"/>
        <v>0</v>
      </c>
      <c r="F81" s="595">
        <f t="shared" si="27"/>
        <v>151.93925999999999</v>
      </c>
      <c r="G81" s="595">
        <f t="shared" si="27"/>
        <v>0</v>
      </c>
      <c r="H81" s="595">
        <f t="shared" si="27"/>
        <v>395.55039999999997</v>
      </c>
      <c r="I81" s="595">
        <f t="shared" si="27"/>
        <v>0</v>
      </c>
      <c r="J81" s="595">
        <f t="shared" si="27"/>
        <v>151.93925999999999</v>
      </c>
      <c r="K81" s="595">
        <f t="shared" si="27"/>
        <v>0</v>
      </c>
      <c r="L81" s="595">
        <f t="shared" si="27"/>
        <v>211.5882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1306.5675199999998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83.2</v>
      </c>
      <c r="E116" s="631">
        <f>Calcs!E68</f>
        <v>0</v>
      </c>
      <c r="F116" s="631">
        <f>Calcs!F68</f>
        <v>33.659999999999997</v>
      </c>
      <c r="G116" s="631">
        <f>Calcs!G68</f>
        <v>0</v>
      </c>
      <c r="H116" s="631">
        <f>Calcs!H68</f>
        <v>83.2</v>
      </c>
      <c r="I116" s="631">
        <f>Calcs!I68</f>
        <v>0</v>
      </c>
      <c r="J116" s="631">
        <f>Calcs!J68</f>
        <v>33.659999999999997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481.6</v>
      </c>
      <c r="AC116" s="631">
        <f>Calcs!E67</f>
        <v>0</v>
      </c>
      <c r="AD116" s="631">
        <f>Calcs!F67</f>
        <v>172.56</v>
      </c>
      <c r="AE116" s="631">
        <f>Calcs!G67</f>
        <v>0</v>
      </c>
      <c r="AF116" s="631">
        <f>Calcs!H67</f>
        <v>481.6</v>
      </c>
      <c r="AG116" s="631">
        <f>Calcs!I67</f>
        <v>0</v>
      </c>
      <c r="AH116" s="631">
        <f>Calcs!J67</f>
        <v>172.56</v>
      </c>
      <c r="AI116" s="631">
        <f>Calcs!K67</f>
        <v>0</v>
      </c>
      <c r="AJ116" s="631">
        <f>Calcs!L67</f>
        <v>783.66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0.36299999999999999</v>
      </c>
      <c r="AC117" s="664">
        <f>Calcs!E73</f>
        <v>0.36299999999999999</v>
      </c>
      <c r="AD117" s="664">
        <f>Calcs!F73</f>
        <v>0.36299999999999999</v>
      </c>
      <c r="AE117" s="664">
        <f>Calcs!G73</f>
        <v>0.36299999999999999</v>
      </c>
      <c r="AF117" s="664">
        <f>Calcs!H73</f>
        <v>0.36299999999999999</v>
      </c>
      <c r="AG117" s="664">
        <f>Calcs!I73</f>
        <v>0.36299999999999999</v>
      </c>
      <c r="AH117" s="664">
        <f>Calcs!J73</f>
        <v>0.36299999999999999</v>
      </c>
      <c r="AI117" s="664">
        <f>Calcs!K73</f>
        <v>0.36299999999999999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23.924160000000004</v>
      </c>
      <c r="E135" s="678">
        <f t="shared" si="38"/>
        <v>0</v>
      </c>
      <c r="F135" s="678">
        <f t="shared" si="38"/>
        <v>9.6789330000000007</v>
      </c>
      <c r="G135" s="678">
        <f t="shared" si="38"/>
        <v>0</v>
      </c>
      <c r="H135" s="678">
        <f t="shared" si="38"/>
        <v>23.924160000000004</v>
      </c>
      <c r="I135" s="678">
        <f t="shared" si="38"/>
        <v>0</v>
      </c>
      <c r="J135" s="678">
        <f t="shared" si="38"/>
        <v>9.6789330000000007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5.3206330434782609</v>
      </c>
      <c r="AC135" s="669">
        <f t="shared" si="40"/>
        <v>0</v>
      </c>
      <c r="AD135" s="669">
        <f t="shared" si="40"/>
        <v>1.9064128695652172</v>
      </c>
      <c r="AE135" s="669">
        <f t="shared" si="40"/>
        <v>0</v>
      </c>
      <c r="AF135" s="669">
        <f t="shared" si="40"/>
        <v>5.3206330434782609</v>
      </c>
      <c r="AG135" s="669">
        <f t="shared" si="40"/>
        <v>0</v>
      </c>
      <c r="AH135" s="669">
        <f t="shared" si="40"/>
        <v>1.9064128695652172</v>
      </c>
      <c r="AI135" s="669">
        <f t="shared" si="40"/>
        <v>0</v>
      </c>
      <c r="AJ135" s="669">
        <f t="shared" si="40"/>
        <v>6.439640869565217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376.24476521739126</v>
      </c>
      <c r="AC140" s="632">
        <f t="shared" si="42"/>
        <v>0</v>
      </c>
      <c r="AD140" s="632">
        <f t="shared" si="42"/>
        <v>134.81062434782606</v>
      </c>
      <c r="AE140" s="632">
        <f t="shared" si="42"/>
        <v>0</v>
      </c>
      <c r="AF140" s="632">
        <f t="shared" si="42"/>
        <v>376.24476521739126</v>
      </c>
      <c r="AG140" s="632">
        <f t="shared" si="42"/>
        <v>0</v>
      </c>
      <c r="AH140" s="632">
        <f t="shared" si="42"/>
        <v>134.81062434782606</v>
      </c>
      <c r="AI140" s="632">
        <f t="shared" si="42"/>
        <v>0</v>
      </c>
      <c r="AJ140" s="632">
        <f t="shared" si="42"/>
        <v>455.37460434782611</v>
      </c>
      <c r="AK140" s="649">
        <f>SUM(AB140:AJ140)</f>
        <v>1477.4853834782607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8028.9520339627952</v>
      </c>
      <c r="E144" s="632">
        <f ca="1">(E$118*E$119*E$135*Calcs!AJ5)*Calcs!$O5</f>
        <v>0</v>
      </c>
      <c r="F144" s="632">
        <f ca="1">(F$118*F$119*F$135*Calcs!AK5)*Calcs!$O5</f>
        <v>1115.3890505151178</v>
      </c>
      <c r="G144" s="632">
        <f ca="1">(G$118*G$119*G$135*Calcs!AL5)*Calcs!$O5</f>
        <v>0</v>
      </c>
      <c r="H144" s="632">
        <f ca="1">(H$118*H$119*H$135*Calcs!AM5)*Calcs!$O5</f>
        <v>1474.6354698371788</v>
      </c>
      <c r="I144" s="632">
        <f ca="1">(I$118*I$119*I$135*Calcs!AN5)*Calcs!$O5</f>
        <v>0</v>
      </c>
      <c r="J144" s="632">
        <f ca="1">(J$118*J$119*J$135*Calcs!AO5)*Calcs!$O5</f>
        <v>1524.8035841008236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12143.780138415917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1281.7383355986158</v>
      </c>
      <c r="AC144" s="632">
        <f ca="1">(AC$135*Calcs!AJ5-AC$140*AC$122)*Calcs!$O5</f>
        <v>0</v>
      </c>
      <c r="AD144" s="632">
        <f ca="1">(AD$135*Calcs!AK5-AD$140*AD$122)*Calcs!$O5</f>
        <v>39.154427235802508</v>
      </c>
      <c r="AE144" s="632">
        <f ca="1">(AE$135*Calcs!AL5-AE$140*AE$122)*Calcs!$O5</f>
        <v>0</v>
      </c>
      <c r="AF144" s="632">
        <f ca="1">(AF$135*Calcs!AM5-AF$140*AF$122)*Calcs!$O5</f>
        <v>-175.91423354085012</v>
      </c>
      <c r="AG144" s="632">
        <f ca="1">(AG$135*Calcs!AN5-AG$140*AG$122)*Calcs!$O5</f>
        <v>0</v>
      </c>
      <c r="AH144" s="632">
        <f ca="1">(AH$135*Calcs!AO5-AH$140*AH$122)*Calcs!$O5</f>
        <v>119.79483830330662</v>
      </c>
      <c r="AI144" s="632">
        <f ca="1">(AI$135*Calcs!AP5-AI$140*AI$122)*Calcs!$O5</f>
        <v>0</v>
      </c>
      <c r="AJ144" s="632">
        <f ca="1">(AJ$135*Calcs!AQ5-AJ$140*AJ$122)*Calcs!$O5</f>
        <v>49.730824810465414</v>
      </c>
      <c r="AK144" s="682">
        <f t="shared" ref="AK144:AK155" ca="1" si="47">SUM(AB144:AJ144)</f>
        <v>1314.5041924073403</v>
      </c>
      <c r="AL144" s="510"/>
      <c r="AM144" s="685">
        <f t="shared" ref="AM144:AM155" ca="1" si="48">M144+Y144+AK144</f>
        <v>13458.284330823259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8292.6309675451939</v>
      </c>
      <c r="E145" s="632">
        <f ca="1">(E$118*E$119*E$135*Calcs!AJ6)*Calcs!$O6</f>
        <v>0</v>
      </c>
      <c r="F145" s="632">
        <f ca="1">(F$118*F$119*F$135*Calcs!AK6)*Calcs!$O6</f>
        <v>1415.2414137040348</v>
      </c>
      <c r="G145" s="632">
        <f ca="1">(G$118*G$119*G$135*Calcs!AL6)*Calcs!$O6</f>
        <v>0</v>
      </c>
      <c r="H145" s="632">
        <f ca="1">(H$118*H$119*H$135*Calcs!AM6)*Calcs!$O6</f>
        <v>1857.7818411017283</v>
      </c>
      <c r="I145" s="632">
        <f ca="1">(I$118*I$119*I$135*Calcs!AN6)*Calcs!$O6</f>
        <v>0</v>
      </c>
      <c r="J145" s="632">
        <f ca="1">(J$118*J$119*J$135*Calcs!AO6)*Calcs!$O6</f>
        <v>1861.4984072561278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13427.152629607084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1389.1407483057606</v>
      </c>
      <c r="AC145" s="632">
        <f ca="1">(AC$135*Calcs!AJ6-AC$140*AC$122)*Calcs!$O6</f>
        <v>0</v>
      </c>
      <c r="AD145" s="632">
        <f ca="1">(AD$135*Calcs!AK6-AD$140*AD$122)*Calcs!$O6</f>
        <v>115.68636159780252</v>
      </c>
      <c r="AE145" s="632">
        <f ca="1">(AE$135*Calcs!AL6-AE$140*AE$122)*Calcs!$O6</f>
        <v>0</v>
      </c>
      <c r="AF145" s="632">
        <f ca="1">(AF$135*Calcs!AM6-AF$140*AF$122)*Calcs!$O6</f>
        <v>-41.942762753867733</v>
      </c>
      <c r="AG145" s="632">
        <f ca="1">(AG$135*Calcs!AN6-AG$140*AG$122)*Calcs!$O6</f>
        <v>0</v>
      </c>
      <c r="AH145" s="632">
        <f ca="1">(AH$135*Calcs!AO6-AH$140*AH$122)*Calcs!$O6</f>
        <v>203.58345476305038</v>
      </c>
      <c r="AI145" s="632">
        <f ca="1">(AI$135*Calcs!AP6-AI$140*AI$122)*Calcs!$O6</f>
        <v>0</v>
      </c>
      <c r="AJ145" s="632">
        <f ca="1">(AJ$135*Calcs!AQ6-AJ$140*AJ$122)*Calcs!$O6</f>
        <v>516.8352727659128</v>
      </c>
      <c r="AK145" s="682">
        <f t="shared" ca="1" si="47"/>
        <v>2183.3030746786585</v>
      </c>
      <c r="AL145" s="510"/>
      <c r="AM145" s="685">
        <f t="shared" ca="1" si="48"/>
        <v>15610.455704285743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9368.6288394571784</v>
      </c>
      <c r="E146" s="632">
        <f ca="1">(E$118*E$119*E$135*Calcs!AJ7)*Calcs!$O7</f>
        <v>0</v>
      </c>
      <c r="F146" s="632">
        <f ca="1">(F$118*F$119*F$135*Calcs!AK7)*Calcs!$O7</f>
        <v>2197.1788813150847</v>
      </c>
      <c r="G146" s="632">
        <f ca="1">(G$118*G$119*G$135*Calcs!AL7)*Calcs!$O7</f>
        <v>0</v>
      </c>
      <c r="H146" s="632">
        <f ca="1">(H$118*H$119*H$135*Calcs!AM7)*Calcs!$O7</f>
        <v>2744.0754122448193</v>
      </c>
      <c r="I146" s="632">
        <f ca="1">(I$118*I$119*I$135*Calcs!AN7)*Calcs!$O7</f>
        <v>0</v>
      </c>
      <c r="J146" s="632">
        <f ca="1">(J$118*J$119*J$135*Calcs!AO7)*Calcs!$O7</f>
        <v>2591.2594752851414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16901.142608302223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1579.6768495901133</v>
      </c>
      <c r="AC146" s="632">
        <f ca="1">(AC$135*Calcs!AJ7-AC$140*AC$122)*Calcs!$O7</f>
        <v>0</v>
      </c>
      <c r="AD146" s="632">
        <f ca="1">(AD$135*Calcs!AK7-AD$140*AD$122)*Calcs!$O7</f>
        <v>252.22936593016431</v>
      </c>
      <c r="AE146" s="632">
        <f ca="1">(AE$135*Calcs!AL7-AE$140*AE$122)*Calcs!$O7</f>
        <v>0</v>
      </c>
      <c r="AF146" s="632">
        <f ca="1">(AF$135*Calcs!AM7-AF$140*AF$122)*Calcs!$O7</f>
        <v>106.403896094014</v>
      </c>
      <c r="AG146" s="632">
        <f ca="1">(AG$135*Calcs!AN7-AG$140*AG$122)*Calcs!$O7</f>
        <v>0</v>
      </c>
      <c r="AH146" s="632">
        <f ca="1">(AH$135*Calcs!AO7-AH$140*AH$122)*Calcs!$O7</f>
        <v>329.84952468014444</v>
      </c>
      <c r="AI146" s="632">
        <f ca="1">(AI$135*Calcs!AP7-AI$140*AI$122)*Calcs!$O7</f>
        <v>0</v>
      </c>
      <c r="AJ146" s="632">
        <f ca="1">(AJ$135*Calcs!AQ7-AJ$140*AJ$122)*Calcs!$O7</f>
        <v>1252.6444616399997</v>
      </c>
      <c r="AK146" s="682">
        <f t="shared" ca="1" si="47"/>
        <v>3520.804097934436</v>
      </c>
      <c r="AL146" s="510"/>
      <c r="AM146" s="685">
        <f t="shared" ca="1" si="48"/>
        <v>20421.94670623666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8033.3143564080683</v>
      </c>
      <c r="E147" s="632">
        <f ca="1">(E$118*E$119*E$135*Calcs!AJ8)*Calcs!$O8</f>
        <v>0</v>
      </c>
      <c r="F147" s="632">
        <f ca="1">(F$118*F$119*F$135*Calcs!AK8)*Calcs!$O8</f>
        <v>2632.0149840161971</v>
      </c>
      <c r="G147" s="632">
        <f ca="1">(G$118*G$119*G$135*Calcs!AL8)*Calcs!$O8</f>
        <v>0</v>
      </c>
      <c r="H147" s="632">
        <f ca="1">(H$118*H$119*H$135*Calcs!AM8)*Calcs!$O8</f>
        <v>3356.2745612950976</v>
      </c>
      <c r="I147" s="632">
        <f ca="1">(I$118*I$119*I$135*Calcs!AN8)*Calcs!$O8</f>
        <v>0</v>
      </c>
      <c r="J147" s="632">
        <f ca="1">(J$118*J$119*J$135*Calcs!AO8)*Calcs!$O8</f>
        <v>3127.0691784700798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17148.673080189441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1298.9622717082507</v>
      </c>
      <c r="AC147" s="632">
        <f ca="1">(AC$135*Calcs!AJ8-AC$140*AC$122)*Calcs!$O8</f>
        <v>0</v>
      </c>
      <c r="AD147" s="632">
        <f ca="1">(AD$135*Calcs!AK8-AD$140*AD$122)*Calcs!$O8</f>
        <v>343.70076013998238</v>
      </c>
      <c r="AE147" s="632">
        <f ca="1">(AE$135*Calcs!AL8-AE$140*AE$122)*Calcs!$O8</f>
        <v>0</v>
      </c>
      <c r="AF147" s="632">
        <f ca="1">(AF$135*Calcs!AM8-AF$140*AF$122)*Calcs!$O8</f>
        <v>258.80819818839183</v>
      </c>
      <c r="AG147" s="632">
        <f ca="1">(AG$135*Calcs!AN8-AG$140*AG$122)*Calcs!$O8</f>
        <v>0</v>
      </c>
      <c r="AH147" s="632">
        <f ca="1">(AH$135*Calcs!AO8-AH$140*AH$122)*Calcs!$O8</f>
        <v>441.20920321311081</v>
      </c>
      <c r="AI147" s="632">
        <f ca="1">(AI$135*Calcs!AP8-AI$140*AI$122)*Calcs!$O8</f>
        <v>0</v>
      </c>
      <c r="AJ147" s="632">
        <f ca="1">(AJ$135*Calcs!AQ8-AJ$140*AJ$122)*Calcs!$O8</f>
        <v>1875.7062102928696</v>
      </c>
      <c r="AK147" s="682">
        <f t="shared" ca="1" si="47"/>
        <v>4218.3866435426053</v>
      </c>
      <c r="AL147" s="510"/>
      <c r="AM147" s="685">
        <f t="shared" ca="1" si="48"/>
        <v>21367.059723732047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8470.2489790456602</v>
      </c>
      <c r="E148" s="632">
        <f ca="1">(E$118*E$119*E$135*Calcs!AJ9)*Calcs!$O9</f>
        <v>0</v>
      </c>
      <c r="F148" s="632">
        <f ca="1">(F$118*F$119*F$135*Calcs!AK9)*Calcs!$O9</f>
        <v>3576.1754291827383</v>
      </c>
      <c r="G148" s="632">
        <f ca="1">(G$118*G$119*G$135*Calcs!AL9)*Calcs!$O9</f>
        <v>0</v>
      </c>
      <c r="H148" s="632">
        <f ca="1">(H$118*H$119*H$135*Calcs!AM9)*Calcs!$O9</f>
        <v>4905.8808259576817</v>
      </c>
      <c r="I148" s="632">
        <f ca="1">(I$118*I$119*I$135*Calcs!AN9)*Calcs!$O9</f>
        <v>0</v>
      </c>
      <c r="J148" s="632">
        <f ca="1">(J$118*J$119*J$135*Calcs!AO9)*Calcs!$O9</f>
        <v>4117.8862037944255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21070.191437980509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1379.8809290269289</v>
      </c>
      <c r="AC148" s="632">
        <f ca="1">(AC$135*Calcs!AJ9-AC$140*AC$122)*Calcs!$O9</f>
        <v>0</v>
      </c>
      <c r="AD148" s="632">
        <f ca="1">(AD$135*Calcs!AK9-AD$140*AD$122)*Calcs!$O9</f>
        <v>523.84368188223277</v>
      </c>
      <c r="AE148" s="632">
        <f ca="1">(AE$135*Calcs!AL9-AE$140*AE$122)*Calcs!$O9</f>
        <v>0</v>
      </c>
      <c r="AF148" s="632">
        <f ca="1">(AF$135*Calcs!AM9-AF$140*AF$122)*Calcs!$O9</f>
        <v>587.1803713295435</v>
      </c>
      <c r="AG148" s="632">
        <f ca="1">(AG$135*Calcs!AN9-AG$140*AG$122)*Calcs!$O9</f>
        <v>0</v>
      </c>
      <c r="AH148" s="632">
        <f ca="1">(AH$135*Calcs!AO9-AH$140*AH$122)*Calcs!$O9</f>
        <v>630.5418470934045</v>
      </c>
      <c r="AI148" s="632">
        <f ca="1">(AI$135*Calcs!AP9-AI$140*AI$122)*Calcs!$O9</f>
        <v>0</v>
      </c>
      <c r="AJ148" s="632">
        <f ca="1">(AJ$135*Calcs!AQ9-AJ$140*AJ$122)*Calcs!$O9</f>
        <v>3074.9675210420869</v>
      </c>
      <c r="AK148" s="682">
        <f t="shared" ca="1" si="47"/>
        <v>6196.4143503741961</v>
      </c>
      <c r="AL148" s="510"/>
      <c r="AM148" s="685">
        <f t="shared" ca="1" si="48"/>
        <v>27266.605788354704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7508.3200854110546</v>
      </c>
      <c r="E149" s="632">
        <f ca="1">(E$118*E$119*E$135*Calcs!AJ10)*Calcs!$O10</f>
        <v>0</v>
      </c>
      <c r="F149" s="632">
        <f ca="1">(F$118*F$119*F$135*Calcs!AK10)*Calcs!$O10</f>
        <v>3715.1055486590622</v>
      </c>
      <c r="G149" s="632">
        <f ca="1">(G$118*G$119*G$135*Calcs!AL10)*Calcs!$O10</f>
        <v>0</v>
      </c>
      <c r="H149" s="632">
        <f ca="1">(H$118*H$119*H$135*Calcs!AM10)*Calcs!$O10</f>
        <v>5455.0438911964875</v>
      </c>
      <c r="I149" s="632">
        <f ca="1">(I$118*I$119*I$135*Calcs!AN10)*Calcs!$O10</f>
        <v>0</v>
      </c>
      <c r="J149" s="632">
        <f ca="1">(J$118*J$119*J$135*Calcs!AO10)*Calcs!$O10</f>
        <v>4133.3796833210181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20811.849208587624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1182.2057433326047</v>
      </c>
      <c r="AC149" s="632">
        <f ca="1">(AC$135*Calcs!AJ10-AC$140*AC$122)*Calcs!$O10</f>
        <v>0</v>
      </c>
      <c r="AD149" s="632">
        <f ca="1">(AD$135*Calcs!AK10-AD$140*AD$122)*Calcs!$O10</f>
        <v>557.03189812180494</v>
      </c>
      <c r="AE149" s="632">
        <f ca="1">(AE$135*Calcs!AL10-AE$140*AE$122)*Calcs!$O10</f>
        <v>0</v>
      </c>
      <c r="AF149" s="632">
        <f ca="1">(AF$135*Calcs!AM10-AF$140*AF$122)*Calcs!$O10</f>
        <v>725.56571223745607</v>
      </c>
      <c r="AG149" s="632">
        <f ca="1">(AG$135*Calcs!AN10-AG$140*AG$122)*Calcs!$O10</f>
        <v>0</v>
      </c>
      <c r="AH149" s="632">
        <f ca="1">(AH$135*Calcs!AO10-AH$140*AH$122)*Calcs!$O10</f>
        <v>639.41734219149794</v>
      </c>
      <c r="AI149" s="632">
        <f ca="1">(AI$135*Calcs!AP10-AI$140*AI$122)*Calcs!$O10</f>
        <v>0</v>
      </c>
      <c r="AJ149" s="632">
        <f ca="1">(AJ$135*Calcs!AQ10-AJ$140*AJ$122)*Calcs!$O10</f>
        <v>3196.6800452921743</v>
      </c>
      <c r="AK149" s="682">
        <f t="shared" ca="1" si="47"/>
        <v>6300.9007411755374</v>
      </c>
      <c r="AL149" s="510"/>
      <c r="AM149" s="685">
        <f t="shared" ca="1" si="48"/>
        <v>27112.749949763162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8338.4887070640143</v>
      </c>
      <c r="E150" s="632">
        <f ca="1">(E$118*E$119*E$135*Calcs!AJ11)*Calcs!$O11</f>
        <v>0</v>
      </c>
      <c r="F150" s="632">
        <f ca="1">(F$118*F$119*F$135*Calcs!AK11)*Calcs!$O11</f>
        <v>3648.0176607212934</v>
      </c>
      <c r="G150" s="632">
        <f ca="1">(G$118*G$119*G$135*Calcs!AL11)*Calcs!$O11</f>
        <v>0</v>
      </c>
      <c r="H150" s="632">
        <f ca="1">(H$118*H$119*H$135*Calcs!AM11)*Calcs!$O11</f>
        <v>5450.4874074863274</v>
      </c>
      <c r="I150" s="632">
        <f ca="1">(I$118*I$119*I$135*Calcs!AN11)*Calcs!$O11</f>
        <v>0</v>
      </c>
      <c r="J150" s="632">
        <f ca="1">(J$118*J$119*J$135*Calcs!AO11)*Calcs!$O11</f>
        <v>4307.2153154723319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21744.209090743967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1350.5779960535988</v>
      </c>
      <c r="AC150" s="632">
        <f ca="1">(AC$135*Calcs!AJ11-AC$140*AC$122)*Calcs!$O11</f>
        <v>0</v>
      </c>
      <c r="AD150" s="632">
        <f ca="1">(AD$135*Calcs!AK11-AD$140*AD$122)*Calcs!$O11</f>
        <v>537.99410060952266</v>
      </c>
      <c r="AE150" s="632">
        <f ca="1">(AE$135*Calcs!AL11-AE$140*AE$122)*Calcs!$O11</f>
        <v>0</v>
      </c>
      <c r="AF150" s="632">
        <f ca="1">(AF$135*Calcs!AM11-AF$140*AF$122)*Calcs!$O11</f>
        <v>708.29859547522108</v>
      </c>
      <c r="AG150" s="632">
        <f ca="1">(AG$135*Calcs!AN11-AG$140*AG$122)*Calcs!$O11</f>
        <v>0</v>
      </c>
      <c r="AH150" s="632">
        <f ca="1">(AH$135*Calcs!AO11-AH$140*AH$122)*Calcs!$O11</f>
        <v>667.83309139544826</v>
      </c>
      <c r="AI150" s="632">
        <f ca="1">(AI$135*Calcs!AP11-AI$140*AI$122)*Calcs!$O11</f>
        <v>0</v>
      </c>
      <c r="AJ150" s="632">
        <f ca="1">(AJ$135*Calcs!AQ11-AJ$140*AJ$122)*Calcs!$O11</f>
        <v>3219.3494210504341</v>
      </c>
      <c r="AK150" s="682">
        <f t="shared" ca="1" si="47"/>
        <v>6484.0532045842247</v>
      </c>
      <c r="AL150" s="510"/>
      <c r="AM150" s="685">
        <f t="shared" ca="1" si="48"/>
        <v>28228.26229532819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8720.7432756437083</v>
      </c>
      <c r="E151" s="632">
        <f ca="1">(E$118*E$119*E$135*Calcs!AJ12)*Calcs!$O12</f>
        <v>0</v>
      </c>
      <c r="F151" s="632">
        <f ca="1">(F$118*F$119*F$135*Calcs!AK12)*Calcs!$O12</f>
        <v>3207.9482151416655</v>
      </c>
      <c r="G151" s="632">
        <f ca="1">(G$118*G$119*G$135*Calcs!AL12)*Calcs!$O12</f>
        <v>0</v>
      </c>
      <c r="H151" s="632">
        <f ca="1">(H$118*H$119*H$135*Calcs!AM12)*Calcs!$O12</f>
        <v>4245.6042392339041</v>
      </c>
      <c r="I151" s="632">
        <f ca="1">(I$118*I$119*I$135*Calcs!AN12)*Calcs!$O12</f>
        <v>0</v>
      </c>
      <c r="J151" s="632">
        <f ca="1">(J$118*J$119*J$135*Calcs!AO12)*Calcs!$O12</f>
        <v>3716.5825304834734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19890.878260502752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1435.5898120841571</v>
      </c>
      <c r="AC151" s="632">
        <f ca="1">(AC$135*Calcs!AJ12-AC$140*AC$122)*Calcs!$O12</f>
        <v>0</v>
      </c>
      <c r="AD151" s="632">
        <f ca="1">(AD$135*Calcs!AK12-AD$140*AD$122)*Calcs!$O12</f>
        <v>451.31573900133384</v>
      </c>
      <c r="AE151" s="632">
        <f ca="1">(AE$135*Calcs!AL12-AE$140*AE$122)*Calcs!$O12</f>
        <v>0</v>
      </c>
      <c r="AF151" s="632">
        <f ca="1">(AF$135*Calcs!AM12-AF$140*AF$122)*Calcs!$O12</f>
        <v>440.33762219404338</v>
      </c>
      <c r="AG151" s="632">
        <f ca="1">(AG$135*Calcs!AN12-AG$140*AG$122)*Calcs!$O12</f>
        <v>0</v>
      </c>
      <c r="AH151" s="632">
        <f ca="1">(AH$135*Calcs!AO12-AH$140*AH$122)*Calcs!$O12</f>
        <v>551.49899315446385</v>
      </c>
      <c r="AI151" s="632">
        <f ca="1">(AI$135*Calcs!AP12-AI$140*AI$122)*Calcs!$O12</f>
        <v>0</v>
      </c>
      <c r="AJ151" s="632">
        <f ca="1">(AJ$135*Calcs!AQ12-AJ$140*AJ$122)*Calcs!$O12</f>
        <v>2489.6505314128694</v>
      </c>
      <c r="AK151" s="682">
        <f t="shared" ca="1" si="47"/>
        <v>5368.392697846868</v>
      </c>
      <c r="AL151" s="510"/>
      <c r="AM151" s="685">
        <f t="shared" ca="1" si="48"/>
        <v>25259.270958349618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9506.6857984015278</v>
      </c>
      <c r="E152" s="632">
        <f ca="1">(E$118*E$119*E$135*Calcs!AJ13)*Calcs!$O13</f>
        <v>0</v>
      </c>
      <c r="F152" s="632">
        <f ca="1">(F$118*F$119*F$135*Calcs!AK13)*Calcs!$O13</f>
        <v>2584.2863644018335</v>
      </c>
      <c r="G152" s="632">
        <f ca="1">(G$118*G$119*G$135*Calcs!AL13)*Calcs!$O13</f>
        <v>0</v>
      </c>
      <c r="H152" s="632">
        <f ca="1">(H$118*H$119*H$135*Calcs!AM13)*Calcs!$O13</f>
        <v>2966.2844493044481</v>
      </c>
      <c r="I152" s="632">
        <f ca="1">(I$118*I$119*I$135*Calcs!AN13)*Calcs!$O13</f>
        <v>0</v>
      </c>
      <c r="J152" s="632">
        <f ca="1">(J$118*J$119*J$135*Calcs!AO13)*Calcs!$O13</f>
        <v>2982.8677804458703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18040.12439255368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1626.6339132449905</v>
      </c>
      <c r="AC152" s="632">
        <f ca="1">(AC$135*Calcs!AJ13-AC$140*AC$122)*Calcs!$O13</f>
        <v>0</v>
      </c>
      <c r="AD152" s="632">
        <f ca="1">(AD$135*Calcs!AK13-AD$140*AD$122)*Calcs!$O13</f>
        <v>334.29988354755164</v>
      </c>
      <c r="AE152" s="632">
        <f ca="1">(AE$135*Calcs!AL13-AE$140*AE$122)*Calcs!$O13</f>
        <v>0</v>
      </c>
      <c r="AF152" s="632">
        <f ca="1">(AF$135*Calcs!AM13-AF$140*AF$122)*Calcs!$O13</f>
        <v>172.07602968227764</v>
      </c>
      <c r="AG152" s="632">
        <f ca="1">(AG$135*Calcs!AN13-AG$140*AG$122)*Calcs!$O13</f>
        <v>0</v>
      </c>
      <c r="AH152" s="632">
        <f ca="1">(AH$135*Calcs!AO13-AH$140*AH$122)*Calcs!$O13</f>
        <v>412.80654756887287</v>
      </c>
      <c r="AI152" s="632">
        <f ca="1">(AI$135*Calcs!AP13-AI$140*AI$122)*Calcs!$O13</f>
        <v>0</v>
      </c>
      <c r="AJ152" s="632">
        <f ca="1">(AJ$135*Calcs!AQ13-AJ$140*AJ$122)*Calcs!$O13</f>
        <v>1735.5667456893912</v>
      </c>
      <c r="AK152" s="682">
        <f t="shared" ca="1" si="47"/>
        <v>4281.3831197330837</v>
      </c>
      <c r="AL152" s="510"/>
      <c r="AM152" s="685">
        <f t="shared" ca="1" si="48"/>
        <v>22321.507512286764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9808.4612034978054</v>
      </c>
      <c r="E153" s="632">
        <f ca="1">(E$118*E$119*E$135*Calcs!AJ14)*Calcs!$O14</f>
        <v>0</v>
      </c>
      <c r="F153" s="632">
        <f ca="1">(F$118*F$119*F$135*Calcs!AK14)*Calcs!$O14</f>
        <v>1922.8775201923947</v>
      </c>
      <c r="G153" s="632">
        <f ca="1">(G$118*G$119*G$135*Calcs!AL14)*Calcs!$O14</f>
        <v>0</v>
      </c>
      <c r="H153" s="632">
        <f ca="1">(H$118*H$119*H$135*Calcs!AM14)*Calcs!$O14</f>
        <v>2214.0327178396783</v>
      </c>
      <c r="I153" s="632">
        <f ca="1">(I$118*I$119*I$135*Calcs!AN14)*Calcs!$O14</f>
        <v>0</v>
      </c>
      <c r="J153" s="632">
        <f ca="1">(J$118*J$119*J$135*Calcs!AO14)*Calcs!$O14</f>
        <v>2275.6356206094101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16221.007062139288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1677.4937263250006</v>
      </c>
      <c r="AC153" s="632">
        <f ca="1">(AC$135*Calcs!AJ14-AC$140*AC$122)*Calcs!$O14</f>
        <v>0</v>
      </c>
      <c r="AD153" s="632">
        <f ca="1">(AD$135*Calcs!AK14-AD$140*AD$122)*Calcs!$O14</f>
        <v>198.20154643977713</v>
      </c>
      <c r="AE153" s="632">
        <f ca="1">(AE$135*Calcs!AL14-AE$140*AE$122)*Calcs!$O14</f>
        <v>0</v>
      </c>
      <c r="AF153" s="632">
        <f ca="1">(AF$135*Calcs!AM14-AF$140*AF$122)*Calcs!$O14</f>
        <v>-11.47538051616754</v>
      </c>
      <c r="AG153" s="632">
        <f ca="1">(AG$135*Calcs!AN14-AG$140*AG$122)*Calcs!$O14</f>
        <v>0</v>
      </c>
      <c r="AH153" s="632">
        <f ca="1">(AH$135*Calcs!AO14-AH$140*AH$122)*Calcs!$O14</f>
        <v>267.68261242901133</v>
      </c>
      <c r="AI153" s="632">
        <f ca="1">(AI$135*Calcs!AP14-AI$140*AI$122)*Calcs!$O14</f>
        <v>0</v>
      </c>
      <c r="AJ153" s="632">
        <f ca="1">(AJ$135*Calcs!AQ14-AJ$140*AJ$122)*Calcs!$O14</f>
        <v>894.05434774643447</v>
      </c>
      <c r="AK153" s="682">
        <f t="shared" ca="1" si="47"/>
        <v>3025.9568524240558</v>
      </c>
      <c r="AL153" s="510"/>
      <c r="AM153" s="685">
        <f t="shared" ca="1" si="48"/>
        <v>19246.963914563345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7125.2755183299005</v>
      </c>
      <c r="E154" s="632">
        <f ca="1">(E$118*E$119*E$135*Calcs!AJ15)*Calcs!$O15</f>
        <v>0</v>
      </c>
      <c r="F154" s="632">
        <f ca="1">(F$118*F$119*F$135*Calcs!AK15)*Calcs!$O15</f>
        <v>1135.2619652187725</v>
      </c>
      <c r="G154" s="632">
        <f ca="1">(G$118*G$119*G$135*Calcs!AL15)*Calcs!$O15</f>
        <v>0</v>
      </c>
      <c r="H154" s="632">
        <f ca="1">(H$118*H$119*H$135*Calcs!AM15)*Calcs!$O15</f>
        <v>1588.8079308687209</v>
      </c>
      <c r="I154" s="632">
        <f ca="1">(I$118*I$119*I$135*Calcs!AN15)*Calcs!$O15</f>
        <v>0</v>
      </c>
      <c r="J154" s="632">
        <f ca="1">(J$118*J$119*J$135*Calcs!AO15)*Calcs!$O15</f>
        <v>1398.3260912937258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11247.67150571112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1097.0182349420566</v>
      </c>
      <c r="AC154" s="632">
        <f ca="1">(AC$135*Calcs!AJ15-AC$140*AC$122)*Calcs!$O15</f>
        <v>0</v>
      </c>
      <c r="AD154" s="632">
        <f ca="1">(AD$135*Calcs!AK15-AD$140*AD$122)*Calcs!$O15</f>
        <v>48.892518612119808</v>
      </c>
      <c r="AE154" s="632">
        <f ca="1">(AE$135*Calcs!AL15-AE$140*AE$122)*Calcs!$O15</f>
        <v>0</v>
      </c>
      <c r="AF154" s="632">
        <f ca="1">(AF$135*Calcs!AM15-AF$140*AF$122)*Calcs!$O15</f>
        <v>-134.26898224727475</v>
      </c>
      <c r="AG154" s="632">
        <f ca="1">(AG$135*Calcs!AN15-AG$140*AG$122)*Calcs!$O15</f>
        <v>0</v>
      </c>
      <c r="AH154" s="632">
        <f ca="1">(AH$135*Calcs!AO15-AH$140*AH$122)*Calcs!$O15</f>
        <v>100.70699397528411</v>
      </c>
      <c r="AI154" s="632">
        <f ca="1">(AI$135*Calcs!AP15-AI$140*AI$122)*Calcs!$O15</f>
        <v>0</v>
      </c>
      <c r="AJ154" s="632">
        <f ca="1">(AJ$135*Calcs!AQ15-AJ$140*AJ$122)*Calcs!$O15</f>
        <v>84.494343859825946</v>
      </c>
      <c r="AK154" s="682">
        <f t="shared" ca="1" si="47"/>
        <v>1196.8431091420116</v>
      </c>
      <c r="AL154" s="510"/>
      <c r="AM154" s="685">
        <f t="shared" ca="1" si="48"/>
        <v>12444.514614853131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7423.8914684830524</v>
      </c>
      <c r="E155" s="632">
        <f ca="1">(E$118*E$119*E$135*Calcs!AJ16)*Calcs!$O16</f>
        <v>0</v>
      </c>
      <c r="F155" s="632">
        <f ca="1">(F$118*F$119*F$135*Calcs!AK16)*Calcs!$O16</f>
        <v>1012.8713125956417</v>
      </c>
      <c r="G155" s="632">
        <f ca="1">(G$118*G$119*G$135*Calcs!AL16)*Calcs!$O16</f>
        <v>0</v>
      </c>
      <c r="H155" s="632">
        <f ca="1">(H$118*H$119*H$135*Calcs!AM16)*Calcs!$O16</f>
        <v>1234.7749971231049</v>
      </c>
      <c r="I155" s="632">
        <f ca="1">(I$118*I$119*I$135*Calcs!AN16)*Calcs!$O16</f>
        <v>0</v>
      </c>
      <c r="J155" s="632">
        <f ca="1">(J$118*J$119*J$135*Calcs!AO16)*Calcs!$O16</f>
        <v>1272.7761291624081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10944.313907364207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1147.1753984673996</v>
      </c>
      <c r="AC155" s="632">
        <f ca="1">(AC$135*Calcs!AJ16-AC$140*AC$122)*Calcs!$O16</f>
        <v>0</v>
      </c>
      <c r="AD155" s="632">
        <f ca="1">(AD$135*Calcs!AK16-AD$140*AD$122)*Calcs!$O16</f>
        <v>18.962001590496016</v>
      </c>
      <c r="AE155" s="632">
        <f ca="1">(AE$135*Calcs!AL16-AE$140*AE$122)*Calcs!$O16</f>
        <v>0</v>
      </c>
      <c r="AF155" s="632">
        <f ca="1">(AF$135*Calcs!AM16-AF$140*AF$122)*Calcs!$O16</f>
        <v>-229.25819867679709</v>
      </c>
      <c r="AG155" s="632">
        <f ca="1">(AG$135*Calcs!AN16-AG$140*AG$122)*Calcs!$O16</f>
        <v>0</v>
      </c>
      <c r="AH155" s="632">
        <f ca="1">(AH$135*Calcs!AO16-AH$140*AH$122)*Calcs!$O16</f>
        <v>70.154202958649975</v>
      </c>
      <c r="AI155" s="632">
        <f ca="1">(AI$135*Calcs!AP16-AI$140*AI$122)*Calcs!$O16</f>
        <v>0</v>
      </c>
      <c r="AJ155" s="632">
        <f ca="1">(AJ$135*Calcs!AQ16-AJ$140*AJ$122)*Calcs!$O16</f>
        <v>-140.25563597173146</v>
      </c>
      <c r="AK155" s="682">
        <f t="shared" ca="1" si="47"/>
        <v>866.77776836801718</v>
      </c>
      <c r="AL155" s="510"/>
      <c r="AM155" s="685">
        <f t="shared" ca="1" si="48"/>
        <v>11811.091675732225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100625.64123324995</v>
      </c>
      <c r="E156" s="672">
        <f t="shared" ca="1" si="49"/>
        <v>0</v>
      </c>
      <c r="F156" s="672">
        <f t="shared" ca="1" si="49"/>
        <v>28162.368345663835</v>
      </c>
      <c r="G156" s="672">
        <f t="shared" ca="1" si="49"/>
        <v>0</v>
      </c>
      <c r="H156" s="672">
        <f t="shared" ca="1" si="49"/>
        <v>37493.683743489179</v>
      </c>
      <c r="I156" s="672">
        <f t="shared" ca="1" si="49"/>
        <v>0</v>
      </c>
      <c r="J156" s="672">
        <f t="shared" ca="1" si="49"/>
        <v>33309.299999694835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199590.99332209781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16446.093958679478</v>
      </c>
      <c r="AC156" s="677">
        <f t="shared" ca="1" si="51"/>
        <v>0</v>
      </c>
      <c r="AD156" s="677">
        <f t="shared" ca="1" si="51"/>
        <v>3421.3122847085901</v>
      </c>
      <c r="AE156" s="677">
        <f t="shared" ca="1" si="51"/>
        <v>0</v>
      </c>
      <c r="AF156" s="677">
        <f t="shared" ca="1" si="51"/>
        <v>2405.8108674659902</v>
      </c>
      <c r="AG156" s="677">
        <f t="shared" ca="1" si="51"/>
        <v>0</v>
      </c>
      <c r="AH156" s="677">
        <f t="shared" ca="1" si="51"/>
        <v>4435.0786517262441</v>
      </c>
      <c r="AI156" s="677">
        <f t="shared" ca="1" si="51"/>
        <v>0</v>
      </c>
      <c r="AJ156" s="677">
        <f t="shared" ca="1" si="51"/>
        <v>18249.424089630735</v>
      </c>
      <c r="AK156" s="677">
        <f t="shared" ca="1" si="51"/>
        <v>44957.719852211041</v>
      </c>
      <c r="AL156" s="645"/>
      <c r="AM156" s="683">
        <f ca="1">SUM(AM144:AM155)</f>
        <v>244548.71317430888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1.4206669657544488</v>
      </c>
      <c r="E175" s="569">
        <f>Inputs!C18/PeoDUnocc</f>
        <v>2.1960240406842351</v>
      </c>
      <c r="F175" s="569">
        <f>D175*$E$18+E175*(1-$E$18)</f>
        <v>1.6468127792756366</v>
      </c>
      <c r="G175" s="569">
        <f t="shared" ref="G175:I177" si="53">$D175*$F$19</f>
        <v>0.15785030656497681</v>
      </c>
      <c r="H175" s="569">
        <f t="shared" si="53"/>
        <v>0.15785030656497681</v>
      </c>
      <c r="I175" s="569">
        <f t="shared" si="53"/>
        <v>0.15785030656497681</v>
      </c>
      <c r="J175" s="633" t="s">
        <v>516</v>
      </c>
      <c r="K175" s="740">
        <f>Calcs!F175*Calcs!C2</f>
        <v>5161.1112502498454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3.61</v>
      </c>
      <c r="E176" s="569">
        <f>Inputs!C28+Inputs!C30</f>
        <v>4.87</v>
      </c>
      <c r="F176" s="569">
        <f>D176*$E$18+E176*(1-$E$18)</f>
        <v>3.9775</v>
      </c>
      <c r="G176" s="569">
        <f t="shared" si="53"/>
        <v>0.40110709999999999</v>
      </c>
      <c r="H176" s="569">
        <f t="shared" si="53"/>
        <v>0.40110709999999999</v>
      </c>
      <c r="I176" s="569">
        <f t="shared" si="53"/>
        <v>0.40110709999999999</v>
      </c>
      <c r="J176" s="633" t="s">
        <v>517</v>
      </c>
      <c r="K176" s="741">
        <f>Calcs!F176*Calcs!C2</f>
        <v>12465.485000000001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1.9411652328214335</v>
      </c>
      <c r="E177" s="510"/>
      <c r="F177" s="602">
        <f>F47/C2/8760*1000</f>
        <v>1.4378995433789956</v>
      </c>
      <c r="G177" s="569">
        <f t="shared" si="53"/>
        <v>0.21568286901878947</v>
      </c>
      <c r="H177" s="569">
        <f t="shared" si="53"/>
        <v>0.21568286901878947</v>
      </c>
      <c r="I177" s="569">
        <f t="shared" si="53"/>
        <v>0.21568286901878947</v>
      </c>
      <c r="J177" s="633" t="s">
        <v>518</v>
      </c>
      <c r="K177" s="740">
        <f>Calcs!F177*Calcs!C2</f>
        <v>4506.3771689497726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6.971832198575882</v>
      </c>
      <c r="E178" s="509"/>
      <c r="F178" s="687">
        <f>SUM(D175:D177)</f>
        <v>6.971832198575882</v>
      </c>
      <c r="G178" s="687">
        <f>SUM(G175:G177)</f>
        <v>0.77464027558376625</v>
      </c>
      <c r="H178" s="687">
        <f>SUM(H175:H177)</f>
        <v>0.77464027558376625</v>
      </c>
      <c r="I178" s="687">
        <f>SUM(I175:I177)</f>
        <v>0.77464027558376625</v>
      </c>
      <c r="J178" s="633" t="s">
        <v>519</v>
      </c>
      <c r="K178" s="740">
        <f>SUM(K175:K177)</f>
        <v>22132.973419199618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1625.6030688158089</v>
      </c>
      <c r="D188" s="599">
        <f>$C$2*H$178*AC5</f>
        <v>0</v>
      </c>
      <c r="E188" s="599">
        <f>$C$2*I$178*AD5</f>
        <v>270.93384480263484</v>
      </c>
      <c r="F188" s="510"/>
      <c r="G188" s="688">
        <f t="shared" ref="G188:G199" ca="1" si="54">$AM144*DD5</f>
        <v>0</v>
      </c>
      <c r="H188" s="688">
        <f t="shared" ref="H188:H199" ca="1" si="55">$AM144*DE5</f>
        <v>0</v>
      </c>
      <c r="I188" s="688">
        <f t="shared" ref="I188:I199" ca="1" si="56">$AM144*DF5</f>
        <v>0</v>
      </c>
      <c r="J188" s="510"/>
      <c r="K188" s="599">
        <f t="shared" ref="K188:K199" ca="1" si="57">(C188+G188)/AB5</f>
        <v>2427.7226236795236</v>
      </c>
      <c r="L188" s="599">
        <f t="shared" ref="L188:L199" si="58">IF(AC5=0,0,(D188+H188)/AC5)</f>
        <v>0</v>
      </c>
      <c r="M188" s="599">
        <f t="shared" ref="M188:M199" ca="1" si="59">(E188+I188)/AD5</f>
        <v>2427.7226236795236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1468.2866428013758</v>
      </c>
      <c r="D189" s="599">
        <f t="shared" ref="D189:D199" si="61">$C$2*H$178*AC6</f>
        <v>0</v>
      </c>
      <c r="E189" s="599">
        <f t="shared" ref="E189:E199" si="62">$C$2*I$178*AD6</f>
        <v>244.71444046689598</v>
      </c>
      <c r="F189" s="510"/>
      <c r="G189" s="688">
        <f t="shared" ca="1" si="54"/>
        <v>16.482562121006112</v>
      </c>
      <c r="H189" s="688">
        <f t="shared" ca="1" si="55"/>
        <v>0</v>
      </c>
      <c r="I189" s="688">
        <f t="shared" ca="1" si="56"/>
        <v>2.7470936868343525</v>
      </c>
      <c r="J189" s="510"/>
      <c r="K189" s="599">
        <f t="shared" ca="1" si="57"/>
        <v>2454.9755372393884</v>
      </c>
      <c r="L189" s="599">
        <f t="shared" si="58"/>
        <v>0</v>
      </c>
      <c r="M189" s="599">
        <f t="shared" ca="1" si="59"/>
        <v>2454.9755372393884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1625.6030688158089</v>
      </c>
      <c r="D190" s="599">
        <f t="shared" si="61"/>
        <v>0</v>
      </c>
      <c r="E190" s="599">
        <f t="shared" si="62"/>
        <v>270.93384480263484</v>
      </c>
      <c r="F190" s="510"/>
      <c r="G190" s="688">
        <f t="shared" ca="1" si="54"/>
        <v>164.63068428381504</v>
      </c>
      <c r="H190" s="688">
        <f t="shared" ca="1" si="55"/>
        <v>0</v>
      </c>
      <c r="I190" s="688">
        <f t="shared" ca="1" si="56"/>
        <v>27.438447380635839</v>
      </c>
      <c r="J190" s="510"/>
      <c r="K190" s="599">
        <f t="shared" ca="1" si="57"/>
        <v>2673.5868475203465</v>
      </c>
      <c r="L190" s="599">
        <f t="shared" si="58"/>
        <v>0</v>
      </c>
      <c r="M190" s="599">
        <f t="shared" ca="1" si="59"/>
        <v>2673.586847520347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1573.1642601443314</v>
      </c>
      <c r="D191" s="599">
        <f t="shared" si="61"/>
        <v>0</v>
      </c>
      <c r="E191" s="599">
        <f t="shared" si="62"/>
        <v>262.19404335738852</v>
      </c>
      <c r="F191" s="510"/>
      <c r="G191" s="688">
        <f t="shared" ca="1" si="54"/>
        <v>648.25850487403363</v>
      </c>
      <c r="H191" s="688">
        <f t="shared" ca="1" si="55"/>
        <v>0</v>
      </c>
      <c r="I191" s="688">
        <f t="shared" ca="1" si="56"/>
        <v>108.04308414567228</v>
      </c>
      <c r="J191" s="510"/>
      <c r="K191" s="599">
        <f t="shared" ca="1" si="57"/>
        <v>3428.1215509542667</v>
      </c>
      <c r="L191" s="599">
        <f t="shared" si="58"/>
        <v>0</v>
      </c>
      <c r="M191" s="599">
        <f t="shared" ca="1" si="59"/>
        <v>3428.1215509542671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1625.6030688158089</v>
      </c>
      <c r="D192" s="599">
        <f t="shared" si="61"/>
        <v>0</v>
      </c>
      <c r="E192" s="599">
        <f t="shared" si="62"/>
        <v>270.93384480263484</v>
      </c>
      <c r="F192" s="510"/>
      <c r="G192" s="688">
        <f t="shared" ca="1" si="54"/>
        <v>1093.175654889063</v>
      </c>
      <c r="H192" s="688">
        <f t="shared" ca="1" si="55"/>
        <v>0</v>
      </c>
      <c r="I192" s="688">
        <f t="shared" ca="1" si="56"/>
        <v>182.19594248151049</v>
      </c>
      <c r="J192" s="510"/>
      <c r="K192" s="599">
        <f t="shared" ca="1" si="57"/>
        <v>4060.3027534421626</v>
      </c>
      <c r="L192" s="599">
        <f t="shared" si="58"/>
        <v>0</v>
      </c>
      <c r="M192" s="599">
        <f t="shared" ca="1" si="59"/>
        <v>4060.3027534421626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1573.1642601443314</v>
      </c>
      <c r="D193" s="599">
        <f t="shared" si="61"/>
        <v>0</v>
      </c>
      <c r="E193" s="599">
        <f t="shared" si="62"/>
        <v>262.19404335738852</v>
      </c>
      <c r="F193" s="510"/>
      <c r="G193" s="688">
        <f t="shared" ca="1" si="54"/>
        <v>1270.9995845203298</v>
      </c>
      <c r="H193" s="688">
        <f t="shared" ca="1" si="55"/>
        <v>0</v>
      </c>
      <c r="I193" s="688">
        <f t="shared" ca="1" si="56"/>
        <v>211.83326408672167</v>
      </c>
      <c r="J193" s="510"/>
      <c r="K193" s="599">
        <f t="shared" ca="1" si="57"/>
        <v>4389.1417355936128</v>
      </c>
      <c r="L193" s="599">
        <f t="shared" si="58"/>
        <v>0</v>
      </c>
      <c r="M193" s="599">
        <f t="shared" ca="1" si="59"/>
        <v>4389.1417355936128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1625.6030688158089</v>
      </c>
      <c r="D194" s="599">
        <f t="shared" si="61"/>
        <v>0</v>
      </c>
      <c r="E194" s="599">
        <f t="shared" si="62"/>
        <v>270.93384480263484</v>
      </c>
      <c r="F194" s="510"/>
      <c r="G194" s="688">
        <f t="shared" ca="1" si="54"/>
        <v>1058.6546070171873</v>
      </c>
      <c r="H194" s="688">
        <f t="shared" ca="1" si="55"/>
        <v>0</v>
      </c>
      <c r="I194" s="688">
        <f t="shared" ca="1" si="56"/>
        <v>176.44243450286459</v>
      </c>
      <c r="J194" s="510"/>
      <c r="K194" s="599">
        <f t="shared" ca="1" si="57"/>
        <v>4008.7480224507112</v>
      </c>
      <c r="L194" s="599">
        <f t="shared" si="58"/>
        <v>0</v>
      </c>
      <c r="M194" s="599">
        <f t="shared" ca="1" si="59"/>
        <v>4008.7480224507121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1625.6030688158089</v>
      </c>
      <c r="D195" s="599">
        <f t="shared" si="61"/>
        <v>0</v>
      </c>
      <c r="E195" s="599">
        <f t="shared" si="62"/>
        <v>270.93384480263484</v>
      </c>
      <c r="F195" s="510"/>
      <c r="G195" s="688">
        <f t="shared" ca="1" si="54"/>
        <v>716.08242960847122</v>
      </c>
      <c r="H195" s="688">
        <f t="shared" ca="1" si="55"/>
        <v>0</v>
      </c>
      <c r="I195" s="688">
        <f t="shared" ca="1" si="56"/>
        <v>119.34707160141188</v>
      </c>
      <c r="J195" s="510"/>
      <c r="K195" s="599">
        <f t="shared" ca="1" si="57"/>
        <v>3497.1408279932498</v>
      </c>
      <c r="L195" s="599">
        <f t="shared" si="58"/>
        <v>0</v>
      </c>
      <c r="M195" s="599">
        <f t="shared" ca="1" si="59"/>
        <v>3497.1408279932502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1573.1642601443314</v>
      </c>
      <c r="D196" s="599">
        <f t="shared" si="61"/>
        <v>0</v>
      </c>
      <c r="E196" s="599">
        <f t="shared" si="62"/>
        <v>262.19404335738852</v>
      </c>
      <c r="F196" s="510"/>
      <c r="G196" s="688">
        <f t="shared" ca="1" si="54"/>
        <v>445.23707106544043</v>
      </c>
      <c r="H196" s="688">
        <f t="shared" ca="1" si="55"/>
        <v>0</v>
      </c>
      <c r="I196" s="688">
        <f t="shared" ca="1" si="56"/>
        <v>74.206178510906739</v>
      </c>
      <c r="J196" s="510"/>
      <c r="K196" s="599">
        <f t="shared" ca="1" si="57"/>
        <v>3114.8168691508822</v>
      </c>
      <c r="L196" s="599">
        <f t="shared" si="58"/>
        <v>0</v>
      </c>
      <c r="M196" s="599">
        <f t="shared" ca="1" si="59"/>
        <v>3114.8168691508822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1625.6030688158089</v>
      </c>
      <c r="D197" s="599">
        <f t="shared" si="61"/>
        <v>0</v>
      </c>
      <c r="E197" s="599">
        <f t="shared" si="62"/>
        <v>270.93384480263484</v>
      </c>
      <c r="F197" s="510"/>
      <c r="G197" s="688">
        <f t="shared" ca="1" si="54"/>
        <v>189.08036604518392</v>
      </c>
      <c r="H197" s="688">
        <f t="shared" ca="1" si="55"/>
        <v>0</v>
      </c>
      <c r="I197" s="688">
        <f t="shared" ca="1" si="56"/>
        <v>31.513394340863989</v>
      </c>
      <c r="J197" s="510"/>
      <c r="K197" s="599">
        <f t="shared" ca="1" si="57"/>
        <v>2710.1007091711363</v>
      </c>
      <c r="L197" s="599">
        <f t="shared" si="58"/>
        <v>0</v>
      </c>
      <c r="M197" s="599">
        <f t="shared" ca="1" si="59"/>
        <v>2710.1007091711367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1573.1642601443314</v>
      </c>
      <c r="D198" s="599">
        <f t="shared" si="61"/>
        <v>0</v>
      </c>
      <c r="E198" s="599">
        <f t="shared" si="62"/>
        <v>262.19404335738852</v>
      </c>
      <c r="F198" s="510"/>
      <c r="G198" s="688">
        <f t="shared" ca="1" si="54"/>
        <v>27.762151201595309</v>
      </c>
      <c r="H198" s="688">
        <f t="shared" ca="1" si="55"/>
        <v>0</v>
      </c>
      <c r="I198" s="688">
        <f t="shared" ca="1" si="56"/>
        <v>4.6270252002658845</v>
      </c>
      <c r="J198" s="510"/>
      <c r="K198" s="599">
        <f t="shared" ca="1" si="57"/>
        <v>2470.5654496079114</v>
      </c>
      <c r="L198" s="599">
        <f t="shared" si="58"/>
        <v>0</v>
      </c>
      <c r="M198" s="599">
        <f t="shared" ca="1" si="59"/>
        <v>2470.5654496079114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1625.6030688158089</v>
      </c>
      <c r="D199" s="599">
        <f t="shared" si="61"/>
        <v>0</v>
      </c>
      <c r="E199" s="599">
        <f t="shared" si="62"/>
        <v>270.93384480263484</v>
      </c>
      <c r="F199" s="510"/>
      <c r="G199" s="688">
        <f t="shared" ca="1" si="54"/>
        <v>0</v>
      </c>
      <c r="H199" s="688">
        <f t="shared" ca="1" si="55"/>
        <v>0</v>
      </c>
      <c r="I199" s="688">
        <f t="shared" ca="1" si="56"/>
        <v>0</v>
      </c>
      <c r="J199" s="510"/>
      <c r="K199" s="599">
        <f t="shared" ca="1" si="57"/>
        <v>2427.7226236795236</v>
      </c>
      <c r="L199" s="599">
        <f t="shared" si="58"/>
        <v>0</v>
      </c>
      <c r="M199" s="599">
        <f t="shared" ca="1" si="59"/>
        <v>2427.7226236795236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21.5</v>
      </c>
      <c r="E205" s="693">
        <f>Inputs!C22</f>
        <v>21.4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24.5</v>
      </c>
      <c r="E206" s="693">
        <f>Inputs!C24</f>
        <v>24.6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307163340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46324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96908881.519999996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1306.5675199999998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1306.5675199999998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112242.28375555555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17</v>
      </c>
      <c r="G216" s="699">
        <f>$F$16</f>
        <v>7</v>
      </c>
      <c r="H216" s="699">
        <f>$E$16</f>
        <v>17</v>
      </c>
      <c r="I216" s="699">
        <f>$F$16</f>
        <v>7</v>
      </c>
      <c r="J216" s="699">
        <f>$E$16</f>
        <v>17</v>
      </c>
      <c r="K216" s="699">
        <f>$F$16</f>
        <v>7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21.5</v>
      </c>
      <c r="E218" s="510"/>
      <c r="F218" s="569">
        <f>D218</f>
        <v>21.5</v>
      </c>
      <c r="G218" s="569">
        <f t="shared" ref="G218:G229" ca="1" si="64">(F218-$CS5-$K188/$D$211)*EXP(-$D$211/$D$212*G$216)+$CS5+$K188/$D$211</f>
        <v>19.460635133271865</v>
      </c>
      <c r="H218" s="569">
        <f t="shared" ref="H218:H229" ca="1" si="65">(G218-$CR5-$L188/$D$211)*EXP(-$D$211/$D$212*H$216)+$CR5+$L188/$D$211</f>
        <v>15.263471729868417</v>
      </c>
      <c r="I218" s="569">
        <f t="shared" ref="I218:I229" ca="1" si="66">(H218-$CS5-$M188/$D$211)*EXP(-$D$211/$D$212*I$216)+$CS5+$M188/$D$211</f>
        <v>13.71213220216417</v>
      </c>
      <c r="J218" s="569">
        <f t="shared" ref="J218:J229" ca="1" si="67">(I218-$CR5-$L188/$D$211)*EXP(-$D$211/$D$212*J$216)+$CR5+$L188/$D$211</f>
        <v>10.547055384510504</v>
      </c>
      <c r="K218" s="569">
        <f t="shared" ref="K218:K229" ca="1" si="68">(J218-$CS5-$M188/$D$211)*EXP(-$D$211/$D$212*K$216)+$CS5+$M188/$D$211</f>
        <v>9.3647882936209417</v>
      </c>
      <c r="L218" s="687"/>
      <c r="M218" s="687">
        <f t="shared" ref="M218:M229" ca="1" si="69">$D$212/G$216/$D$211*(F231-$CS5-$K188/$D$211)*(1-EXP(-$D$211/$D$212*G$216))+$CS5+$K188/$D$211</f>
        <v>20.466471097695795</v>
      </c>
      <c r="N218" s="687">
        <f t="shared" ref="N218:N229" ca="1" si="70">$D$212/H$216/$D$211*(G231-$CR5-$L188/$D$211)*(1-EXP(-$D$211/$D$212*H$216))+$CR5+$L188/$D$211</f>
        <v>19.052413527186857</v>
      </c>
      <c r="O218" s="687">
        <f t="shared" ref="O218:O229" ca="1" si="71">$D$212/I$216/$D$211*(H231-$CS5-$M188/$D$211)*(1-EXP(-$D$211/$D$212*I$216))+$CS5+$M188/$D$211</f>
        <v>20.370436864465074</v>
      </c>
      <c r="P218" s="687">
        <f t="shared" ref="P218:P229" ca="1" si="72">$D$212/J$216/$D$211*(I231-$CR5-$L188/$D$211)*(1-EXP(-$D$211/$D$212*J$216))+$CR5+$L188/$D$211</f>
        <v>19.052413527186857</v>
      </c>
      <c r="Q218" s="687">
        <f t="shared" ref="Q218:Q229" ca="1" si="73">$D$212/K$216/$D$211*(J231-$CS5-$M188/$D$211)*(1-EXP(-$D$211/$D$212*K$216))+$CS5+$M188/$D$211</f>
        <v>20.370436864465074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21.5</v>
      </c>
      <c r="E219" s="510"/>
      <c r="F219" s="569">
        <f t="shared" ref="F219:F229" si="74">D219</f>
        <v>21.5</v>
      </c>
      <c r="G219" s="569">
        <f t="shared" ca="1" si="64"/>
        <v>19.612581883483838</v>
      </c>
      <c r="H219" s="569">
        <f t="shared" ca="1" si="65"/>
        <v>15.782838052628053</v>
      </c>
      <c r="I219" s="569">
        <f t="shared" ca="1" si="66"/>
        <v>14.342803444494805</v>
      </c>
      <c r="J219" s="569">
        <f t="shared" ca="1" si="67"/>
        <v>11.459195973302663</v>
      </c>
      <c r="K219" s="569">
        <f t="shared" ca="1" si="68"/>
        <v>10.357498144894494</v>
      </c>
      <c r="L219" s="687"/>
      <c r="M219" s="687">
        <f t="shared" ca="1" si="69"/>
        <v>20.543476130251459</v>
      </c>
      <c r="N219" s="687">
        <f t="shared" ca="1" si="70"/>
        <v>19.25626827397517</v>
      </c>
      <c r="O219" s="687">
        <f t="shared" ca="1" si="71"/>
        <v>20.447441897020735</v>
      </c>
      <c r="P219" s="687">
        <f t="shared" ca="1" si="72"/>
        <v>19.25626827397517</v>
      </c>
      <c r="Q219" s="687">
        <f t="shared" ca="1" si="73"/>
        <v>20.447441897020735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21.5</v>
      </c>
      <c r="E220" s="510"/>
      <c r="F220" s="569">
        <f t="shared" si="74"/>
        <v>21.5</v>
      </c>
      <c r="G220" s="569">
        <f t="shared" ca="1" si="64"/>
        <v>20.093160256771625</v>
      </c>
      <c r="H220" s="569">
        <f t="shared" ca="1" si="65"/>
        <v>17.346062548330888</v>
      </c>
      <c r="I220" s="569">
        <f t="shared" ca="1" si="66"/>
        <v>16.26427973506847</v>
      </c>
      <c r="J220" s="569">
        <f t="shared" ca="1" si="67"/>
        <v>14.204619481604723</v>
      </c>
      <c r="K220" s="569">
        <f t="shared" ca="1" si="68"/>
        <v>13.368663152446567</v>
      </c>
      <c r="L220" s="687"/>
      <c r="M220" s="687">
        <f t="shared" ca="1" si="69"/>
        <v>20.787028251168465</v>
      </c>
      <c r="N220" s="687">
        <f t="shared" ca="1" si="70"/>
        <v>19.859996937413008</v>
      </c>
      <c r="O220" s="687">
        <f t="shared" ca="1" si="71"/>
        <v>20.690994017937747</v>
      </c>
      <c r="P220" s="687">
        <f t="shared" ca="1" si="72"/>
        <v>19.859996937413008</v>
      </c>
      <c r="Q220" s="687">
        <f t="shared" ca="1" si="73"/>
        <v>20.690994017937747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21.5</v>
      </c>
      <c r="E221" s="510"/>
      <c r="F221" s="569">
        <f t="shared" si="74"/>
        <v>21.5</v>
      </c>
      <c r="G221" s="569">
        <f t="shared" ca="1" si="64"/>
        <v>20.606983583193596</v>
      </c>
      <c r="H221" s="569">
        <f t="shared" ca="1" si="65"/>
        <v>18.874505879439955</v>
      </c>
      <c r="I221" s="569">
        <f t="shared" ca="1" si="66"/>
        <v>18.186941535131655</v>
      </c>
      <c r="J221" s="569">
        <f t="shared" ca="1" si="67"/>
        <v>16.888958336241018</v>
      </c>
      <c r="K221" s="569">
        <f t="shared" ca="1" si="68"/>
        <v>16.356768500144042</v>
      </c>
      <c r="L221" s="687"/>
      <c r="M221" s="687">
        <f t="shared" ca="1" si="69"/>
        <v>21.047428568541385</v>
      </c>
      <c r="N221" s="687">
        <f t="shared" ca="1" si="70"/>
        <v>20.431674231915004</v>
      </c>
      <c r="O221" s="687">
        <f t="shared" ca="1" si="71"/>
        <v>20.951394335310667</v>
      </c>
      <c r="P221" s="687">
        <f t="shared" ca="1" si="72"/>
        <v>20.431674231915004</v>
      </c>
      <c r="Q221" s="687">
        <f t="shared" ca="1" si="73"/>
        <v>20.951394335310667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21.5</v>
      </c>
      <c r="E222" s="510"/>
      <c r="F222" s="569">
        <f t="shared" si="74"/>
        <v>21.5</v>
      </c>
      <c r="G222" s="569">
        <f t="shared" ca="1" si="64"/>
        <v>20.909589111906502</v>
      </c>
      <c r="H222" s="569">
        <f t="shared" ca="1" si="65"/>
        <v>20.230895828010208</v>
      </c>
      <c r="I222" s="569">
        <f t="shared" ca="1" si="66"/>
        <v>19.739795801178772</v>
      </c>
      <c r="J222" s="569">
        <f t="shared" ca="1" si="67"/>
        <v>19.271127283481782</v>
      </c>
      <c r="K222" s="569">
        <f t="shared" ca="1" si="68"/>
        <v>18.855131761759576</v>
      </c>
      <c r="L222" s="687"/>
      <c r="M222" s="687">
        <f t="shared" ca="1" si="69"/>
        <v>21.200785902986201</v>
      </c>
      <c r="N222" s="687">
        <f t="shared" ca="1" si="70"/>
        <v>21.003993179696728</v>
      </c>
      <c r="O222" s="687">
        <f t="shared" ca="1" si="71"/>
        <v>21.10475166975548</v>
      </c>
      <c r="P222" s="687">
        <f t="shared" ca="1" si="72"/>
        <v>21.003993179696728</v>
      </c>
      <c r="Q222" s="687">
        <f t="shared" ca="1" si="73"/>
        <v>21.10475166975548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21.5</v>
      </c>
      <c r="E223" s="510"/>
      <c r="F223" s="569">
        <f t="shared" si="74"/>
        <v>21.5</v>
      </c>
      <c r="G223" s="569">
        <f t="shared" ca="1" si="64"/>
        <v>21.45329106208732</v>
      </c>
      <c r="H223" s="569">
        <f t="shared" ca="1" si="65"/>
        <v>21.655298825748684</v>
      </c>
      <c r="I223" s="569">
        <f t="shared" ca="1" si="66"/>
        <v>21.59643733134893</v>
      </c>
      <c r="J223" s="569">
        <f t="shared" ca="1" si="67"/>
        <v>21.772744604625998</v>
      </c>
      <c r="K223" s="569">
        <f t="shared" ca="1" si="68"/>
        <v>21.704692657850998</v>
      </c>
      <c r="L223" s="687"/>
      <c r="M223" s="687">
        <f t="shared" ca="1" si="69"/>
        <v>21.476328396101998</v>
      </c>
      <c r="N223" s="687">
        <f t="shared" ca="1" si="70"/>
        <v>21.557624051406833</v>
      </c>
      <c r="O223" s="687">
        <f t="shared" ca="1" si="71"/>
        <v>21.625468432626061</v>
      </c>
      <c r="P223" s="687">
        <f t="shared" ca="1" si="72"/>
        <v>21.687496528908309</v>
      </c>
      <c r="Q223" s="687">
        <f t="shared" ca="1" si="73"/>
        <v>21.73825658583274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21.5</v>
      </c>
      <c r="E224" s="510"/>
      <c r="F224" s="569">
        <f t="shared" si="74"/>
        <v>21.5</v>
      </c>
      <c r="G224" s="569">
        <f t="shared" ca="1" si="64"/>
        <v>21.659566695149959</v>
      </c>
      <c r="H224" s="569">
        <f t="shared" ca="1" si="65"/>
        <v>22.373505325427999</v>
      </c>
      <c r="I224" s="569">
        <f t="shared" ca="1" si="66"/>
        <v>22.464717847532224</v>
      </c>
      <c r="J224" s="569">
        <f t="shared" ca="1" si="67"/>
        <v>23.034099588158544</v>
      </c>
      <c r="K224" s="569">
        <f t="shared" ca="1" si="68"/>
        <v>23.073618808306563</v>
      </c>
      <c r="L224" s="687"/>
      <c r="M224" s="687">
        <f t="shared" ca="1" si="69"/>
        <v>21.580866741392494</v>
      </c>
      <c r="N224" s="687">
        <f t="shared" ca="1" si="70"/>
        <v>22.028301787987537</v>
      </c>
      <c r="O224" s="687">
        <f t="shared" ca="1" si="71"/>
        <v>22.41973088289679</v>
      </c>
      <c r="P224" s="687">
        <f t="shared" ca="1" si="72"/>
        <v>22.758792184017008</v>
      </c>
      <c r="Q224" s="687">
        <f t="shared" ca="1" si="73"/>
        <v>23.054127517876207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21.5</v>
      </c>
      <c r="E225" s="510"/>
      <c r="F225" s="569">
        <f t="shared" si="74"/>
        <v>21.5</v>
      </c>
      <c r="G225" s="569">
        <f t="shared" ca="1" si="64"/>
        <v>21.463801530947155</v>
      </c>
      <c r="H225" s="569">
        <f t="shared" ca="1" si="65"/>
        <v>21.773440547952259</v>
      </c>
      <c r="I225" s="569">
        <f t="shared" ca="1" si="66"/>
        <v>21.715844610574546</v>
      </c>
      <c r="J225" s="569">
        <f t="shared" ca="1" si="67"/>
        <v>21.980231796862682</v>
      </c>
      <c r="K225" s="569">
        <f t="shared" ca="1" si="68"/>
        <v>21.906453880507978</v>
      </c>
      <c r="L225" s="687"/>
      <c r="M225" s="687">
        <f t="shared" ca="1" si="69"/>
        <v>21.481654992397068</v>
      </c>
      <c r="N225" s="687">
        <f t="shared" ca="1" si="70"/>
        <v>21.623723920406665</v>
      </c>
      <c r="O225" s="687">
        <f t="shared" ca="1" si="71"/>
        <v>21.744251525964902</v>
      </c>
      <c r="P225" s="687">
        <f t="shared" ca="1" si="72"/>
        <v>21.852395330127369</v>
      </c>
      <c r="Q225" s="687">
        <f t="shared" ca="1" si="73"/>
        <v>21.942841916244259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21.5</v>
      </c>
      <c r="E226" s="510"/>
      <c r="F226" s="569">
        <f t="shared" si="74"/>
        <v>21.5</v>
      </c>
      <c r="G226" s="569">
        <f t="shared" ca="1" si="64"/>
        <v>21.125107418908243</v>
      </c>
      <c r="H226" s="569">
        <f t="shared" ca="1" si="65"/>
        <v>20.871707816707328</v>
      </c>
      <c r="I226" s="569">
        <f t="shared" ca="1" si="66"/>
        <v>20.545980811794543</v>
      </c>
      <c r="J226" s="569">
        <f t="shared" ca="1" si="67"/>
        <v>20.396557637859562</v>
      </c>
      <c r="K226" s="569">
        <f t="shared" ca="1" si="68"/>
        <v>20.108012429785575</v>
      </c>
      <c r="L226" s="687"/>
      <c r="M226" s="687">
        <f t="shared" ca="1" si="69"/>
        <v>21.310008339292722</v>
      </c>
      <c r="N226" s="687">
        <f t="shared" ca="1" si="70"/>
        <v>21.243633670587322</v>
      </c>
      <c r="O226" s="687">
        <f t="shared" ca="1" si="71"/>
        <v>21.213974106062</v>
      </c>
      <c r="P226" s="687">
        <f t="shared" ca="1" si="72"/>
        <v>21.243633670587322</v>
      </c>
      <c r="Q226" s="687">
        <f t="shared" ca="1" si="73"/>
        <v>21.213974106062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21.5</v>
      </c>
      <c r="E227" s="510"/>
      <c r="F227" s="569">
        <f t="shared" si="74"/>
        <v>21.5</v>
      </c>
      <c r="G227" s="569">
        <f t="shared" ca="1" si="64"/>
        <v>20.605251999846473</v>
      </c>
      <c r="H227" s="569">
        <f t="shared" ca="1" si="65"/>
        <v>19.098863913074453</v>
      </c>
      <c r="I227" s="569">
        <f t="shared" ca="1" si="66"/>
        <v>18.392011357647196</v>
      </c>
      <c r="J227" s="569">
        <f t="shared" ca="1" si="67"/>
        <v>17.282988638036944</v>
      </c>
      <c r="K227" s="569">
        <f t="shared" ca="1" si="68"/>
        <v>16.718233273280575</v>
      </c>
      <c r="L227" s="687"/>
      <c r="M227" s="687">
        <f t="shared" ca="1" si="69"/>
        <v>21.04655102011187</v>
      </c>
      <c r="N227" s="687">
        <f t="shared" ca="1" si="70"/>
        <v>20.548284451400527</v>
      </c>
      <c r="O227" s="687">
        <f t="shared" ca="1" si="71"/>
        <v>20.950516786881149</v>
      </c>
      <c r="P227" s="687">
        <f t="shared" ca="1" si="72"/>
        <v>20.548284451400527</v>
      </c>
      <c r="Q227" s="687">
        <f t="shared" ca="1" si="73"/>
        <v>20.950516786881149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21.5</v>
      </c>
      <c r="E228" s="510"/>
      <c r="F228" s="569">
        <f t="shared" si="74"/>
        <v>21.5</v>
      </c>
      <c r="G228" s="569">
        <f t="shared" ca="1" si="64"/>
        <v>20.217544126657465</v>
      </c>
      <c r="H228" s="569">
        <f t="shared" ca="1" si="65"/>
        <v>17.550864593573507</v>
      </c>
      <c r="I228" s="569">
        <f t="shared" ca="1" si="66"/>
        <v>16.577439331829865</v>
      </c>
      <c r="J228" s="569">
        <f t="shared" ca="1" si="67"/>
        <v>14.564304447585652</v>
      </c>
      <c r="K228" s="569">
        <f t="shared" ca="1" si="68"/>
        <v>13.824585659160089</v>
      </c>
      <c r="L228" s="687"/>
      <c r="M228" s="687">
        <f t="shared" ca="1" si="69"/>
        <v>20.850064702666085</v>
      </c>
      <c r="N228" s="687">
        <f t="shared" ca="1" si="70"/>
        <v>19.913065300073395</v>
      </c>
      <c r="O228" s="687">
        <f t="shared" ca="1" si="71"/>
        <v>20.754030469435364</v>
      </c>
      <c r="P228" s="687">
        <f t="shared" ca="1" si="72"/>
        <v>19.913065300073395</v>
      </c>
      <c r="Q228" s="687">
        <f t="shared" ca="1" si="73"/>
        <v>20.754030469435364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21.5</v>
      </c>
      <c r="E229" s="510"/>
      <c r="F229" s="569">
        <f t="shared" si="74"/>
        <v>21.5</v>
      </c>
      <c r="G229" s="569">
        <f t="shared" ca="1" si="64"/>
        <v>19.555043260983368</v>
      </c>
      <c r="H229" s="569">
        <f t="shared" ca="1" si="65"/>
        <v>15.497861005525763</v>
      </c>
      <c r="I229" s="569">
        <f t="shared" ca="1" si="66"/>
        <v>14.022588005725952</v>
      </c>
      <c r="J229" s="569">
        <f t="shared" ca="1" si="67"/>
        <v>10.958703122408991</v>
      </c>
      <c r="K229" s="569">
        <f t="shared" ca="1" si="68"/>
        <v>9.8386316015153756</v>
      </c>
      <c r="L229" s="687"/>
      <c r="M229" s="687">
        <f t="shared" ca="1" si="69"/>
        <v>20.514316154847734</v>
      </c>
      <c r="N229" s="687">
        <f t="shared" ca="1" si="70"/>
        <v>19.133465363000312</v>
      </c>
      <c r="O229" s="687">
        <f t="shared" ca="1" si="71"/>
        <v>20.418281921617009</v>
      </c>
      <c r="P229" s="687">
        <f t="shared" ca="1" si="72"/>
        <v>19.133465363000312</v>
      </c>
      <c r="Q229" s="687">
        <f t="shared" ca="1" si="73"/>
        <v>20.418281921617009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21.5</v>
      </c>
      <c r="G231" s="569">
        <f t="shared" ca="1" si="75"/>
        <v>21.4</v>
      </c>
      <c r="H231" s="569">
        <f t="shared" ca="1" si="75"/>
        <v>21.4</v>
      </c>
      <c r="I231" s="569">
        <f t="shared" ca="1" si="75"/>
        <v>21.4</v>
      </c>
      <c r="J231" s="569">
        <f t="shared" ca="1" si="75"/>
        <v>21.4</v>
      </c>
      <c r="K231" s="569">
        <f t="shared" ca="1" si="75"/>
        <v>21.4</v>
      </c>
      <c r="L231" s="687"/>
      <c r="M231" s="569">
        <f t="shared" ref="M231:Q242" ca="1" si="76">IF(AND($G$205=1,M218&lt;=$E$205),$E$205,M218)</f>
        <v>21.4</v>
      </c>
      <c r="N231" s="569">
        <f t="shared" ca="1" si="76"/>
        <v>21.4</v>
      </c>
      <c r="O231" s="569">
        <f t="shared" ca="1" si="76"/>
        <v>21.4</v>
      </c>
      <c r="P231" s="569">
        <f t="shared" ca="1" si="76"/>
        <v>21.4</v>
      </c>
      <c r="Q231" s="569">
        <f t="shared" ca="1" si="76"/>
        <v>21.4</v>
      </c>
      <c r="R231" s="687"/>
      <c r="S231" s="687">
        <f ca="1">AVERAGE(M231:Q231)</f>
        <v>21.4</v>
      </c>
      <c r="T231" s="510"/>
      <c r="U231" s="570">
        <f ca="1">IF($G$205=1,M231,D218)</f>
        <v>21.4</v>
      </c>
      <c r="V231" s="570">
        <f t="shared" ref="V231:V242" ca="1" si="77">IF($G$205=1,S231,D218)</f>
        <v>21.4</v>
      </c>
      <c r="W231" s="510"/>
      <c r="X231" s="569">
        <f t="shared" ref="X231:X242" ca="1" si="78">D218*$E$18+U231*$F$18+V231*$I$18</f>
        <v>21.470833333333331</v>
      </c>
      <c r="Y231" s="510"/>
      <c r="Z231" s="704">
        <f ca="1">IF($D$205&gt;X231,X231,$D$205)</f>
        <v>21.470833333333331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21.5</v>
      </c>
      <c r="G232" s="569">
        <f t="shared" ca="1" si="75"/>
        <v>21.4</v>
      </c>
      <c r="H232" s="569">
        <f t="shared" ca="1" si="75"/>
        <v>21.4</v>
      </c>
      <c r="I232" s="569">
        <f t="shared" ca="1" si="75"/>
        <v>21.4</v>
      </c>
      <c r="J232" s="569">
        <f t="shared" ca="1" si="75"/>
        <v>21.4</v>
      </c>
      <c r="K232" s="569">
        <f t="shared" ca="1" si="75"/>
        <v>21.4</v>
      </c>
      <c r="L232" s="687"/>
      <c r="M232" s="569">
        <f t="shared" ca="1" si="76"/>
        <v>21.4</v>
      </c>
      <c r="N232" s="569">
        <f t="shared" ca="1" si="76"/>
        <v>21.4</v>
      </c>
      <c r="O232" s="569">
        <f t="shared" ca="1" si="76"/>
        <v>21.4</v>
      </c>
      <c r="P232" s="569">
        <f t="shared" ca="1" si="76"/>
        <v>21.4</v>
      </c>
      <c r="Q232" s="569">
        <f t="shared" ca="1" si="76"/>
        <v>21.4</v>
      </c>
      <c r="R232" s="687"/>
      <c r="S232" s="687">
        <f t="shared" ref="S232:S242" ca="1" si="79">AVERAGE(M232:Q232)</f>
        <v>21.4</v>
      </c>
      <c r="T232" s="510"/>
      <c r="U232" s="570">
        <f t="shared" ref="U232:U242" ca="1" si="80">IF($G$205=1,M232,D219)</f>
        <v>21.4</v>
      </c>
      <c r="V232" s="570">
        <f t="shared" ca="1" si="77"/>
        <v>21.4</v>
      </c>
      <c r="W232" s="510"/>
      <c r="X232" s="569">
        <f t="shared" ca="1" si="78"/>
        <v>21.470833333333331</v>
      </c>
      <c r="Y232" s="510"/>
      <c r="Z232" s="704">
        <f t="shared" ref="Z232:Z242" ca="1" si="81">IF($D$205&gt;X232,X232,$D$205)</f>
        <v>21.470833333333331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21.5</v>
      </c>
      <c r="G233" s="569">
        <f t="shared" ca="1" si="75"/>
        <v>21.4</v>
      </c>
      <c r="H233" s="569">
        <f t="shared" ca="1" si="75"/>
        <v>21.4</v>
      </c>
      <c r="I233" s="569">
        <f t="shared" ca="1" si="75"/>
        <v>21.4</v>
      </c>
      <c r="J233" s="569">
        <f t="shared" ca="1" si="75"/>
        <v>21.4</v>
      </c>
      <c r="K233" s="569">
        <f t="shared" ca="1" si="75"/>
        <v>21.4</v>
      </c>
      <c r="L233" s="687"/>
      <c r="M233" s="569">
        <f t="shared" ca="1" si="76"/>
        <v>21.4</v>
      </c>
      <c r="N233" s="569">
        <f t="shared" ca="1" si="76"/>
        <v>21.4</v>
      </c>
      <c r="O233" s="569">
        <f t="shared" ca="1" si="76"/>
        <v>21.4</v>
      </c>
      <c r="P233" s="569">
        <f t="shared" ca="1" si="76"/>
        <v>21.4</v>
      </c>
      <c r="Q233" s="569">
        <f t="shared" ca="1" si="76"/>
        <v>21.4</v>
      </c>
      <c r="R233" s="687"/>
      <c r="S233" s="687">
        <f t="shared" ca="1" si="79"/>
        <v>21.4</v>
      </c>
      <c r="T233" s="510"/>
      <c r="U233" s="570">
        <f t="shared" ca="1" si="80"/>
        <v>21.4</v>
      </c>
      <c r="V233" s="570">
        <f t="shared" ca="1" si="77"/>
        <v>21.4</v>
      </c>
      <c r="W233" s="510"/>
      <c r="X233" s="569">
        <f t="shared" ca="1" si="78"/>
        <v>21.470833333333331</v>
      </c>
      <c r="Y233" s="510"/>
      <c r="Z233" s="704">
        <f t="shared" ca="1" si="81"/>
        <v>21.470833333333331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21.5</v>
      </c>
      <c r="G234" s="569">
        <f t="shared" ca="1" si="75"/>
        <v>21.4</v>
      </c>
      <c r="H234" s="569">
        <f t="shared" ca="1" si="75"/>
        <v>21.4</v>
      </c>
      <c r="I234" s="569">
        <f t="shared" ca="1" si="75"/>
        <v>21.4</v>
      </c>
      <c r="J234" s="569">
        <f t="shared" ca="1" si="75"/>
        <v>21.4</v>
      </c>
      <c r="K234" s="569">
        <f t="shared" ca="1" si="75"/>
        <v>21.4</v>
      </c>
      <c r="L234" s="687"/>
      <c r="M234" s="569">
        <f t="shared" ca="1" si="76"/>
        <v>21.4</v>
      </c>
      <c r="N234" s="569">
        <f t="shared" ca="1" si="76"/>
        <v>21.4</v>
      </c>
      <c r="O234" s="569">
        <f t="shared" ca="1" si="76"/>
        <v>21.4</v>
      </c>
      <c r="P234" s="569">
        <f t="shared" ca="1" si="76"/>
        <v>21.4</v>
      </c>
      <c r="Q234" s="569">
        <f t="shared" ca="1" si="76"/>
        <v>21.4</v>
      </c>
      <c r="R234" s="687"/>
      <c r="S234" s="687">
        <f t="shared" ca="1" si="79"/>
        <v>21.4</v>
      </c>
      <c r="T234" s="510"/>
      <c r="U234" s="570">
        <f t="shared" ca="1" si="80"/>
        <v>21.4</v>
      </c>
      <c r="V234" s="570">
        <f t="shared" ca="1" si="77"/>
        <v>21.4</v>
      </c>
      <c r="W234" s="510"/>
      <c r="X234" s="569">
        <f t="shared" ca="1" si="78"/>
        <v>21.470833333333331</v>
      </c>
      <c r="Y234" s="510"/>
      <c r="Z234" s="704">
        <f t="shared" ca="1" si="81"/>
        <v>21.470833333333331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21.5</v>
      </c>
      <c r="G235" s="569">
        <f t="shared" ca="1" si="75"/>
        <v>21.4</v>
      </c>
      <c r="H235" s="569">
        <f t="shared" ca="1" si="75"/>
        <v>21.4</v>
      </c>
      <c r="I235" s="569">
        <f t="shared" ca="1" si="75"/>
        <v>21.4</v>
      </c>
      <c r="J235" s="569">
        <f t="shared" ca="1" si="75"/>
        <v>21.4</v>
      </c>
      <c r="K235" s="569">
        <f t="shared" ca="1" si="75"/>
        <v>21.4</v>
      </c>
      <c r="L235" s="687"/>
      <c r="M235" s="569">
        <f t="shared" ca="1" si="76"/>
        <v>21.4</v>
      </c>
      <c r="N235" s="569">
        <f t="shared" ca="1" si="76"/>
        <v>21.4</v>
      </c>
      <c r="O235" s="569">
        <f t="shared" ca="1" si="76"/>
        <v>21.4</v>
      </c>
      <c r="P235" s="569">
        <f t="shared" ca="1" si="76"/>
        <v>21.4</v>
      </c>
      <c r="Q235" s="569">
        <f t="shared" ca="1" si="76"/>
        <v>21.4</v>
      </c>
      <c r="R235" s="687"/>
      <c r="S235" s="687">
        <f t="shared" ca="1" si="79"/>
        <v>21.4</v>
      </c>
      <c r="T235" s="510"/>
      <c r="U235" s="570">
        <f t="shared" ca="1" si="80"/>
        <v>21.4</v>
      </c>
      <c r="V235" s="570">
        <f t="shared" ca="1" si="77"/>
        <v>21.4</v>
      </c>
      <c r="W235" s="510"/>
      <c r="X235" s="569">
        <f t="shared" ca="1" si="78"/>
        <v>21.470833333333331</v>
      </c>
      <c r="Y235" s="510"/>
      <c r="Z235" s="704">
        <f t="shared" ca="1" si="81"/>
        <v>21.470833333333331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21.5</v>
      </c>
      <c r="G236" s="569">
        <f t="shared" ca="1" si="75"/>
        <v>21.45329106208732</v>
      </c>
      <c r="H236" s="569">
        <f t="shared" ca="1" si="75"/>
        <v>21.655298825748684</v>
      </c>
      <c r="I236" s="569">
        <f t="shared" ca="1" si="75"/>
        <v>21.59643733134893</v>
      </c>
      <c r="J236" s="569">
        <f t="shared" ca="1" si="75"/>
        <v>21.772744604625998</v>
      </c>
      <c r="K236" s="569">
        <f t="shared" ca="1" si="75"/>
        <v>21.704692657850998</v>
      </c>
      <c r="L236" s="687"/>
      <c r="M236" s="569">
        <f t="shared" ca="1" si="76"/>
        <v>21.476328396101998</v>
      </c>
      <c r="N236" s="569">
        <f t="shared" ca="1" si="76"/>
        <v>21.557624051406833</v>
      </c>
      <c r="O236" s="569">
        <f t="shared" ca="1" si="76"/>
        <v>21.625468432626061</v>
      </c>
      <c r="P236" s="569">
        <f t="shared" ca="1" si="76"/>
        <v>21.687496528908309</v>
      </c>
      <c r="Q236" s="569">
        <f t="shared" ca="1" si="76"/>
        <v>21.73825658583274</v>
      </c>
      <c r="R236" s="687"/>
      <c r="S236" s="687">
        <f t="shared" ca="1" si="79"/>
        <v>21.61703479897519</v>
      </c>
      <c r="T236" s="510"/>
      <c r="U236" s="570">
        <f t="shared" ca="1" si="80"/>
        <v>21.476328396101998</v>
      </c>
      <c r="V236" s="570">
        <f t="shared" ca="1" si="77"/>
        <v>21.61703479897519</v>
      </c>
      <c r="W236" s="510"/>
      <c r="X236" s="569">
        <f t="shared" ca="1" si="78"/>
        <v>21.498958548982802</v>
      </c>
      <c r="Y236" s="510"/>
      <c r="Z236" s="704">
        <f t="shared" ca="1" si="81"/>
        <v>21.498958548982802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21.5</v>
      </c>
      <c r="G237" s="569">
        <f t="shared" ca="1" si="75"/>
        <v>21.659566695149959</v>
      </c>
      <c r="H237" s="569">
        <f t="shared" ca="1" si="75"/>
        <v>22.373505325427999</v>
      </c>
      <c r="I237" s="569">
        <f t="shared" ca="1" si="75"/>
        <v>22.464717847532224</v>
      </c>
      <c r="J237" s="569">
        <f t="shared" ca="1" si="75"/>
        <v>23.034099588158544</v>
      </c>
      <c r="K237" s="569">
        <f t="shared" ca="1" si="75"/>
        <v>23.073618808306563</v>
      </c>
      <c r="L237" s="687"/>
      <c r="M237" s="569">
        <f t="shared" ca="1" si="76"/>
        <v>21.580866741392494</v>
      </c>
      <c r="N237" s="569">
        <f t="shared" ca="1" si="76"/>
        <v>22.028301787987537</v>
      </c>
      <c r="O237" s="569">
        <f t="shared" ca="1" si="76"/>
        <v>22.41973088289679</v>
      </c>
      <c r="P237" s="569">
        <f t="shared" ca="1" si="76"/>
        <v>22.758792184017008</v>
      </c>
      <c r="Q237" s="569">
        <f t="shared" ca="1" si="76"/>
        <v>23.054127517876207</v>
      </c>
      <c r="R237" s="687"/>
      <c r="S237" s="687">
        <f t="shared" ca="1" si="79"/>
        <v>22.368363822834006</v>
      </c>
      <c r="T237" s="510"/>
      <c r="U237" s="570">
        <f t="shared" ca="1" si="80"/>
        <v>21.580866741392494</v>
      </c>
      <c r="V237" s="570">
        <f t="shared" ca="1" si="77"/>
        <v>22.368363822834006</v>
      </c>
      <c r="W237" s="510"/>
      <c r="X237" s="569">
        <f t="shared" ca="1" si="78"/>
        <v>21.556398511299541</v>
      </c>
      <c r="Y237" s="510"/>
      <c r="Z237" s="704">
        <f t="shared" ca="1" si="81"/>
        <v>21.5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21.5</v>
      </c>
      <c r="G238" s="569">
        <f t="shared" ca="1" si="75"/>
        <v>21.463801530947155</v>
      </c>
      <c r="H238" s="569">
        <f t="shared" ca="1" si="75"/>
        <v>21.773440547952259</v>
      </c>
      <c r="I238" s="569">
        <f t="shared" ca="1" si="75"/>
        <v>21.715844610574546</v>
      </c>
      <c r="J238" s="569">
        <f t="shared" ca="1" si="75"/>
        <v>21.980231796862682</v>
      </c>
      <c r="K238" s="569">
        <f t="shared" ca="1" si="75"/>
        <v>21.906453880507978</v>
      </c>
      <c r="L238" s="687"/>
      <c r="M238" s="569">
        <f t="shared" ca="1" si="76"/>
        <v>21.481654992397068</v>
      </c>
      <c r="N238" s="569">
        <f t="shared" ca="1" si="76"/>
        <v>21.623723920406665</v>
      </c>
      <c r="O238" s="569">
        <f t="shared" ca="1" si="76"/>
        <v>21.744251525964902</v>
      </c>
      <c r="P238" s="569">
        <f t="shared" ca="1" si="76"/>
        <v>21.852395330127369</v>
      </c>
      <c r="Q238" s="569">
        <f t="shared" ca="1" si="76"/>
        <v>21.942841916244259</v>
      </c>
      <c r="R238" s="687"/>
      <c r="S238" s="687">
        <f t="shared" ca="1" si="79"/>
        <v>21.72897353702805</v>
      </c>
      <c r="T238" s="510"/>
      <c r="U238" s="570">
        <f t="shared" ca="1" si="80"/>
        <v>21.481654992397068</v>
      </c>
      <c r="V238" s="570">
        <f t="shared" ca="1" si="77"/>
        <v>21.72897353702805</v>
      </c>
      <c r="W238" s="510"/>
      <c r="X238" s="569">
        <f t="shared" ca="1" si="78"/>
        <v>21.504954312142104</v>
      </c>
      <c r="Y238" s="510"/>
      <c r="Z238" s="704">
        <f t="shared" ca="1" si="81"/>
        <v>21.5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21.5</v>
      </c>
      <c r="G239" s="569">
        <f t="shared" ca="1" si="75"/>
        <v>21.4</v>
      </c>
      <c r="H239" s="569">
        <f t="shared" ca="1" si="75"/>
        <v>21.4</v>
      </c>
      <c r="I239" s="569">
        <f t="shared" ca="1" si="75"/>
        <v>21.4</v>
      </c>
      <c r="J239" s="569">
        <f t="shared" ca="1" si="75"/>
        <v>21.4</v>
      </c>
      <c r="K239" s="569">
        <f t="shared" ca="1" si="75"/>
        <v>21.4</v>
      </c>
      <c r="L239" s="687"/>
      <c r="M239" s="569">
        <f t="shared" ca="1" si="76"/>
        <v>21.4</v>
      </c>
      <c r="N239" s="569">
        <f t="shared" ca="1" si="76"/>
        <v>21.4</v>
      </c>
      <c r="O239" s="569">
        <f t="shared" ca="1" si="76"/>
        <v>21.4</v>
      </c>
      <c r="P239" s="569">
        <f t="shared" ca="1" si="76"/>
        <v>21.4</v>
      </c>
      <c r="Q239" s="569">
        <f t="shared" ca="1" si="76"/>
        <v>21.4</v>
      </c>
      <c r="R239" s="687"/>
      <c r="S239" s="687">
        <f t="shared" ca="1" si="79"/>
        <v>21.4</v>
      </c>
      <c r="T239" s="510"/>
      <c r="U239" s="570">
        <f t="shared" ca="1" si="80"/>
        <v>21.4</v>
      </c>
      <c r="V239" s="570">
        <f t="shared" ca="1" si="77"/>
        <v>21.4</v>
      </c>
      <c r="W239" s="510"/>
      <c r="X239" s="569">
        <f t="shared" ca="1" si="78"/>
        <v>21.470833333333331</v>
      </c>
      <c r="Y239" s="510"/>
      <c r="Z239" s="704">
        <f t="shared" ca="1" si="81"/>
        <v>21.470833333333331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21.5</v>
      </c>
      <c r="G240" s="569">
        <f t="shared" ca="1" si="75"/>
        <v>21.4</v>
      </c>
      <c r="H240" s="569">
        <f t="shared" ca="1" si="75"/>
        <v>21.4</v>
      </c>
      <c r="I240" s="569">
        <f t="shared" ca="1" si="75"/>
        <v>21.4</v>
      </c>
      <c r="J240" s="569">
        <f t="shared" ca="1" si="75"/>
        <v>21.4</v>
      </c>
      <c r="K240" s="569">
        <f t="shared" ca="1" si="75"/>
        <v>21.4</v>
      </c>
      <c r="L240" s="687"/>
      <c r="M240" s="569">
        <f t="shared" ca="1" si="76"/>
        <v>21.4</v>
      </c>
      <c r="N240" s="569">
        <f t="shared" ca="1" si="76"/>
        <v>21.4</v>
      </c>
      <c r="O240" s="569">
        <f t="shared" ca="1" si="76"/>
        <v>21.4</v>
      </c>
      <c r="P240" s="569">
        <f t="shared" ca="1" si="76"/>
        <v>21.4</v>
      </c>
      <c r="Q240" s="569">
        <f t="shared" ca="1" si="76"/>
        <v>21.4</v>
      </c>
      <c r="R240" s="687"/>
      <c r="S240" s="687">
        <f t="shared" ca="1" si="79"/>
        <v>21.4</v>
      </c>
      <c r="T240" s="510"/>
      <c r="U240" s="570">
        <f t="shared" ca="1" si="80"/>
        <v>21.4</v>
      </c>
      <c r="V240" s="570">
        <f t="shared" ca="1" si="77"/>
        <v>21.4</v>
      </c>
      <c r="W240" s="510"/>
      <c r="X240" s="569">
        <f t="shared" ca="1" si="78"/>
        <v>21.470833333333331</v>
      </c>
      <c r="Y240" s="510"/>
      <c r="Z240" s="704">
        <f t="shared" ca="1" si="81"/>
        <v>21.470833333333331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21.5</v>
      </c>
      <c r="G241" s="569">
        <f t="shared" ca="1" si="75"/>
        <v>21.4</v>
      </c>
      <c r="H241" s="569">
        <f t="shared" ca="1" si="75"/>
        <v>21.4</v>
      </c>
      <c r="I241" s="569">
        <f t="shared" ca="1" si="75"/>
        <v>21.4</v>
      </c>
      <c r="J241" s="569">
        <f t="shared" ca="1" si="75"/>
        <v>21.4</v>
      </c>
      <c r="K241" s="569">
        <f t="shared" ca="1" si="75"/>
        <v>21.4</v>
      </c>
      <c r="L241" s="687"/>
      <c r="M241" s="569">
        <f t="shared" ca="1" si="76"/>
        <v>21.4</v>
      </c>
      <c r="N241" s="569">
        <f t="shared" ca="1" si="76"/>
        <v>21.4</v>
      </c>
      <c r="O241" s="569">
        <f t="shared" ca="1" si="76"/>
        <v>21.4</v>
      </c>
      <c r="P241" s="569">
        <f t="shared" ca="1" si="76"/>
        <v>21.4</v>
      </c>
      <c r="Q241" s="569">
        <f t="shared" ca="1" si="76"/>
        <v>21.4</v>
      </c>
      <c r="R241" s="687"/>
      <c r="S241" s="687">
        <f t="shared" ca="1" si="79"/>
        <v>21.4</v>
      </c>
      <c r="T241" s="510"/>
      <c r="U241" s="570">
        <f t="shared" ca="1" si="80"/>
        <v>21.4</v>
      </c>
      <c r="V241" s="570">
        <f t="shared" ca="1" si="77"/>
        <v>21.4</v>
      </c>
      <c r="W241" s="510"/>
      <c r="X241" s="569">
        <f t="shared" ca="1" si="78"/>
        <v>21.470833333333331</v>
      </c>
      <c r="Y241" s="510"/>
      <c r="Z241" s="704">
        <f t="shared" ca="1" si="81"/>
        <v>21.470833333333331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21.5</v>
      </c>
      <c r="G242" s="569">
        <f t="shared" ca="1" si="75"/>
        <v>21.4</v>
      </c>
      <c r="H242" s="569">
        <f t="shared" ca="1" si="75"/>
        <v>21.4</v>
      </c>
      <c r="I242" s="569">
        <f t="shared" ca="1" si="75"/>
        <v>21.4</v>
      </c>
      <c r="J242" s="569">
        <f t="shared" ca="1" si="75"/>
        <v>21.4</v>
      </c>
      <c r="K242" s="569">
        <f t="shared" ca="1" si="75"/>
        <v>21.4</v>
      </c>
      <c r="L242" s="687"/>
      <c r="M242" s="569">
        <f t="shared" ca="1" si="76"/>
        <v>21.4</v>
      </c>
      <c r="N242" s="569">
        <f t="shared" ca="1" si="76"/>
        <v>21.4</v>
      </c>
      <c r="O242" s="569">
        <f t="shared" ca="1" si="76"/>
        <v>21.4</v>
      </c>
      <c r="P242" s="569">
        <f t="shared" ca="1" si="76"/>
        <v>21.4</v>
      </c>
      <c r="Q242" s="569">
        <f t="shared" ca="1" si="76"/>
        <v>21.4</v>
      </c>
      <c r="R242" s="687"/>
      <c r="S242" s="687">
        <f t="shared" ca="1" si="79"/>
        <v>21.4</v>
      </c>
      <c r="T242" s="510"/>
      <c r="U242" s="570">
        <f t="shared" ca="1" si="80"/>
        <v>21.4</v>
      </c>
      <c r="V242" s="570">
        <f t="shared" ca="1" si="77"/>
        <v>21.4</v>
      </c>
      <c r="W242" s="510"/>
      <c r="X242" s="569">
        <f t="shared" ca="1" si="78"/>
        <v>21.470833333333331</v>
      </c>
      <c r="Y242" s="510"/>
      <c r="Z242" s="704">
        <f t="shared" ca="1" si="81"/>
        <v>21.470833333333331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24.5</v>
      </c>
      <c r="E246" s="510"/>
      <c r="F246" s="569">
        <f t="shared" ref="F246:F257" si="83">D246</f>
        <v>24.5</v>
      </c>
      <c r="G246" s="569">
        <f t="shared" ref="G246:G257" ca="1" si="84">(F246-$CS5-$K188/$D$211)*EXP(-$D$211/$D$212*G$216)+$CS5+$K188/$D$211</f>
        <v>22.225876954737899</v>
      </c>
      <c r="H246" s="569">
        <f t="shared" ref="H246:H257" ca="1" si="85">(G246-$CR5-$L188/$D$211)*EXP(-$D$211/$D$212*H$216)+$CR5+$L188/$D$211</f>
        <v>17.532241856965943</v>
      </c>
      <c r="I246" s="569">
        <f t="shared" ref="I246:I257" ca="1" si="86">(H246-$CS5-$M188/$D$211)*EXP(-$D$211/$D$212*I$216)+$CS5+$M188/$D$211</f>
        <v>15.803364881745136</v>
      </c>
      <c r="J246" s="569">
        <f t="shared" ref="J246:J257" ca="1" si="87">(I246-$CR5-$L188/$D$211)*EXP(-$D$211/$D$212*J$216)+$CR5+$L188/$D$211</f>
        <v>12.262828014380545</v>
      </c>
      <c r="K246" s="569">
        <f t="shared" ref="K246:K257" ca="1" si="88">(J246-$CS5-$M188/$D$211)*EXP(-$D$211/$D$212*K$216)+$CS5+$M188/$D$211</f>
        <v>10.946297037702074</v>
      </c>
      <c r="L246" s="510"/>
      <c r="M246" s="687">
        <f t="shared" ref="M246:M257" ca="1" si="89">$D$212/G$216/$D$211*(F259-$CS5-$K188/$D$211)*(1-EXP(-$D$211/$D$212*G$216))+$CS5+$K188/$D$211</f>
        <v>23.347498094617436</v>
      </c>
      <c r="N246" s="687">
        <f t="shared" ref="N246:N257" ca="1" si="90">$D$212/H$216/$D$211*(G259-$CR5-$L188/$D$211)*(1-EXP(-$D$211/$D$212*H$216))+$CR5+$L188/$D$211</f>
        <v>19.801707845344488</v>
      </c>
      <c r="O246" s="687">
        <f t="shared" ref="O246:O257" ca="1" si="91">$D$212/I$216/$D$211*(H259-$CS5-$M188/$D$211)*(1-EXP(-$D$211/$D$212*I$216))+$CS5+$M188/$D$211</f>
        <v>16.65606498858353</v>
      </c>
      <c r="P246" s="687">
        <f t="shared" ref="P246:P257" ca="1" si="92">$D$212/J$216/$D$211*(I259-$CR5-$L188/$D$211)*(1-EXP(-$D$211/$D$212*J$216))+$CR5+$L188/$D$211</f>
        <v>13.974748057951572</v>
      </c>
      <c r="Q246" s="687">
        <f t="shared" ref="Q246:Q257" ca="1" si="93">$D$212/K$216/$D$211*(J259-$CS5-$M188/$D$211)*(1-EXP(-$D$211/$D$212*K$216))+$CS5+$M188/$D$211</f>
        <v>11.595623809103152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24.5</v>
      </c>
      <c r="E247" s="510"/>
      <c r="F247" s="569">
        <f t="shared" si="83"/>
        <v>24.5</v>
      </c>
      <c r="G247" s="569">
        <f t="shared" ca="1" si="84"/>
        <v>22.377823704949872</v>
      </c>
      <c r="H247" s="569">
        <f t="shared" ca="1" si="85"/>
        <v>18.051608179725577</v>
      </c>
      <c r="I247" s="569">
        <f t="shared" ca="1" si="86"/>
        <v>16.434036124075764</v>
      </c>
      <c r="J247" s="569">
        <f t="shared" ca="1" si="87"/>
        <v>13.174968603172699</v>
      </c>
      <c r="K247" s="569">
        <f t="shared" ca="1" si="88"/>
        <v>11.939006888975623</v>
      </c>
      <c r="L247" s="510"/>
      <c r="M247" s="687">
        <f t="shared" ca="1" si="89"/>
        <v>23.4245031271731</v>
      </c>
      <c r="N247" s="687">
        <f t="shared" ca="1" si="90"/>
        <v>20.143419491932701</v>
      </c>
      <c r="O247" s="687">
        <f t="shared" ca="1" si="91"/>
        <v>17.231839486859997</v>
      </c>
      <c r="P247" s="687">
        <f t="shared" ca="1" si="92"/>
        <v>14.750792615574023</v>
      </c>
      <c r="Q247" s="687">
        <f t="shared" ca="1" si="93"/>
        <v>12.548596062091548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24.5</v>
      </c>
      <c r="E248" s="510"/>
      <c r="F248" s="569">
        <f t="shared" si="83"/>
        <v>24.5</v>
      </c>
      <c r="G248" s="569">
        <f t="shared" ca="1" si="84"/>
        <v>22.85840207823766</v>
      </c>
      <c r="H248" s="569">
        <f t="shared" ca="1" si="85"/>
        <v>19.614832675428413</v>
      </c>
      <c r="I248" s="569">
        <f t="shared" ca="1" si="86"/>
        <v>18.355512414649432</v>
      </c>
      <c r="J248" s="569">
        <f t="shared" ca="1" si="87"/>
        <v>15.920392111474763</v>
      </c>
      <c r="K248" s="569">
        <f t="shared" ca="1" si="88"/>
        <v>14.950171896527699</v>
      </c>
      <c r="L248" s="510"/>
      <c r="M248" s="687">
        <f t="shared" ca="1" si="89"/>
        <v>23.668055248090106</v>
      </c>
      <c r="N248" s="687">
        <f t="shared" ca="1" si="90"/>
        <v>21.183163039268415</v>
      </c>
      <c r="O248" s="687">
        <f t="shared" ca="1" si="91"/>
        <v>18.976622265900033</v>
      </c>
      <c r="P248" s="687">
        <f t="shared" ca="1" si="92"/>
        <v>17.097821244874659</v>
      </c>
      <c r="Q248" s="687">
        <f t="shared" ca="1" si="93"/>
        <v>15.42869459814241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24.5</v>
      </c>
      <c r="E249" s="510"/>
      <c r="F249" s="569">
        <f t="shared" si="83"/>
        <v>24.5</v>
      </c>
      <c r="G249" s="569">
        <f t="shared" ca="1" si="84"/>
        <v>23.37222540465963</v>
      </c>
      <c r="H249" s="569">
        <f t="shared" ca="1" si="85"/>
        <v>21.143276006537477</v>
      </c>
      <c r="I249" s="569">
        <f t="shared" ca="1" si="86"/>
        <v>20.278174214712614</v>
      </c>
      <c r="J249" s="569">
        <f t="shared" ca="1" si="87"/>
        <v>18.604730966111052</v>
      </c>
      <c r="K249" s="569">
        <f t="shared" ca="1" si="88"/>
        <v>17.938277244225169</v>
      </c>
      <c r="L249" s="510"/>
      <c r="M249" s="687">
        <f t="shared" ca="1" si="89"/>
        <v>23.928455565463025</v>
      </c>
      <c r="N249" s="687">
        <f t="shared" ca="1" si="90"/>
        <v>22.221017403872843</v>
      </c>
      <c r="O249" s="687">
        <f t="shared" ca="1" si="91"/>
        <v>20.704851416669644</v>
      </c>
      <c r="P249" s="687">
        <f t="shared" ca="1" si="92"/>
        <v>19.413874083773898</v>
      </c>
      <c r="Q249" s="687">
        <f t="shared" ca="1" si="93"/>
        <v>18.266979151879621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24.5</v>
      </c>
      <c r="E250" s="510"/>
      <c r="F250" s="569">
        <f t="shared" si="83"/>
        <v>24.5</v>
      </c>
      <c r="G250" s="569">
        <f t="shared" ca="1" si="84"/>
        <v>23.674830933372537</v>
      </c>
      <c r="H250" s="569">
        <f t="shared" ca="1" si="85"/>
        <v>22.499665955107734</v>
      </c>
      <c r="I250" s="569">
        <f t="shared" ca="1" si="86"/>
        <v>21.831028480759734</v>
      </c>
      <c r="J250" s="569">
        <f t="shared" ca="1" si="87"/>
        <v>20.986899913351824</v>
      </c>
      <c r="K250" s="569">
        <f t="shared" ca="1" si="88"/>
        <v>20.43664050584071</v>
      </c>
      <c r="L250" s="510"/>
      <c r="M250" s="687">
        <f t="shared" ca="1" si="89"/>
        <v>24.081812899907842</v>
      </c>
      <c r="N250" s="687">
        <f t="shared" ca="1" si="90"/>
        <v>23.067881611704387</v>
      </c>
      <c r="O250" s="687">
        <f t="shared" ca="1" si="91"/>
        <v>22.160807437842482</v>
      </c>
      <c r="P250" s="687">
        <f t="shared" ca="1" si="92"/>
        <v>21.395052876597802</v>
      </c>
      <c r="Q250" s="687">
        <f t="shared" ca="1" si="93"/>
        <v>20.70803416906746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24.5</v>
      </c>
      <c r="E251" s="510"/>
      <c r="F251" s="569">
        <f t="shared" si="83"/>
        <v>24.5</v>
      </c>
      <c r="G251" s="569">
        <f t="shared" ca="1" si="84"/>
        <v>24.218532883553358</v>
      </c>
      <c r="H251" s="569">
        <f t="shared" ca="1" si="85"/>
        <v>23.924068952846213</v>
      </c>
      <c r="I251" s="569">
        <f t="shared" ca="1" si="86"/>
        <v>23.687670010929896</v>
      </c>
      <c r="J251" s="569">
        <f t="shared" ca="1" si="87"/>
        <v>23.48851723449604</v>
      </c>
      <c r="K251" s="569">
        <f t="shared" ca="1" si="88"/>
        <v>23.286201401932132</v>
      </c>
      <c r="L251" s="510"/>
      <c r="M251" s="687">
        <f t="shared" ca="1" si="89"/>
        <v>24.357355393023642</v>
      </c>
      <c r="N251" s="687">
        <f t="shared" ca="1" si="90"/>
        <v>24.066448124133164</v>
      </c>
      <c r="O251" s="687">
        <f t="shared" ca="1" si="91"/>
        <v>23.804264427951836</v>
      </c>
      <c r="P251" s="687">
        <f t="shared" ca="1" si="92"/>
        <v>23.584811565689861</v>
      </c>
      <c r="Q251" s="687">
        <f t="shared" ca="1" si="93"/>
        <v>23.385985674911019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24.5</v>
      </c>
      <c r="E252" s="510"/>
      <c r="F252" s="569">
        <f t="shared" si="83"/>
        <v>24.5</v>
      </c>
      <c r="G252" s="569">
        <f t="shared" ca="1" si="84"/>
        <v>24.424808516615993</v>
      </c>
      <c r="H252" s="569">
        <f t="shared" ca="1" si="85"/>
        <v>24.642275452525521</v>
      </c>
      <c r="I252" s="569">
        <f t="shared" ca="1" si="86"/>
        <v>24.555950527113183</v>
      </c>
      <c r="J252" s="569">
        <f t="shared" ca="1" si="87"/>
        <v>24.749872218028582</v>
      </c>
      <c r="K252" s="569">
        <f t="shared" ca="1" si="88"/>
        <v>24.655127552387697</v>
      </c>
      <c r="L252" s="510"/>
      <c r="M252" s="687">
        <f t="shared" ca="1" si="89"/>
        <v>24.461893738314135</v>
      </c>
      <c r="N252" s="687">
        <f t="shared" ca="1" si="90"/>
        <v>24.537125860713868</v>
      </c>
      <c r="O252" s="687">
        <f t="shared" ca="1" si="91"/>
        <v>24.557927971544856</v>
      </c>
      <c r="P252" s="687">
        <f t="shared" ca="1" si="92"/>
        <v>24.656107220798553</v>
      </c>
      <c r="Q252" s="687">
        <f t="shared" ca="1" si="93"/>
        <v>24.557927971544856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24.5</v>
      </c>
      <c r="E253" s="510"/>
      <c r="F253" s="569">
        <f t="shared" si="83"/>
        <v>24.5</v>
      </c>
      <c r="G253" s="569">
        <f t="shared" ca="1" si="84"/>
        <v>24.229043352413189</v>
      </c>
      <c r="H253" s="569">
        <f t="shared" ca="1" si="85"/>
        <v>24.042210675049784</v>
      </c>
      <c r="I253" s="569">
        <f t="shared" ca="1" si="86"/>
        <v>23.807077290155508</v>
      </c>
      <c r="J253" s="569">
        <f t="shared" ca="1" si="87"/>
        <v>23.696004426732721</v>
      </c>
      <c r="K253" s="569">
        <f t="shared" ca="1" si="88"/>
        <v>23.487962624589109</v>
      </c>
      <c r="L253" s="510"/>
      <c r="M253" s="687">
        <f t="shared" ca="1" si="89"/>
        <v>24.362681989318709</v>
      </c>
      <c r="N253" s="687">
        <f t="shared" ca="1" si="90"/>
        <v>24.132547993132995</v>
      </c>
      <c r="O253" s="687">
        <f t="shared" ca="1" si="91"/>
        <v>23.923047521290673</v>
      </c>
      <c r="P253" s="687">
        <f t="shared" ca="1" si="92"/>
        <v>23.749710366908914</v>
      </c>
      <c r="Q253" s="687">
        <f t="shared" ca="1" si="93"/>
        <v>23.590571005322534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24.5</v>
      </c>
      <c r="E254" s="510"/>
      <c r="F254" s="569">
        <f t="shared" si="83"/>
        <v>24.5</v>
      </c>
      <c r="G254" s="569">
        <f t="shared" ca="1" si="84"/>
        <v>23.890349240374277</v>
      </c>
      <c r="H254" s="569">
        <f t="shared" ca="1" si="85"/>
        <v>23.140477943804854</v>
      </c>
      <c r="I254" s="569">
        <f t="shared" ca="1" si="86"/>
        <v>22.637213491375505</v>
      </c>
      <c r="J254" s="569">
        <f t="shared" ca="1" si="87"/>
        <v>22.112330267729604</v>
      </c>
      <c r="K254" s="569">
        <f t="shared" ca="1" si="88"/>
        <v>21.689521173866709</v>
      </c>
      <c r="L254" s="510"/>
      <c r="M254" s="687">
        <f t="shared" ca="1" si="89"/>
        <v>24.191035336214362</v>
      </c>
      <c r="N254" s="687">
        <f t="shared" ca="1" si="90"/>
        <v>23.503055640574136</v>
      </c>
      <c r="O254" s="687">
        <f t="shared" ca="1" si="91"/>
        <v>22.885428753944819</v>
      </c>
      <c r="P254" s="687">
        <f t="shared" ca="1" si="92"/>
        <v>22.366121753245878</v>
      </c>
      <c r="Q254" s="687">
        <f t="shared" ca="1" si="93"/>
        <v>21.898055016746472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24.5</v>
      </c>
      <c r="E255" s="510"/>
      <c r="F255" s="569">
        <f t="shared" si="83"/>
        <v>24.5</v>
      </c>
      <c r="G255" s="569">
        <f t="shared" ca="1" si="84"/>
        <v>23.370493821312508</v>
      </c>
      <c r="H255" s="569">
        <f t="shared" ca="1" si="85"/>
        <v>21.367634040171978</v>
      </c>
      <c r="I255" s="569">
        <f t="shared" ca="1" si="86"/>
        <v>20.483244037228161</v>
      </c>
      <c r="J255" s="569">
        <f t="shared" ca="1" si="87"/>
        <v>18.998761267906985</v>
      </c>
      <c r="K255" s="569">
        <f t="shared" ca="1" si="88"/>
        <v>18.299742017361709</v>
      </c>
      <c r="L255" s="510"/>
      <c r="M255" s="687">
        <f t="shared" ca="1" si="89"/>
        <v>23.927578017033518</v>
      </c>
      <c r="N255" s="687">
        <f t="shared" ca="1" si="90"/>
        <v>22.33605660777793</v>
      </c>
      <c r="O255" s="687">
        <f t="shared" ca="1" si="91"/>
        <v>20.919434385532547</v>
      </c>
      <c r="P255" s="687">
        <f t="shared" ca="1" si="92"/>
        <v>19.716538232909578</v>
      </c>
      <c r="Q255" s="687">
        <f t="shared" ca="1" si="93"/>
        <v>18.644505582476526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24.5</v>
      </c>
      <c r="E256" s="510"/>
      <c r="F256" s="569">
        <f t="shared" si="83"/>
        <v>24.5</v>
      </c>
      <c r="G256" s="569">
        <f t="shared" ca="1" si="84"/>
        <v>22.9827859481235</v>
      </c>
      <c r="H256" s="569">
        <f t="shared" ca="1" si="85"/>
        <v>19.819634720671029</v>
      </c>
      <c r="I256" s="569">
        <f t="shared" ca="1" si="86"/>
        <v>18.668672011410823</v>
      </c>
      <c r="J256" s="569">
        <f t="shared" ca="1" si="87"/>
        <v>16.280077077455687</v>
      </c>
      <c r="K256" s="569">
        <f t="shared" ca="1" si="88"/>
        <v>15.406094403241216</v>
      </c>
      <c r="L256" s="510"/>
      <c r="M256" s="687">
        <f t="shared" ca="1" si="89"/>
        <v>23.731091699587726</v>
      </c>
      <c r="N256" s="687">
        <f t="shared" ca="1" si="90"/>
        <v>21.34908129614276</v>
      </c>
      <c r="O256" s="687">
        <f t="shared" ca="1" si="91"/>
        <v>19.236338791187237</v>
      </c>
      <c r="P256" s="687">
        <f t="shared" ca="1" si="92"/>
        <v>17.435010268831753</v>
      </c>
      <c r="Q256" s="687">
        <f t="shared" ca="1" si="93"/>
        <v>15.837151748765992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24.5</v>
      </c>
      <c r="E257" s="510"/>
      <c r="F257" s="569">
        <f t="shared" si="83"/>
        <v>24.5</v>
      </c>
      <c r="G257" s="569">
        <f t="shared" ca="1" si="84"/>
        <v>22.320285082449409</v>
      </c>
      <c r="H257" s="569">
        <f t="shared" ca="1" si="85"/>
        <v>17.766631132623296</v>
      </c>
      <c r="I257" s="569">
        <f t="shared" ca="1" si="86"/>
        <v>16.113820685306926</v>
      </c>
      <c r="J257" s="569">
        <f t="shared" ca="1" si="87"/>
        <v>12.674475752279042</v>
      </c>
      <c r="K257" s="569">
        <f t="shared" ca="1" si="88"/>
        <v>11.42014034559652</v>
      </c>
      <c r="L257" s="510"/>
      <c r="M257" s="687">
        <f t="shared" ca="1" si="89"/>
        <v>23.395343151769374</v>
      </c>
      <c r="N257" s="687">
        <f t="shared" ca="1" si="90"/>
        <v>19.968413449889852</v>
      </c>
      <c r="O257" s="687">
        <f t="shared" ca="1" si="91"/>
        <v>16.92900398938805</v>
      </c>
      <c r="P257" s="687">
        <f t="shared" ca="1" si="92"/>
        <v>14.33746748154962</v>
      </c>
      <c r="Q257" s="687">
        <f t="shared" ca="1" si="93"/>
        <v>12.038791614957526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24.5</v>
      </c>
      <c r="G259" s="569">
        <f t="shared" ca="1" si="94"/>
        <v>22.225876954737899</v>
      </c>
      <c r="H259" s="569">
        <f t="shared" ca="1" si="94"/>
        <v>17.532241856965943</v>
      </c>
      <c r="I259" s="569">
        <f t="shared" ca="1" si="94"/>
        <v>15.803364881745136</v>
      </c>
      <c r="J259" s="569">
        <f t="shared" ca="1" si="94"/>
        <v>12.262828014380545</v>
      </c>
      <c r="K259" s="569">
        <f t="shared" ca="1" si="94"/>
        <v>10.946297037702074</v>
      </c>
      <c r="L259" s="510"/>
      <c r="M259" s="705">
        <f t="shared" ref="M259:Q270" ca="1" si="95">IF(AND($G$206=1,M246&gt;=$E$206),$E$206,M246)</f>
        <v>23.347498094617436</v>
      </c>
      <c r="N259" s="569">
        <f t="shared" ca="1" si="95"/>
        <v>19.801707845344488</v>
      </c>
      <c r="O259" s="569">
        <f t="shared" ca="1" si="95"/>
        <v>16.65606498858353</v>
      </c>
      <c r="P259" s="569">
        <f t="shared" ca="1" si="95"/>
        <v>13.974748057951572</v>
      </c>
      <c r="Q259" s="569">
        <f t="shared" ca="1" si="95"/>
        <v>11.595623809103152</v>
      </c>
      <c r="R259" s="510"/>
      <c r="S259" s="687">
        <f t="shared" ref="S259:S270" ca="1" si="96">AVERAGE(M259:Q259)</f>
        <v>17.075128559120039</v>
      </c>
      <c r="T259" s="510"/>
      <c r="U259" s="570">
        <f t="shared" ref="U259:U270" ca="1" si="97">IF($G$206=1,M259,D246)</f>
        <v>23.347498094617436</v>
      </c>
      <c r="V259" s="570">
        <f t="shared" ref="V259:V270" ca="1" si="98">IF($G$206=1,S259,D246)</f>
        <v>17.075128559120039</v>
      </c>
      <c r="W259" s="510"/>
      <c r="X259" s="569">
        <f t="shared" ref="X259:X270" ca="1" si="99">D246*$E$18+U259*$F$18+V259*$I$18</f>
        <v>23.902504880284361</v>
      </c>
      <c r="Y259" s="510"/>
      <c r="Z259" s="706">
        <f ca="1">IF($D$206&lt;X259,X259,$D$206)</f>
        <v>24.5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24.5</v>
      </c>
      <c r="G260" s="569">
        <f t="shared" ca="1" si="94"/>
        <v>22.377823704949872</v>
      </c>
      <c r="H260" s="569">
        <f t="shared" ca="1" si="94"/>
        <v>18.051608179725577</v>
      </c>
      <c r="I260" s="569">
        <f t="shared" ca="1" si="94"/>
        <v>16.434036124075764</v>
      </c>
      <c r="J260" s="569">
        <f t="shared" ca="1" si="94"/>
        <v>13.174968603172699</v>
      </c>
      <c r="K260" s="569">
        <f t="shared" ca="1" si="94"/>
        <v>11.939006888975623</v>
      </c>
      <c r="L260" s="510"/>
      <c r="M260" s="705">
        <f t="shared" ca="1" si="95"/>
        <v>23.4245031271731</v>
      </c>
      <c r="N260" s="569">
        <f t="shared" ca="1" si="95"/>
        <v>20.143419491932701</v>
      </c>
      <c r="O260" s="569">
        <f t="shared" ca="1" si="95"/>
        <v>17.231839486859997</v>
      </c>
      <c r="P260" s="569">
        <f t="shared" ca="1" si="95"/>
        <v>14.750792615574023</v>
      </c>
      <c r="Q260" s="569">
        <f t="shared" ca="1" si="95"/>
        <v>12.548596062091548</v>
      </c>
      <c r="R260" s="510"/>
      <c r="S260" s="687">
        <f t="shared" ca="1" si="96"/>
        <v>17.619830156726273</v>
      </c>
      <c r="T260" s="510"/>
      <c r="U260" s="570">
        <f t="shared" ca="1" si="97"/>
        <v>23.4245031271731</v>
      </c>
      <c r="V260" s="570">
        <f t="shared" ca="1" si="98"/>
        <v>17.619830156726273</v>
      </c>
      <c r="W260" s="510"/>
      <c r="X260" s="569">
        <f t="shared" ca="1" si="99"/>
        <v>23.944452038323536</v>
      </c>
      <c r="Y260" s="510"/>
      <c r="Z260" s="706">
        <f t="shared" ref="Z260:Z270" ca="1" si="100">IF($D$206&lt;X260,X260,$D$206)</f>
        <v>24.5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24.5</v>
      </c>
      <c r="G261" s="569">
        <f t="shared" ca="1" si="94"/>
        <v>22.85840207823766</v>
      </c>
      <c r="H261" s="569">
        <f t="shared" ca="1" si="94"/>
        <v>19.614832675428413</v>
      </c>
      <c r="I261" s="569">
        <f t="shared" ca="1" si="94"/>
        <v>18.355512414649432</v>
      </c>
      <c r="J261" s="569">
        <f t="shared" ca="1" si="94"/>
        <v>15.920392111474763</v>
      </c>
      <c r="K261" s="569">
        <f t="shared" ca="1" si="94"/>
        <v>14.950171896527699</v>
      </c>
      <c r="L261" s="510"/>
      <c r="M261" s="705">
        <f t="shared" ca="1" si="95"/>
        <v>23.668055248090106</v>
      </c>
      <c r="N261" s="569">
        <f t="shared" ca="1" si="95"/>
        <v>21.183163039268415</v>
      </c>
      <c r="O261" s="569">
        <f t="shared" ca="1" si="95"/>
        <v>18.976622265900033</v>
      </c>
      <c r="P261" s="569">
        <f t="shared" ca="1" si="95"/>
        <v>17.097821244874659</v>
      </c>
      <c r="Q261" s="569">
        <f t="shared" ca="1" si="95"/>
        <v>15.42869459814241</v>
      </c>
      <c r="R261" s="510"/>
      <c r="S261" s="687">
        <f t="shared" ca="1" si="96"/>
        <v>19.270871279255125</v>
      </c>
      <c r="T261" s="510"/>
      <c r="U261" s="570">
        <f t="shared" ca="1" si="97"/>
        <v>23.668055248090106</v>
      </c>
      <c r="V261" s="570">
        <f t="shared" ca="1" si="98"/>
        <v>19.270871279255125</v>
      </c>
      <c r="W261" s="510"/>
      <c r="X261" s="569">
        <f t="shared" ca="1" si="99"/>
        <v>24.074133448658159</v>
      </c>
      <c r="Y261" s="510"/>
      <c r="Z261" s="706">
        <f t="shared" ca="1" si="100"/>
        <v>24.5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24.5</v>
      </c>
      <c r="G262" s="569">
        <f t="shared" ca="1" si="94"/>
        <v>23.37222540465963</v>
      </c>
      <c r="H262" s="569">
        <f t="shared" ca="1" si="94"/>
        <v>21.143276006537477</v>
      </c>
      <c r="I262" s="569">
        <f t="shared" ca="1" si="94"/>
        <v>20.278174214712614</v>
      </c>
      <c r="J262" s="569">
        <f t="shared" ca="1" si="94"/>
        <v>18.604730966111052</v>
      </c>
      <c r="K262" s="569">
        <f t="shared" ca="1" si="94"/>
        <v>17.938277244225169</v>
      </c>
      <c r="L262" s="510"/>
      <c r="M262" s="705">
        <f t="shared" ca="1" si="95"/>
        <v>23.928455565463025</v>
      </c>
      <c r="N262" s="569">
        <f t="shared" ca="1" si="95"/>
        <v>22.221017403872843</v>
      </c>
      <c r="O262" s="569">
        <f t="shared" ca="1" si="95"/>
        <v>20.704851416669644</v>
      </c>
      <c r="P262" s="569">
        <f t="shared" ca="1" si="95"/>
        <v>19.413874083773898</v>
      </c>
      <c r="Q262" s="569">
        <f t="shared" ca="1" si="95"/>
        <v>18.266979151879621</v>
      </c>
      <c r="R262" s="510"/>
      <c r="S262" s="687">
        <f t="shared" ca="1" si="96"/>
        <v>20.907035524331807</v>
      </c>
      <c r="T262" s="510"/>
      <c r="U262" s="570">
        <f t="shared" ca="1" si="97"/>
        <v>23.928455565463025</v>
      </c>
      <c r="V262" s="570">
        <f t="shared" ca="1" si="98"/>
        <v>20.907035524331807</v>
      </c>
      <c r="W262" s="510"/>
      <c r="X262" s="569">
        <f t="shared" ca="1" si="99"/>
        <v>24.207407038212917</v>
      </c>
      <c r="Y262" s="510"/>
      <c r="Z262" s="706">
        <f t="shared" ca="1" si="100"/>
        <v>24.5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24.5</v>
      </c>
      <c r="G263" s="569">
        <f t="shared" ca="1" si="94"/>
        <v>23.674830933372537</v>
      </c>
      <c r="H263" s="569">
        <f t="shared" ca="1" si="94"/>
        <v>22.499665955107734</v>
      </c>
      <c r="I263" s="569">
        <f t="shared" ca="1" si="94"/>
        <v>21.831028480759734</v>
      </c>
      <c r="J263" s="569">
        <f t="shared" ca="1" si="94"/>
        <v>20.986899913351824</v>
      </c>
      <c r="K263" s="569">
        <f t="shared" ca="1" si="94"/>
        <v>20.43664050584071</v>
      </c>
      <c r="L263" s="510"/>
      <c r="M263" s="705">
        <f t="shared" ca="1" si="95"/>
        <v>24.081812899907842</v>
      </c>
      <c r="N263" s="569">
        <f t="shared" ca="1" si="95"/>
        <v>23.067881611704387</v>
      </c>
      <c r="O263" s="569">
        <f t="shared" ca="1" si="95"/>
        <v>22.160807437842482</v>
      </c>
      <c r="P263" s="569">
        <f t="shared" ca="1" si="95"/>
        <v>21.395052876597802</v>
      </c>
      <c r="Q263" s="569">
        <f t="shared" ca="1" si="95"/>
        <v>20.70803416906746</v>
      </c>
      <c r="R263" s="510"/>
      <c r="S263" s="687">
        <f t="shared" ca="1" si="96"/>
        <v>22.282717799023992</v>
      </c>
      <c r="T263" s="510"/>
      <c r="U263" s="570">
        <f t="shared" ca="1" si="97"/>
        <v>24.081812899907842</v>
      </c>
      <c r="V263" s="570">
        <f t="shared" ca="1" si="98"/>
        <v>22.282717799023992</v>
      </c>
      <c r="W263" s="510"/>
      <c r="X263" s="569">
        <f t="shared" ca="1" si="99"/>
        <v>24.303066466602964</v>
      </c>
      <c r="Y263" s="510"/>
      <c r="Z263" s="706">
        <f t="shared" ca="1" si="100"/>
        <v>24.5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24.5</v>
      </c>
      <c r="G264" s="569">
        <f t="shared" ca="1" si="94"/>
        <v>24.218532883553358</v>
      </c>
      <c r="H264" s="569">
        <f t="shared" ca="1" si="94"/>
        <v>23.924068952846213</v>
      </c>
      <c r="I264" s="569">
        <f t="shared" ca="1" si="94"/>
        <v>23.687670010929896</v>
      </c>
      <c r="J264" s="569">
        <f t="shared" ca="1" si="94"/>
        <v>23.48851723449604</v>
      </c>
      <c r="K264" s="569">
        <f t="shared" ca="1" si="94"/>
        <v>23.286201401932132</v>
      </c>
      <c r="L264" s="510"/>
      <c r="M264" s="705">
        <f t="shared" ca="1" si="95"/>
        <v>24.357355393023642</v>
      </c>
      <c r="N264" s="569">
        <f t="shared" ca="1" si="95"/>
        <v>24.066448124133164</v>
      </c>
      <c r="O264" s="569">
        <f t="shared" ca="1" si="95"/>
        <v>23.804264427951836</v>
      </c>
      <c r="P264" s="569">
        <f t="shared" ca="1" si="95"/>
        <v>23.584811565689861</v>
      </c>
      <c r="Q264" s="569">
        <f t="shared" ca="1" si="95"/>
        <v>23.385985674911019</v>
      </c>
      <c r="R264" s="510"/>
      <c r="S264" s="687">
        <f t="shared" ca="1" si="96"/>
        <v>23.839773037141907</v>
      </c>
      <c r="T264" s="510"/>
      <c r="U264" s="570">
        <f t="shared" ca="1" si="97"/>
        <v>24.357355393023642</v>
      </c>
      <c r="V264" s="570">
        <f t="shared" ca="1" si="98"/>
        <v>23.839773037141907</v>
      </c>
      <c r="W264" s="510"/>
      <c r="X264" s="569">
        <f t="shared" ca="1" si="99"/>
        <v>24.436829391470155</v>
      </c>
      <c r="Y264" s="510"/>
      <c r="Z264" s="706">
        <f t="shared" ca="1" si="100"/>
        <v>24.5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24.5</v>
      </c>
      <c r="G265" s="569">
        <f t="shared" ca="1" si="94"/>
        <v>24.424808516615993</v>
      </c>
      <c r="H265" s="569">
        <f t="shared" ca="1" si="94"/>
        <v>24.6</v>
      </c>
      <c r="I265" s="569">
        <f t="shared" ca="1" si="94"/>
        <v>24.555950527113183</v>
      </c>
      <c r="J265" s="569">
        <f t="shared" ca="1" si="94"/>
        <v>24.6</v>
      </c>
      <c r="K265" s="569">
        <f t="shared" ca="1" si="94"/>
        <v>24.6</v>
      </c>
      <c r="L265" s="510"/>
      <c r="M265" s="705">
        <f t="shared" ca="1" si="95"/>
        <v>24.461893738314135</v>
      </c>
      <c r="N265" s="569">
        <f t="shared" ca="1" si="95"/>
        <v>24.537125860713868</v>
      </c>
      <c r="O265" s="569">
        <f t="shared" ca="1" si="95"/>
        <v>24.557927971544856</v>
      </c>
      <c r="P265" s="569">
        <f t="shared" ca="1" si="95"/>
        <v>24.6</v>
      </c>
      <c r="Q265" s="569">
        <f t="shared" ca="1" si="95"/>
        <v>24.557927971544856</v>
      </c>
      <c r="R265" s="510"/>
      <c r="S265" s="687">
        <f t="shared" ca="1" si="96"/>
        <v>24.542975108423544</v>
      </c>
      <c r="T265" s="510"/>
      <c r="U265" s="570">
        <f t="shared" ca="1" si="97"/>
        <v>24.461893738314135</v>
      </c>
      <c r="V265" s="570">
        <f t="shared" ca="1" si="98"/>
        <v>24.542975108423544</v>
      </c>
      <c r="W265" s="510"/>
      <c r="X265" s="569">
        <f t="shared" ca="1" si="99"/>
        <v>24.492264064096183</v>
      </c>
      <c r="Y265" s="510"/>
      <c r="Z265" s="706">
        <f t="shared" ca="1" si="100"/>
        <v>24.5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24.5</v>
      </c>
      <c r="G266" s="569">
        <f t="shared" ca="1" si="94"/>
        <v>24.229043352413189</v>
      </c>
      <c r="H266" s="569">
        <f t="shared" ca="1" si="94"/>
        <v>24.042210675049784</v>
      </c>
      <c r="I266" s="569">
        <f t="shared" ca="1" si="94"/>
        <v>23.807077290155508</v>
      </c>
      <c r="J266" s="569">
        <f t="shared" ca="1" si="94"/>
        <v>23.696004426732721</v>
      </c>
      <c r="K266" s="569">
        <f t="shared" ca="1" si="94"/>
        <v>23.487962624589109</v>
      </c>
      <c r="L266" s="510"/>
      <c r="M266" s="705">
        <f t="shared" ca="1" si="95"/>
        <v>24.362681989318709</v>
      </c>
      <c r="N266" s="569">
        <f t="shared" ca="1" si="95"/>
        <v>24.132547993132995</v>
      </c>
      <c r="O266" s="569">
        <f t="shared" ca="1" si="95"/>
        <v>23.923047521290673</v>
      </c>
      <c r="P266" s="569">
        <f t="shared" ca="1" si="95"/>
        <v>23.749710366908914</v>
      </c>
      <c r="Q266" s="569">
        <f t="shared" ca="1" si="95"/>
        <v>23.590571005322534</v>
      </c>
      <c r="R266" s="510"/>
      <c r="S266" s="687">
        <f t="shared" ca="1" si="96"/>
        <v>23.951711775194763</v>
      </c>
      <c r="T266" s="510"/>
      <c r="U266" s="570">
        <f t="shared" ca="1" si="97"/>
        <v>24.362681989318709</v>
      </c>
      <c r="V266" s="570">
        <f t="shared" ca="1" si="98"/>
        <v>23.951711775194763</v>
      </c>
      <c r="W266" s="510"/>
      <c r="X266" s="569">
        <f t="shared" ca="1" si="99"/>
        <v>24.44282515462946</v>
      </c>
      <c r="Y266" s="510"/>
      <c r="Z266" s="706">
        <f t="shared" ca="1" si="100"/>
        <v>24.5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24.5</v>
      </c>
      <c r="G267" s="569">
        <f t="shared" ca="1" si="94"/>
        <v>23.890349240374277</v>
      </c>
      <c r="H267" s="569">
        <f t="shared" ca="1" si="94"/>
        <v>23.140477943804854</v>
      </c>
      <c r="I267" s="569">
        <f t="shared" ca="1" si="94"/>
        <v>22.637213491375505</v>
      </c>
      <c r="J267" s="569">
        <f t="shared" ca="1" si="94"/>
        <v>22.112330267729604</v>
      </c>
      <c r="K267" s="569">
        <f t="shared" ca="1" si="94"/>
        <v>21.689521173866709</v>
      </c>
      <c r="L267" s="510"/>
      <c r="M267" s="705">
        <f t="shared" ca="1" si="95"/>
        <v>24.191035336214362</v>
      </c>
      <c r="N267" s="569">
        <f t="shared" ca="1" si="95"/>
        <v>23.503055640574136</v>
      </c>
      <c r="O267" s="569">
        <f t="shared" ca="1" si="95"/>
        <v>22.885428753944819</v>
      </c>
      <c r="P267" s="569">
        <f t="shared" ca="1" si="95"/>
        <v>22.366121753245878</v>
      </c>
      <c r="Q267" s="569">
        <f t="shared" ca="1" si="95"/>
        <v>21.898055016746472</v>
      </c>
      <c r="R267" s="510"/>
      <c r="S267" s="687">
        <f t="shared" ca="1" si="96"/>
        <v>22.968739300145135</v>
      </c>
      <c r="T267" s="510"/>
      <c r="U267" s="570">
        <f t="shared" ca="1" si="97"/>
        <v>24.191035336214362</v>
      </c>
      <c r="V267" s="570">
        <f t="shared" ca="1" si="98"/>
        <v>22.968739300145135</v>
      </c>
      <c r="W267" s="510"/>
      <c r="X267" s="569">
        <f t="shared" ca="1" si="99"/>
        <v>24.358956304892974</v>
      </c>
      <c r="Y267" s="510"/>
      <c r="Z267" s="706">
        <f t="shared" ca="1" si="100"/>
        <v>24.5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24.5</v>
      </c>
      <c r="G268" s="569">
        <f t="shared" ca="1" si="94"/>
        <v>23.370493821312508</v>
      </c>
      <c r="H268" s="569">
        <f t="shared" ca="1" si="94"/>
        <v>21.367634040171978</v>
      </c>
      <c r="I268" s="569">
        <f t="shared" ca="1" si="94"/>
        <v>20.483244037228161</v>
      </c>
      <c r="J268" s="569">
        <f t="shared" ca="1" si="94"/>
        <v>18.998761267906985</v>
      </c>
      <c r="K268" s="569">
        <f t="shared" ca="1" si="94"/>
        <v>18.299742017361709</v>
      </c>
      <c r="L268" s="510"/>
      <c r="M268" s="705">
        <f t="shared" ca="1" si="95"/>
        <v>23.927578017033518</v>
      </c>
      <c r="N268" s="569">
        <f t="shared" ca="1" si="95"/>
        <v>22.33605660777793</v>
      </c>
      <c r="O268" s="569">
        <f t="shared" ca="1" si="95"/>
        <v>20.919434385532547</v>
      </c>
      <c r="P268" s="569">
        <f t="shared" ca="1" si="95"/>
        <v>19.716538232909578</v>
      </c>
      <c r="Q268" s="569">
        <f t="shared" ca="1" si="95"/>
        <v>18.644505582476526</v>
      </c>
      <c r="R268" s="510"/>
      <c r="S268" s="687">
        <f t="shared" ca="1" si="96"/>
        <v>21.108822565146021</v>
      </c>
      <c r="T268" s="510"/>
      <c r="U268" s="570">
        <f t="shared" ca="1" si="97"/>
        <v>23.927578017033518</v>
      </c>
      <c r="V268" s="570">
        <f t="shared" ca="1" si="98"/>
        <v>21.108822565146021</v>
      </c>
      <c r="W268" s="510"/>
      <c r="X268" s="569">
        <f t="shared" ca="1" si="99"/>
        <v>24.2155954444728</v>
      </c>
      <c r="Y268" s="510"/>
      <c r="Z268" s="706">
        <f t="shared" ca="1" si="100"/>
        <v>24.5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24.5</v>
      </c>
      <c r="G269" s="569">
        <f t="shared" ca="1" si="94"/>
        <v>22.9827859481235</v>
      </c>
      <c r="H269" s="569">
        <f t="shared" ca="1" si="94"/>
        <v>19.819634720671029</v>
      </c>
      <c r="I269" s="569">
        <f t="shared" ca="1" si="94"/>
        <v>18.668672011410823</v>
      </c>
      <c r="J269" s="569">
        <f t="shared" ca="1" si="94"/>
        <v>16.280077077455687</v>
      </c>
      <c r="K269" s="569">
        <f t="shared" ca="1" si="94"/>
        <v>15.406094403241216</v>
      </c>
      <c r="L269" s="510"/>
      <c r="M269" s="705">
        <f t="shared" ca="1" si="95"/>
        <v>23.731091699587726</v>
      </c>
      <c r="N269" s="569">
        <f t="shared" ca="1" si="95"/>
        <v>21.34908129614276</v>
      </c>
      <c r="O269" s="569">
        <f t="shared" ca="1" si="95"/>
        <v>19.236338791187237</v>
      </c>
      <c r="P269" s="569">
        <f t="shared" ca="1" si="95"/>
        <v>17.435010268831753</v>
      </c>
      <c r="Q269" s="569">
        <f t="shared" ca="1" si="95"/>
        <v>15.837151748765992</v>
      </c>
      <c r="R269" s="510"/>
      <c r="S269" s="687">
        <f t="shared" ca="1" si="96"/>
        <v>19.517734760903089</v>
      </c>
      <c r="T269" s="510"/>
      <c r="U269" s="570">
        <f t="shared" ca="1" si="97"/>
        <v>23.731091699587726</v>
      </c>
      <c r="V269" s="570">
        <f t="shared" ca="1" si="98"/>
        <v>19.517734760903089</v>
      </c>
      <c r="W269" s="510"/>
      <c r="X269" s="569">
        <f t="shared" ca="1" si="99"/>
        <v>24.100178539934561</v>
      </c>
      <c r="Y269" s="510"/>
      <c r="Z269" s="706">
        <f t="shared" ca="1" si="100"/>
        <v>24.5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24.5</v>
      </c>
      <c r="G270" s="569">
        <f t="shared" ca="1" si="94"/>
        <v>22.320285082449409</v>
      </c>
      <c r="H270" s="569">
        <f t="shared" ca="1" si="94"/>
        <v>17.766631132623296</v>
      </c>
      <c r="I270" s="569">
        <f t="shared" ca="1" si="94"/>
        <v>16.113820685306926</v>
      </c>
      <c r="J270" s="569">
        <f t="shared" ca="1" si="94"/>
        <v>12.674475752279042</v>
      </c>
      <c r="K270" s="569">
        <f t="shared" ca="1" si="94"/>
        <v>11.42014034559652</v>
      </c>
      <c r="L270" s="510"/>
      <c r="M270" s="705">
        <f t="shared" ca="1" si="95"/>
        <v>23.395343151769374</v>
      </c>
      <c r="N270" s="569">
        <f t="shared" ca="1" si="95"/>
        <v>19.968413449889852</v>
      </c>
      <c r="O270" s="569">
        <f t="shared" ca="1" si="95"/>
        <v>16.92900398938805</v>
      </c>
      <c r="P270" s="569">
        <f t="shared" ca="1" si="95"/>
        <v>14.33746748154962</v>
      </c>
      <c r="Q270" s="569">
        <f t="shared" ca="1" si="95"/>
        <v>12.038791614957526</v>
      </c>
      <c r="R270" s="510"/>
      <c r="S270" s="687">
        <f t="shared" ca="1" si="96"/>
        <v>17.333803937510886</v>
      </c>
      <c r="T270" s="510"/>
      <c r="U270" s="570">
        <f t="shared" ca="1" si="97"/>
        <v>23.395343151769374</v>
      </c>
      <c r="V270" s="570">
        <f t="shared" ca="1" si="98"/>
        <v>17.333803937510886</v>
      </c>
      <c r="W270" s="510"/>
      <c r="X270" s="569">
        <f t="shared" ca="1" si="99"/>
        <v>23.925244285338632</v>
      </c>
      <c r="Y270" s="510"/>
      <c r="Z270" s="706">
        <f t="shared" ca="1" si="100"/>
        <v>24.5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26.115786227007614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12.19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46.867055480783606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7.6047649436290152E-2</v>
      </c>
      <c r="H282" s="726">
        <f t="shared" ref="H282:H293" si="102">IF($D$282=3,0,$D$291*G282*(1-$D$293))</f>
        <v>5.3867085017372196E-2</v>
      </c>
      <c r="J282" s="707">
        <f t="shared" ref="J282:J293" ca="1" si="103">MAX(0.0146*$D$303*(0.7*$D$304*ABS(AG5-Z231))^0.667,0.001)</f>
        <v>0.45111737796484802</v>
      </c>
      <c r="K282" s="707">
        <f t="shared" ref="K282:K293" ca="1" si="104">0.0769*$D$303*($D$305*$D$301*AH5^2)^0.667</f>
        <v>0.38033323264077651</v>
      </c>
      <c r="L282" s="729">
        <f t="shared" ref="L282:L293" ca="1" si="105">MAX(J282,K282)+0.14*J282*K282/$D$303</f>
        <v>0.47974362412804472</v>
      </c>
      <c r="M282" s="729">
        <f t="shared" ref="M282:M293" ca="1" si="106">MAX(0,-$D$290)+L282</f>
        <v>0.47974362412804472</v>
      </c>
      <c r="N282" s="541"/>
      <c r="O282" s="729">
        <f ca="1">H282+M282</f>
        <v>0.53361070914541697</v>
      </c>
      <c r="P282" s="718">
        <f ca="1">O282/3.6*1.2</f>
        <v>0.17787023638180566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0.44863167339614174</v>
      </c>
      <c r="F283" s="541" t="s">
        <v>115</v>
      </c>
      <c r="G283" s="724">
        <f t="shared" si="101"/>
        <v>7.6047649436290152E-2</v>
      </c>
      <c r="H283" s="598">
        <f t="shared" si="102"/>
        <v>5.3867085017372196E-2</v>
      </c>
      <c r="J283" s="707">
        <f t="shared" ca="1" si="103"/>
        <v>0.42639890871136038</v>
      </c>
      <c r="K283" s="707">
        <f t="shared" ca="1" si="104"/>
        <v>0.40021698659619298</v>
      </c>
      <c r="L283" s="729">
        <f t="shared" ca="1" si="105"/>
        <v>0.45487118384369118</v>
      </c>
      <c r="M283" s="729">
        <f t="shared" ca="1" si="106"/>
        <v>0.45487118384369118</v>
      </c>
      <c r="N283" s="541"/>
      <c r="O283" s="729">
        <f t="shared" ref="O283:O293" ca="1" si="107">H283+M283</f>
        <v>0.50873826886106333</v>
      </c>
      <c r="P283" s="718">
        <f t="shared" ref="P283:P293" ca="1" si="108">O283/3.6*1.2</f>
        <v>0.16957942295368778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7.6047649436290152E-2</v>
      </c>
      <c r="H284" s="598">
        <f t="shared" si="102"/>
        <v>5.3867085017372196E-2</v>
      </c>
      <c r="J284" s="707">
        <f t="shared" ca="1" si="103"/>
        <v>0.34731657980532571</v>
      </c>
      <c r="K284" s="707">
        <f t="shared" ca="1" si="104"/>
        <v>0.44454099128443936</v>
      </c>
      <c r="L284" s="729">
        <f t="shared" ca="1" si="105"/>
        <v>0.47030111229098492</v>
      </c>
      <c r="M284" s="729">
        <f t="shared" ca="1" si="106"/>
        <v>0.47030111229098492</v>
      </c>
      <c r="N284" s="541"/>
      <c r="O284" s="729">
        <f t="shared" ca="1" si="107"/>
        <v>0.52416819730835718</v>
      </c>
      <c r="P284" s="718">
        <f t="shared" ca="1" si="108"/>
        <v>0.17472273243611905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7.6047649436290152E-2</v>
      </c>
      <c r="H285" s="598">
        <f t="shared" si="102"/>
        <v>5.3867085017372196E-2</v>
      </c>
      <c r="J285" s="707">
        <f t="shared" ca="1" si="103"/>
        <v>0.26152376444889208</v>
      </c>
      <c r="K285" s="707">
        <f t="shared" ca="1" si="104"/>
        <v>0.37617302674789427</v>
      </c>
      <c r="L285" s="729">
        <f t="shared" ca="1" si="105"/>
        <v>0.39258683592028004</v>
      </c>
      <c r="M285" s="729">
        <f t="shared" ca="1" si="106"/>
        <v>0.39258683592028004</v>
      </c>
      <c r="N285" s="541"/>
      <c r="O285" s="729">
        <f t="shared" ca="1" si="107"/>
        <v>0.44645392093765224</v>
      </c>
      <c r="P285" s="718">
        <f t="shared" ca="1" si="108"/>
        <v>0.14881797364588406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7.6047649436290152E-2</v>
      </c>
      <c r="H286" s="598">
        <f t="shared" si="102"/>
        <v>5.3867085017372196E-2</v>
      </c>
      <c r="J286" s="707">
        <f t="shared" ca="1" si="103"/>
        <v>0.17238798004391473</v>
      </c>
      <c r="K286" s="707">
        <f t="shared" ca="1" si="104"/>
        <v>0.26701202077270242</v>
      </c>
      <c r="L286" s="729">
        <f t="shared" ca="1" si="105"/>
        <v>0.2746917934303032</v>
      </c>
      <c r="M286" s="729">
        <f t="shared" ca="1" si="106"/>
        <v>0.2746917934303032</v>
      </c>
      <c r="N286" s="541"/>
      <c r="O286" s="729">
        <f t="shared" ca="1" si="107"/>
        <v>0.3285588784476754</v>
      </c>
      <c r="P286" s="718">
        <f t="shared" ca="1" si="108"/>
        <v>0.10951962614922513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7.6047649436290152E-2</v>
      </c>
      <c r="H287" s="598">
        <f t="shared" si="102"/>
        <v>5.3867085017372196E-2</v>
      </c>
      <c r="J287" s="707">
        <f t="shared" ca="1" si="103"/>
        <v>2.7269721439945615E-2</v>
      </c>
      <c r="K287" s="707">
        <f t="shared" ca="1" si="104"/>
        <v>0.38097562139276153</v>
      </c>
      <c r="L287" s="729">
        <f t="shared" ca="1" si="105"/>
        <v>0.38270898014317545</v>
      </c>
      <c r="M287" s="729">
        <f t="shared" ca="1" si="106"/>
        <v>0.38270898014317545</v>
      </c>
      <c r="N287" s="541"/>
      <c r="O287" s="729">
        <f t="shared" ca="1" si="107"/>
        <v>0.43657606516054764</v>
      </c>
      <c r="P287" s="718">
        <f t="shared" ca="1" si="108"/>
        <v>0.14552535505351588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7.6047649436290152E-2</v>
      </c>
      <c r="E288" s="541"/>
      <c r="F288" s="541" t="s">
        <v>120</v>
      </c>
      <c r="G288" s="724">
        <f t="shared" si="101"/>
        <v>7.6047649436290152E-2</v>
      </c>
      <c r="H288" s="598">
        <f t="shared" si="102"/>
        <v>5.3867085017372196E-2</v>
      </c>
      <c r="J288" s="707">
        <f t="shared" ca="1" si="103"/>
        <v>9.756146061459664E-2</v>
      </c>
      <c r="K288" s="707">
        <f t="shared" ca="1" si="104"/>
        <v>0.31512440327622188</v>
      </c>
      <c r="L288" s="729">
        <f t="shared" ca="1" si="105"/>
        <v>0.32025385444053173</v>
      </c>
      <c r="M288" s="729">
        <f t="shared" ca="1" si="106"/>
        <v>0.32025385444053173</v>
      </c>
      <c r="N288" s="541"/>
      <c r="O288" s="729">
        <f t="shared" ca="1" si="107"/>
        <v>0.37412093945790392</v>
      </c>
      <c r="P288" s="718">
        <f t="shared" ca="1" si="108"/>
        <v>0.1247069798193013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7.6047649436290152E-2</v>
      </c>
      <c r="E289" s="541"/>
      <c r="F289" s="541" t="s">
        <v>121</v>
      </c>
      <c r="G289" s="724">
        <f t="shared" si="101"/>
        <v>7.6047649436290152E-2</v>
      </c>
      <c r="H289" s="598">
        <f t="shared" si="102"/>
        <v>5.3867085017372196E-2</v>
      </c>
      <c r="J289" s="707">
        <f t="shared" ca="1" si="103"/>
        <v>2.1920915053661231E-2</v>
      </c>
      <c r="K289" s="707">
        <f t="shared" ca="1" si="104"/>
        <v>0.27653038999870438</v>
      </c>
      <c r="L289" s="729">
        <f t="shared" ca="1" si="105"/>
        <v>0.27754176476717718</v>
      </c>
      <c r="M289" s="729">
        <f t="shared" ca="1" si="106"/>
        <v>0.27754176476717718</v>
      </c>
      <c r="N289" s="541"/>
      <c r="O289" s="729">
        <f t="shared" ca="1" si="107"/>
        <v>0.33140884978454938</v>
      </c>
      <c r="P289" s="718">
        <f t="shared" ca="1" si="108"/>
        <v>0.11046961659484979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7.6047649436290152E-2</v>
      </c>
      <c r="H290" s="598">
        <f t="shared" si="102"/>
        <v>5.3867085017372196E-2</v>
      </c>
      <c r="J290" s="707">
        <f t="shared" ca="1" si="103"/>
        <v>0.11417650186911574</v>
      </c>
      <c r="K290" s="707">
        <f t="shared" ca="1" si="104"/>
        <v>0.23647484426284823</v>
      </c>
      <c r="L290" s="729">
        <f t="shared" ca="1" si="105"/>
        <v>0.24097961040944219</v>
      </c>
      <c r="M290" s="729">
        <f t="shared" ca="1" si="106"/>
        <v>0.24097961040944219</v>
      </c>
      <c r="N290" s="541"/>
      <c r="O290" s="729">
        <f t="shared" ca="1" si="107"/>
        <v>0.29484669542681441</v>
      </c>
      <c r="P290" s="718">
        <f t="shared" ca="1" si="108"/>
        <v>9.8282231808938136E-2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0.70833333333333337</v>
      </c>
      <c r="E291" s="539"/>
      <c r="F291" s="541" t="s">
        <v>123</v>
      </c>
      <c r="G291" s="724">
        <f t="shared" si="101"/>
        <v>7.6047649436290152E-2</v>
      </c>
      <c r="H291" s="598">
        <f t="shared" si="102"/>
        <v>5.3867085017372196E-2</v>
      </c>
      <c r="J291" s="707">
        <f t="shared" ca="1" si="103"/>
        <v>0.2454749076518305</v>
      </c>
      <c r="K291" s="707">
        <f t="shared" ca="1" si="104"/>
        <v>0.37057245729114979</v>
      </c>
      <c r="L291" s="729">
        <f t="shared" ca="1" si="105"/>
        <v>0.38574962776156885</v>
      </c>
      <c r="M291" s="729">
        <f t="shared" ca="1" si="106"/>
        <v>0.38574962776156885</v>
      </c>
      <c r="N291" s="541"/>
      <c r="O291" s="729">
        <f t="shared" ca="1" si="107"/>
        <v>0.43961671277894104</v>
      </c>
      <c r="P291" s="718">
        <f t="shared" ca="1" si="108"/>
        <v>0.146538904259647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7.6047649436290152E-2</v>
      </c>
      <c r="H292" s="598">
        <f t="shared" si="102"/>
        <v>5.3867085017372196E-2</v>
      </c>
      <c r="J292" s="707">
        <f t="shared" ca="1" si="103"/>
        <v>0.33520727124466737</v>
      </c>
      <c r="K292" s="707">
        <f t="shared" ca="1" si="104"/>
        <v>0.42405587339347528</v>
      </c>
      <c r="L292" s="729">
        <f t="shared" ca="1" si="105"/>
        <v>0.4477721814561092</v>
      </c>
      <c r="M292" s="729">
        <f t="shared" ca="1" si="106"/>
        <v>0.4477721814561092</v>
      </c>
      <c r="N292" s="541"/>
      <c r="O292" s="729">
        <f t="shared" ca="1" si="107"/>
        <v>0.50163926647348145</v>
      </c>
      <c r="P292" s="718">
        <f t="shared" ca="1" si="108"/>
        <v>0.16721308882449382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7.6047649436290152E-2</v>
      </c>
      <c r="H293" s="598">
        <f t="shared" si="102"/>
        <v>5.3867085017372196E-2</v>
      </c>
      <c r="J293" s="707">
        <f t="shared" ca="1" si="103"/>
        <v>0.43989559179431487</v>
      </c>
      <c r="K293" s="707">
        <f t="shared" ca="1" si="104"/>
        <v>0.32068279128758709</v>
      </c>
      <c r="L293" s="729">
        <f t="shared" ca="1" si="105"/>
        <v>0.46343176408542691</v>
      </c>
      <c r="M293" s="729">
        <f t="shared" ca="1" si="106"/>
        <v>0.46343176408542691</v>
      </c>
      <c r="N293" s="541"/>
      <c r="O293" s="729">
        <f t="shared" ca="1" si="107"/>
        <v>0.51729884910279911</v>
      </c>
      <c r="P293" s="718">
        <f t="shared" ca="1" si="108"/>
        <v>0.17243294970093304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7.6047649436290152E-2</v>
      </c>
      <c r="H294" s="716">
        <f>AVERAGE(H282:H293)</f>
        <v>5.3867085017372196E-2</v>
      </c>
      <c r="J294" s="710">
        <f ca="1">AVERAGE(J282:J293)</f>
        <v>0.2450209150535394</v>
      </c>
      <c r="K294" s="710">
        <f ca="1">AVERAGE(K282:K293)</f>
        <v>0.3493910532453961</v>
      </c>
      <c r="L294" s="710">
        <f ca="1">AVERAGE(L282:L293)</f>
        <v>0.38255269438972794</v>
      </c>
      <c r="M294" s="710">
        <f ca="1">AVERAGE(M282:M293)</f>
        <v>0.38255269438972794</v>
      </c>
      <c r="N294" s="710"/>
      <c r="O294" s="710">
        <f t="shared" ref="O294:P294" ca="1" si="109">AVERAGE(O282:O293)</f>
        <v>0.43641977940710025</v>
      </c>
      <c r="P294" s="710">
        <f t="shared" ca="1" si="109"/>
        <v>0.14547325980236669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7.6047649436290152E-2</v>
      </c>
      <c r="H296" s="598">
        <f t="shared" ref="H296:H307" si="111">IF($D$282=3,0,$D$291*G296*(1-$D$293))</f>
        <v>5.3867085017372196E-2</v>
      </c>
      <c r="J296" s="707">
        <f t="shared" ref="J296:J307" ca="1" si="112">MAX(0.0146*$D$303*(0.7*$D$304*ABS(AG5-Z259))^0.667,0.001)</f>
        <v>0.48537672375407359</v>
      </c>
      <c r="K296" s="707">
        <f t="shared" ref="K296:K307" ca="1" si="113">0.0769*$D$303*($D$305*$D$301*AH5^2)^0.667</f>
        <v>0.38033323264077651</v>
      </c>
      <c r="L296" s="729">
        <f t="shared" ref="L296:L307" ca="1" si="114">MAX(J296,K296)+0.14*J296*K296/$D$303</f>
        <v>0.51617694173448736</v>
      </c>
      <c r="M296" s="729">
        <f t="shared" ref="M296:M307" ca="1" si="115">MAX(0,-$D$290)+L296</f>
        <v>0.51617694173448736</v>
      </c>
      <c r="N296" s="541"/>
      <c r="O296" s="729">
        <f ca="1">H296+M296</f>
        <v>0.57004402675185961</v>
      </c>
      <c r="P296" s="718">
        <f ca="1">O296/3.6*1.2</f>
        <v>0.19001467558395319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7.6047649436290152E-2</v>
      </c>
      <c r="H297" s="598">
        <f t="shared" si="111"/>
        <v>5.3867085017372196E-2</v>
      </c>
      <c r="J297" s="707">
        <f t="shared" ca="1" si="112"/>
        <v>0.46158062194441901</v>
      </c>
      <c r="K297" s="707">
        <f t="shared" ca="1" si="113"/>
        <v>0.40021698659619298</v>
      </c>
      <c r="L297" s="729">
        <f t="shared" ca="1" si="114"/>
        <v>0.49240211373357873</v>
      </c>
      <c r="M297" s="729">
        <f t="shared" ca="1" si="115"/>
        <v>0.49240211373357873</v>
      </c>
      <c r="N297" s="541"/>
      <c r="O297" s="729">
        <f t="shared" ref="O297:O307" ca="1" si="116">H297+M297</f>
        <v>0.54626919875095092</v>
      </c>
      <c r="P297" s="718">
        <f t="shared" ref="P297:P307" ca="1" si="117">O297/3.6*1.2</f>
        <v>0.18208973291698363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7.6047649436290152E-2</v>
      </c>
      <c r="H298" s="598">
        <f t="shared" si="111"/>
        <v>5.3867085017372196E-2</v>
      </c>
      <c r="J298" s="707">
        <f t="shared" ca="1" si="112"/>
        <v>0.38602670244304194</v>
      </c>
      <c r="K298" s="707">
        <f t="shared" ca="1" si="113"/>
        <v>0.44454099128443936</v>
      </c>
      <c r="L298" s="729">
        <f t="shared" ca="1" si="114"/>
        <v>0.47317220310929459</v>
      </c>
      <c r="M298" s="729">
        <f t="shared" ca="1" si="115"/>
        <v>0.47317220310929459</v>
      </c>
      <c r="N298" s="541"/>
      <c r="O298" s="729">
        <f t="shared" ca="1" si="116"/>
        <v>0.52703928812666678</v>
      </c>
      <c r="P298" s="718">
        <f t="shared" ca="1" si="117"/>
        <v>0.17567976270888891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7.6047649436290152E-2</v>
      </c>
      <c r="H299" s="598">
        <f t="shared" si="111"/>
        <v>5.3867085017372196E-2</v>
      </c>
      <c r="J299" s="707">
        <f t="shared" ca="1" si="112"/>
        <v>0.30554237798553563</v>
      </c>
      <c r="K299" s="707">
        <f t="shared" ca="1" si="113"/>
        <v>0.37617302674789427</v>
      </c>
      <c r="L299" s="729">
        <f t="shared" ca="1" si="114"/>
        <v>0.39534954134456912</v>
      </c>
      <c r="M299" s="729">
        <f t="shared" ca="1" si="115"/>
        <v>0.39534954134456912</v>
      </c>
      <c r="N299" s="541"/>
      <c r="O299" s="729">
        <f t="shared" ca="1" si="116"/>
        <v>0.44921662636194132</v>
      </c>
      <c r="P299" s="718">
        <f t="shared" ca="1" si="117"/>
        <v>0.14973887545398043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7.6047649436290152E-2</v>
      </c>
      <c r="H300" s="598">
        <f t="shared" si="111"/>
        <v>5.3867085017372196E-2</v>
      </c>
      <c r="J300" s="707">
        <f t="shared" ca="1" si="112"/>
        <v>0.22498342622639525</v>
      </c>
      <c r="K300" s="707">
        <f t="shared" ca="1" si="113"/>
        <v>0.26701202077270242</v>
      </c>
      <c r="L300" s="729">
        <f t="shared" ca="1" si="114"/>
        <v>0.27703488643135599</v>
      </c>
      <c r="M300" s="729">
        <f t="shared" ca="1" si="115"/>
        <v>0.27703488643135599</v>
      </c>
      <c r="N300" s="541"/>
      <c r="O300" s="729">
        <f t="shared" ca="1" si="116"/>
        <v>0.33090197144872818</v>
      </c>
      <c r="P300" s="718">
        <f t="shared" ca="1" si="117"/>
        <v>0.11030065714957606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7.6047649436290152E-2</v>
      </c>
      <c r="H301" s="598">
        <f t="shared" si="111"/>
        <v>5.3867085017372196E-2</v>
      </c>
      <c r="J301" s="707">
        <f t="shared" ca="1" si="112"/>
        <v>0.1155735317899904</v>
      </c>
      <c r="K301" s="707">
        <f t="shared" ca="1" si="113"/>
        <v>0.38097562139276153</v>
      </c>
      <c r="L301" s="729">
        <f t="shared" ca="1" si="114"/>
        <v>0.38832187878250407</v>
      </c>
      <c r="M301" s="729">
        <f t="shared" ca="1" si="115"/>
        <v>0.38832187878250407</v>
      </c>
      <c r="N301" s="541"/>
      <c r="O301" s="729">
        <f t="shared" ca="1" si="116"/>
        <v>0.44218896379987627</v>
      </c>
      <c r="P301" s="718">
        <f t="shared" ca="1" si="117"/>
        <v>0.14739632126662541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7.6</v>
      </c>
      <c r="E302" s="717" t="s">
        <v>842</v>
      </c>
      <c r="F302" s="541" t="s">
        <v>120</v>
      </c>
      <c r="G302" s="724">
        <f t="shared" si="110"/>
        <v>7.6047649436290152E-2</v>
      </c>
      <c r="H302" s="598">
        <f t="shared" si="111"/>
        <v>5.3867085017372196E-2</v>
      </c>
      <c r="J302" s="707">
        <f t="shared" ca="1" si="112"/>
        <v>2.6396252467074059E-2</v>
      </c>
      <c r="K302" s="707">
        <f t="shared" ca="1" si="113"/>
        <v>0.31512440327622188</v>
      </c>
      <c r="L302" s="729">
        <f t="shared" ca="1" si="114"/>
        <v>0.3165122288284194</v>
      </c>
      <c r="M302" s="729">
        <f t="shared" ca="1" si="115"/>
        <v>0.3165122288284194</v>
      </c>
      <c r="N302" s="541"/>
      <c r="O302" s="729">
        <f t="shared" ca="1" si="116"/>
        <v>0.37037931384579159</v>
      </c>
      <c r="P302" s="718">
        <f t="shared" ca="1" si="117"/>
        <v>0.12345977128193052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0.8391072359160443</v>
      </c>
      <c r="E303" s="593" t="s">
        <v>846</v>
      </c>
      <c r="F303" s="541" t="s">
        <v>121</v>
      </c>
      <c r="G303" s="724">
        <f t="shared" si="110"/>
        <v>7.6047649436290152E-2</v>
      </c>
      <c r="H303" s="598">
        <f t="shared" si="111"/>
        <v>5.3867085017372196E-2</v>
      </c>
      <c r="J303" s="707">
        <f t="shared" ca="1" si="112"/>
        <v>9.9777487244777752E-2</v>
      </c>
      <c r="K303" s="707">
        <f t="shared" ca="1" si="113"/>
        <v>0.27653038999870438</v>
      </c>
      <c r="L303" s="729">
        <f t="shared" ca="1" si="114"/>
        <v>0.28113386721733125</v>
      </c>
      <c r="M303" s="729">
        <f t="shared" ca="1" si="115"/>
        <v>0.28113386721733125</v>
      </c>
      <c r="N303" s="541"/>
      <c r="O303" s="729">
        <f t="shared" ca="1" si="116"/>
        <v>0.33500095223470344</v>
      </c>
      <c r="P303" s="718">
        <f t="shared" ca="1" si="117"/>
        <v>0.11166698407823449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12.19</v>
      </c>
      <c r="E304" s="541"/>
      <c r="F304" s="541" t="s">
        <v>122</v>
      </c>
      <c r="G304" s="724">
        <f t="shared" si="110"/>
        <v>7.6047649436290152E-2</v>
      </c>
      <c r="H304" s="598">
        <f t="shared" si="111"/>
        <v>5.3867085017372196E-2</v>
      </c>
      <c r="J304" s="707">
        <f t="shared" ca="1" si="112"/>
        <v>0.17580295828243159</v>
      </c>
      <c r="K304" s="707">
        <f t="shared" ca="1" si="113"/>
        <v>0.23647484426284823</v>
      </c>
      <c r="L304" s="729">
        <f t="shared" ca="1" si="114"/>
        <v>0.24341104568763536</v>
      </c>
      <c r="M304" s="729">
        <f t="shared" ca="1" si="115"/>
        <v>0.24341104568763536</v>
      </c>
      <c r="N304" s="541"/>
      <c r="O304" s="729">
        <f t="shared" ca="1" si="116"/>
        <v>0.29727813070500753</v>
      </c>
      <c r="P304" s="718">
        <f t="shared" ca="1" si="117"/>
        <v>9.9092710235002504E-2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7.6047649436290152E-2</v>
      </c>
      <c r="H305" s="598">
        <f t="shared" si="111"/>
        <v>5.3867085017372196E-2</v>
      </c>
      <c r="J305" s="707">
        <f t="shared" ca="1" si="112"/>
        <v>0.29074221351462731</v>
      </c>
      <c r="K305" s="707">
        <f t="shared" ca="1" si="113"/>
        <v>0.37057245729114979</v>
      </c>
      <c r="L305" s="729">
        <f t="shared" ca="1" si="114"/>
        <v>0.38854840513718036</v>
      </c>
      <c r="M305" s="729">
        <f t="shared" ca="1" si="115"/>
        <v>0.38854840513718036</v>
      </c>
      <c r="N305" s="541"/>
      <c r="O305" s="729">
        <f t="shared" ca="1" si="116"/>
        <v>0.44241549015455256</v>
      </c>
      <c r="P305" s="718">
        <f t="shared" ca="1" si="117"/>
        <v>0.14747183005151751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7.6047649436290152E-2</v>
      </c>
      <c r="H306" s="598">
        <f t="shared" si="111"/>
        <v>5.3867085017372196E-2</v>
      </c>
      <c r="J306" s="707">
        <f t="shared" ca="1" si="112"/>
        <v>0.37455470388493894</v>
      </c>
      <c r="K306" s="707">
        <f t="shared" ca="1" si="113"/>
        <v>0.42405587339347528</v>
      </c>
      <c r="L306" s="729">
        <f t="shared" ca="1" si="114"/>
        <v>0.45055605851971053</v>
      </c>
      <c r="M306" s="729">
        <f t="shared" ca="1" si="115"/>
        <v>0.45055605851971053</v>
      </c>
      <c r="N306" s="541"/>
      <c r="O306" s="729">
        <f t="shared" ca="1" si="116"/>
        <v>0.50442314353708273</v>
      </c>
      <c r="P306" s="718">
        <f t="shared" ca="1" si="117"/>
        <v>0.16814104784569425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7.6047649436290152E-2</v>
      </c>
      <c r="H307" s="598">
        <f t="shared" si="111"/>
        <v>5.3867085017372196E-2</v>
      </c>
      <c r="J307" s="707">
        <f t="shared" ca="1" si="112"/>
        <v>0.474564741862742</v>
      </c>
      <c r="K307" s="707">
        <f t="shared" ca="1" si="113"/>
        <v>0.32068279128758709</v>
      </c>
      <c r="L307" s="729">
        <f t="shared" ca="1" si="114"/>
        <v>0.49995585224466005</v>
      </c>
      <c r="M307" s="729">
        <f t="shared" ca="1" si="115"/>
        <v>0.49995585224466005</v>
      </c>
      <c r="N307" s="541"/>
      <c r="O307" s="729">
        <f t="shared" ca="1" si="116"/>
        <v>0.55382293726203224</v>
      </c>
      <c r="P307" s="718">
        <f t="shared" ca="1" si="117"/>
        <v>0.18460764575401073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7.6047649436290152E-2</v>
      </c>
      <c r="H308" s="735">
        <f>AVERAGE(H296:H307)</f>
        <v>5.3867085017372196E-2</v>
      </c>
      <c r="J308" s="734">
        <f t="shared" ref="J308:P308" ca="1" si="118">AVERAGE(J296:J307)</f>
        <v>0.28507681178333727</v>
      </c>
      <c r="K308" s="734">
        <f t="shared" ca="1" si="118"/>
        <v>0.3493910532453961</v>
      </c>
      <c r="L308" s="734">
        <f t="shared" ca="1" si="118"/>
        <v>0.39354791856422722</v>
      </c>
      <c r="M308" s="734">
        <f t="shared" ca="1" si="118"/>
        <v>0.39354791856422722</v>
      </c>
      <c r="N308" s="734"/>
      <c r="O308" s="734">
        <f t="shared" ca="1" si="118"/>
        <v>0.44741500358159936</v>
      </c>
      <c r="P308" s="734">
        <f t="shared" ca="1" si="118"/>
        <v>0.1491383345271998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13823.520372669185</v>
      </c>
      <c r="D313" s="664">
        <f>$K$176*Calcs!O5</f>
        <v>33387.555024000001</v>
      </c>
      <c r="E313" s="685">
        <f>$K$177*Calcs!O5</f>
        <v>12069.880609315071</v>
      </c>
      <c r="F313" s="730">
        <f t="shared" ref="F313:F324" si="119">SUM(C313:E313)</f>
        <v>59280.956005984255</v>
      </c>
      <c r="H313" s="753">
        <f t="shared" ref="H313:H324" ca="1" si="120">F313+AM144</f>
        <v>72739.240336807517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12485.760336604426</v>
      </c>
      <c r="D314" s="664">
        <f>$K$176*Calcs!O6</f>
        <v>30156.501312</v>
      </c>
      <c r="E314" s="685">
        <f>$K$177*Calcs!O6</f>
        <v>10901.827647123289</v>
      </c>
      <c r="F314" s="730">
        <f t="shared" si="119"/>
        <v>53544.089295727717</v>
      </c>
      <c r="H314" s="753">
        <f t="shared" ca="1" si="120"/>
        <v>69154.545000013459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13823.520372669185</v>
      </c>
      <c r="D315" s="664">
        <f>$K$176*Calcs!O7</f>
        <v>33387.555024000001</v>
      </c>
      <c r="E315" s="685">
        <f>$K$177*Calcs!O7</f>
        <v>12069.880609315071</v>
      </c>
      <c r="F315" s="730">
        <f t="shared" si="119"/>
        <v>59280.956005984255</v>
      </c>
      <c r="H315" s="753">
        <f t="shared" ca="1" si="120"/>
        <v>79702.902712220908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13377.600360647599</v>
      </c>
      <c r="D316" s="664">
        <f>$K$176*Calcs!O8</f>
        <v>32310.537120000001</v>
      </c>
      <c r="E316" s="685">
        <f>$K$177*Calcs!O8</f>
        <v>11680.529621917811</v>
      </c>
      <c r="F316" s="730">
        <f t="shared" si="119"/>
        <v>57368.667102565414</v>
      </c>
      <c r="H316" s="753">
        <f t="shared" ca="1" si="120"/>
        <v>78735.726826297469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13823.520372669185</v>
      </c>
      <c r="D317" s="664">
        <f>$K$176*Calcs!O9</f>
        <v>33387.555024000001</v>
      </c>
      <c r="E317" s="685">
        <f>$K$177*Calcs!O9</f>
        <v>12069.880609315071</v>
      </c>
      <c r="F317" s="730">
        <f t="shared" si="119"/>
        <v>59280.956005984255</v>
      </c>
      <c r="H317" s="753">
        <f t="shared" ca="1" si="120"/>
        <v>86547.561794338952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13377.600360647599</v>
      </c>
      <c r="D318" s="664">
        <f>$K$176*Calcs!O10</f>
        <v>32310.537120000001</v>
      </c>
      <c r="E318" s="685">
        <f>$K$177*Calcs!O10</f>
        <v>11680.529621917811</v>
      </c>
      <c r="F318" s="730">
        <f t="shared" si="119"/>
        <v>57368.667102565414</v>
      </c>
      <c r="H318" s="753">
        <f t="shared" ca="1" si="120"/>
        <v>84481.417052328572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13823.520372669185</v>
      </c>
      <c r="D319" s="664">
        <f>$K$176*Calcs!O11</f>
        <v>33387.555024000001</v>
      </c>
      <c r="E319" s="685">
        <f>$K$177*Calcs!O11</f>
        <v>12069.880609315071</v>
      </c>
      <c r="F319" s="730">
        <f t="shared" si="119"/>
        <v>59280.956005984255</v>
      </c>
      <c r="H319" s="753">
        <f t="shared" ca="1" si="120"/>
        <v>87509.218301312445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13823.520372669185</v>
      </c>
      <c r="D320" s="664">
        <f>$K$176*Calcs!O12</f>
        <v>33387.555024000001</v>
      </c>
      <c r="E320" s="685">
        <f>$K$177*Calcs!O12</f>
        <v>12069.880609315071</v>
      </c>
      <c r="F320" s="730">
        <f t="shared" si="119"/>
        <v>59280.956005984255</v>
      </c>
      <c r="H320" s="753">
        <f t="shared" ca="1" si="120"/>
        <v>84540.22696433388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13377.600360647599</v>
      </c>
      <c r="D321" s="664">
        <f>$K$176*Calcs!O13</f>
        <v>32310.537120000001</v>
      </c>
      <c r="E321" s="685">
        <f>$K$177*Calcs!O13</f>
        <v>11680.529621917811</v>
      </c>
      <c r="F321" s="730">
        <f t="shared" si="119"/>
        <v>57368.667102565414</v>
      </c>
      <c r="H321" s="753">
        <f t="shared" ca="1" si="120"/>
        <v>79690.174614852178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13823.520372669185</v>
      </c>
      <c r="D322" s="664">
        <f>$K$176*Calcs!O14</f>
        <v>33387.555024000001</v>
      </c>
      <c r="E322" s="685">
        <f>$K$177*Calcs!O14</f>
        <v>12069.880609315071</v>
      </c>
      <c r="F322" s="730">
        <f t="shared" si="119"/>
        <v>59280.956005984255</v>
      </c>
      <c r="H322" s="753">
        <f t="shared" ca="1" si="120"/>
        <v>78527.919920547603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13377.600360647599</v>
      </c>
      <c r="D323" s="664">
        <f>$K$176*Calcs!O15</f>
        <v>32310.537120000001</v>
      </c>
      <c r="E323" s="685">
        <f>$K$177*Calcs!O15</f>
        <v>11680.529621917811</v>
      </c>
      <c r="F323" s="730">
        <f t="shared" si="119"/>
        <v>57368.667102565414</v>
      </c>
      <c r="H323" s="753">
        <f t="shared" ca="1" si="120"/>
        <v>69813.181717418542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13823.520372669185</v>
      </c>
      <c r="D324" s="664">
        <f>$K$176*Calcs!O16</f>
        <v>33387.555024000001</v>
      </c>
      <c r="E324" s="685">
        <f>$K$177*Calcs!O16</f>
        <v>12069.880609315071</v>
      </c>
      <c r="F324" s="730">
        <f t="shared" si="119"/>
        <v>59280.956005984255</v>
      </c>
      <c r="H324" s="753">
        <f t="shared" ca="1" si="120"/>
        <v>71092.047681716474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162760.80438787912</v>
      </c>
      <c r="D325" s="683">
        <f>SUM(D313:D324)</f>
        <v>393111.53496000002</v>
      </c>
      <c r="E325" s="683">
        <f>SUM(E313:E324)</f>
        <v>142113.11040000001</v>
      </c>
      <c r="F325" s="683">
        <f>SUM(F313:F324)</f>
        <v>697985.44974787917</v>
      </c>
      <c r="H325" s="683">
        <f ca="1">SUM(H313:H324)</f>
        <v>942534.16292218817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85.906225309776232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6.7270816873184156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91392.466695634037</v>
      </c>
      <c r="D345" s="757">
        <f ca="1">Calcs!P282*Calcs!$C$2</f>
        <v>557.4453208205789</v>
      </c>
      <c r="E345" s="685">
        <f ca="1">D345*(Calcs!Z231-Calcs!AG5)*Calcs!O5</f>
        <v>38992.476192682181</v>
      </c>
      <c r="F345" s="740">
        <f t="shared" ref="F345:F356" ca="1" si="121">C345+E345</f>
        <v>130384.94288831622</v>
      </c>
      <c r="G345" s="717"/>
      <c r="H345" s="758">
        <f t="shared" ref="H345:H356" ca="1" si="122">IF(F345=0,9999,H313/F345)</f>
        <v>0.55788067797915697</v>
      </c>
      <c r="I345" s="744">
        <f t="shared" ref="I345:I356" ca="1" si="123">IF(F345=0,9999,IF(F345&lt;0,H313,H313/F345))</f>
        <v>0.55788067797915697</v>
      </c>
      <c r="J345" s="760">
        <f t="shared" ref="J345:J356" ca="1" si="124">IF(H345&gt;0,(1-H345^$C$338)/(1-H345^($C$338+1)),1/H345)</f>
        <v>0.99118327696483033</v>
      </c>
      <c r="K345" s="539"/>
      <c r="L345" s="740">
        <f t="shared" ref="L345:L356" ca="1" si="125">F345-J345*H313</f>
        <v>58287.024287346969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75860.355465215995</v>
      </c>
      <c r="D346" s="757">
        <f ca="1">Calcs!P283*Calcs!$C$2</f>
        <v>531.46191153685754</v>
      </c>
      <c r="E346" s="685">
        <f ca="1">D346*(Calcs!Z232-Calcs!AG6)*Calcs!O6</f>
        <v>30857.103753359177</v>
      </c>
      <c r="F346" s="740">
        <f t="shared" ca="1" si="121"/>
        <v>106717.45921857517</v>
      </c>
      <c r="G346" s="717"/>
      <c r="H346" s="758">
        <f t="shared" ca="1" si="122"/>
        <v>0.64801528734275249</v>
      </c>
      <c r="I346" s="744">
        <f t="shared" ca="1" si="123"/>
        <v>0.64801528734275249</v>
      </c>
      <c r="J346" s="760">
        <f t="shared" ca="1" si="124"/>
        <v>0.98029772474056254</v>
      </c>
      <c r="K346" s="539"/>
      <c r="L346" s="740">
        <f t="shared" ca="1" si="125"/>
        <v>38925.416099593131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61751.778070752</v>
      </c>
      <c r="D347" s="757">
        <f ca="1">Calcs!P284*Calcs!$C$2</f>
        <v>547.58104345479705</v>
      </c>
      <c r="E347" s="685">
        <f ca="1">D347*(Calcs!Z233-Calcs!AG7)*Calcs!O7</f>
        <v>25880.103824386693</v>
      </c>
      <c r="F347" s="740">
        <f t="shared" ca="1" si="121"/>
        <v>87631.881895138693</v>
      </c>
      <c r="G347" s="717"/>
      <c r="H347" s="758">
        <f t="shared" ca="1" si="122"/>
        <v>0.90951946926798066</v>
      </c>
      <c r="I347" s="744">
        <f t="shared" ca="1" si="123"/>
        <v>0.90951946926798066</v>
      </c>
      <c r="J347" s="760">
        <f t="shared" ca="1" si="124"/>
        <v>0.90796885012813722</v>
      </c>
      <c r="K347" s="539"/>
      <c r="L347" s="740">
        <f t="shared" ca="1" si="125"/>
        <v>15264.128967648692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39055.289155430357</v>
      </c>
      <c r="D348" s="757">
        <f ca="1">Calcs!P285*Calcs!$C$2</f>
        <v>466.39552940620064</v>
      </c>
      <c r="E348" s="685">
        <f ca="1">D348*(Calcs!Z234-Calcs!AG8)*Calcs!O8</f>
        <v>13941.271295156019</v>
      </c>
      <c r="F348" s="740">
        <f t="shared" ca="1" si="121"/>
        <v>52996.560450586374</v>
      </c>
      <c r="G348" s="717"/>
      <c r="H348" s="758">
        <f t="shared" ca="1" si="122"/>
        <v>1.4856761676016714</v>
      </c>
      <c r="I348" s="744">
        <f t="shared" ca="1" si="123"/>
        <v>1.4856761676016714</v>
      </c>
      <c r="J348" s="760">
        <f t="shared" ca="1" si="124"/>
        <v>0.65699405244204245</v>
      </c>
      <c r="K348" s="539"/>
      <c r="L348" s="740">
        <f t="shared" ca="1" si="125"/>
        <v>1267.6562110075683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21604.773358310391</v>
      </c>
      <c r="D349" s="757">
        <f ca="1">Calcs!P286*Calcs!$C$2</f>
        <v>343.23450835167154</v>
      </c>
      <c r="E349" s="685">
        <f ca="1">D349*(Calcs!Z235-Calcs!AG9)*Calcs!O9</f>
        <v>5675.5610775392297</v>
      </c>
      <c r="F349" s="740">
        <f t="shared" ca="1" si="121"/>
        <v>27280.334435849622</v>
      </c>
      <c r="G349" s="717"/>
      <c r="H349" s="758">
        <f t="shared" ca="1" si="122"/>
        <v>3.1725256887102198</v>
      </c>
      <c r="I349" s="744">
        <f t="shared" ca="1" si="123"/>
        <v>3.1725256887102198</v>
      </c>
      <c r="J349" s="760">
        <f t="shared" ca="1" si="124"/>
        <v>0.31511481604302521</v>
      </c>
      <c r="K349" s="539"/>
      <c r="L349" s="740">
        <f t="shared" ca="1" si="125"/>
        <v>7.9154220541458926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1317.2559726370441</v>
      </c>
      <c r="D350" s="757">
        <f ca="1">Calcs!P287*Calcs!$C$2</f>
        <v>456.07646273771877</v>
      </c>
      <c r="E350" s="685">
        <f ca="1">D350*(Calcs!Z236-Calcs!AG10)*Calcs!O10</f>
        <v>459.80742313297083</v>
      </c>
      <c r="F350" s="740">
        <f t="shared" ca="1" si="121"/>
        <v>1777.0633957700149</v>
      </c>
      <c r="G350" s="717"/>
      <c r="H350" s="758">
        <f t="shared" ca="1" si="122"/>
        <v>47.539900519824805</v>
      </c>
      <c r="I350" s="744">
        <f t="shared" ca="1" si="123"/>
        <v>47.539900519824805</v>
      </c>
      <c r="J350" s="760">
        <f t="shared" ca="1" si="124"/>
        <v>2.1034961980576028E-2</v>
      </c>
      <c r="K350" s="539"/>
      <c r="L350" s="740">
        <f t="shared" ca="1" si="125"/>
        <v>9.0960838861064985E-9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-9202.2073060607581</v>
      </c>
      <c r="D351" s="757">
        <f ca="1">Calcs!P288*Calcs!$C$2</f>
        <v>390.83167475369027</v>
      </c>
      <c r="E351" s="685">
        <f ca="1">D351*(Calcs!Z237-Calcs!AG11)*Calcs!O11</f>
        <v>-2752.6431185572187</v>
      </c>
      <c r="F351" s="740">
        <f t="shared" ca="1" si="121"/>
        <v>-11954.850424617976</v>
      </c>
      <c r="G351" s="717"/>
      <c r="H351" s="758">
        <f t="shared" ca="1" si="122"/>
        <v>-7.3199760091610555</v>
      </c>
      <c r="I351" s="744">
        <f t="shared" ca="1" si="123"/>
        <v>87509.218301312445</v>
      </c>
      <c r="J351" s="760">
        <f t="shared" ca="1" si="124"/>
        <v>-0.13661246959668796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-981.17994481923995</v>
      </c>
      <c r="D352" s="757">
        <f ca="1">Calcs!P289*Calcs!$C$2</f>
        <v>346.21177840825925</v>
      </c>
      <c r="E352" s="685">
        <f ca="1">D352*(Calcs!Z238-Calcs!AG12)*Calcs!O12</f>
        <v>-259.99119711347697</v>
      </c>
      <c r="F352" s="740">
        <f t="shared" ca="1" si="121"/>
        <v>-1241.1711419327169</v>
      </c>
      <c r="G352" s="717"/>
      <c r="H352" s="758">
        <f t="shared" ca="1" si="122"/>
        <v>-68.113271496701259</v>
      </c>
      <c r="I352" s="744">
        <f t="shared" ca="1" si="123"/>
        <v>84540.22696433388</v>
      </c>
      <c r="J352" s="760">
        <f t="shared" ca="1" si="124"/>
        <v>-1.4681426659244084E-2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11273.221350662301</v>
      </c>
      <c r="D353" s="757">
        <f ca="1">Calcs!P290*Calcs!$C$2</f>
        <v>308.01651448921211</v>
      </c>
      <c r="E353" s="685">
        <f ca="1">D353*(Calcs!Z239-Calcs!AG13)*Calcs!O13</f>
        <v>2657.6034489946378</v>
      </c>
      <c r="F353" s="740">
        <f t="shared" ca="1" si="121"/>
        <v>13930.824799656939</v>
      </c>
      <c r="G353" s="717"/>
      <c r="H353" s="758">
        <f t="shared" ca="1" si="122"/>
        <v>5.7204204173764808</v>
      </c>
      <c r="I353" s="744">
        <f t="shared" ca="1" si="123"/>
        <v>5.7204204173764808</v>
      </c>
      <c r="J353" s="760">
        <f t="shared" ca="1" si="124"/>
        <v>0.17481116783361011</v>
      </c>
      <c r="K353" s="539"/>
      <c r="L353" s="740">
        <f t="shared" ca="1" si="125"/>
        <v>9.2310370318955393E-2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36701.586162201595</v>
      </c>
      <c r="D354" s="757">
        <f ca="1">Calcs!P291*Calcs!$C$2</f>
        <v>459.25292594973371</v>
      </c>
      <c r="E354" s="685">
        <f ca="1">D354*(Calcs!Z240-Calcs!AG14)*Calcs!O14</f>
        <v>12900.451430162097</v>
      </c>
      <c r="F354" s="740">
        <f t="shared" ca="1" si="121"/>
        <v>49602.037592363689</v>
      </c>
      <c r="G354" s="717"/>
      <c r="H354" s="758">
        <f t="shared" ca="1" si="122"/>
        <v>1.583159154990784</v>
      </c>
      <c r="I354" s="744">
        <f t="shared" ca="1" si="123"/>
        <v>1.583159154990784</v>
      </c>
      <c r="J354" s="760">
        <f t="shared" ca="1" si="124"/>
        <v>0.62075468027488789</v>
      </c>
      <c r="K354" s="539"/>
      <c r="L354" s="740">
        <f t="shared" ca="1" si="125"/>
        <v>855.46376943216455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56663.376995462437</v>
      </c>
      <c r="D355" s="757">
        <f ca="1">Calcs!P292*Calcs!$C$2</f>
        <v>524.04582037596367</v>
      </c>
      <c r="E355" s="685">
        <f ca="1">D355*(Calcs!Z241-Calcs!AG15)*Calcs!O15</f>
        <v>22726.882023563256</v>
      </c>
      <c r="F355" s="740">
        <f t="shared" ca="1" si="121"/>
        <v>79390.259019025689</v>
      </c>
      <c r="G355" s="717"/>
      <c r="H355" s="758">
        <f t="shared" ca="1" si="122"/>
        <v>0.87936709843317151</v>
      </c>
      <c r="I355" s="744">
        <f t="shared" ca="1" si="123"/>
        <v>0.87936709843317151</v>
      </c>
      <c r="J355" s="760">
        <f t="shared" ca="1" si="124"/>
        <v>0.91931608192631009</v>
      </c>
      <c r="K355" s="539"/>
      <c r="L355" s="740">
        <f t="shared" ca="1" si="125"/>
        <v>15209.878335758971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88005.269839934146</v>
      </c>
      <c r="D356" s="757">
        <f ca="1">Calcs!P293*Calcs!$C$2</f>
        <v>540.40486436272408</v>
      </c>
      <c r="E356" s="685">
        <f ca="1">D356*(Calcs!Z242-Calcs!AG16)*Calcs!O16</f>
        <v>36399.554698141088</v>
      </c>
      <c r="F356" s="740">
        <f t="shared" ca="1" si="121"/>
        <v>124404.82453807523</v>
      </c>
      <c r="G356" s="717"/>
      <c r="H356" s="758">
        <f t="shared" ca="1" si="122"/>
        <v>0.57145732045108988</v>
      </c>
      <c r="I356" s="744">
        <f t="shared" ca="1" si="123"/>
        <v>0.57145732045108988</v>
      </c>
      <c r="J356" s="760">
        <f t="shared" ca="1" si="124"/>
        <v>0.98993075690214061</v>
      </c>
      <c r="K356" s="539"/>
      <c r="L356" s="740">
        <f t="shared" ca="1" si="125"/>
        <v>54028.619966790575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473441.98581536027</v>
      </c>
      <c r="D357" s="742"/>
      <c r="E357" s="683">
        <f ca="1">SUM(E345:E356)</f>
        <v>187478.18085144664</v>
      </c>
      <c r="F357" s="683">
        <f ca="1">SUM(F345:F356)</f>
        <v>660920.16666680702</v>
      </c>
      <c r="L357" s="781">
        <f ca="1">SUM(L345:L356)</f>
        <v>183846.19537001167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85.906225309776232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6.7270816873184156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101993.06708700045</v>
      </c>
      <c r="D371" s="757">
        <f ca="1">Calcs!P296*Calcs!$C$2</f>
        <v>595.50599328010924</v>
      </c>
      <c r="E371" s="685">
        <f ca="1">D371*(Calcs!Z259-Calcs!AG5)*Calcs!O5</f>
        <v>46486.294656497375</v>
      </c>
      <c r="F371" s="757">
        <f t="shared" ref="F371:F382" ca="1" si="126">C371+E371</f>
        <v>148479.36174349784</v>
      </c>
      <c r="G371" s="633" t="s">
        <v>114</v>
      </c>
      <c r="H371" s="762">
        <f t="shared" ref="H371:H382" ca="1" si="127">IF(H313=0,9999,F371/H313)</f>
        <v>2.0412553259559449</v>
      </c>
      <c r="I371" s="633" t="s">
        <v>114</v>
      </c>
      <c r="J371" s="763">
        <f t="shared" ref="J371:J382" ca="1" si="128">IF(H371&lt;0,1,(1-H371^$C$366)/(1-H371^($C$366+1)))</f>
        <v>0.48783013247163687</v>
      </c>
      <c r="K371" s="633" t="s">
        <v>114</v>
      </c>
      <c r="L371" s="685">
        <f t="shared" ref="L371:L382" ca="1" si="129">H313-J371*F371</f>
        <v>306.53362817288144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85435.091302579196</v>
      </c>
      <c r="D372" s="757">
        <f ca="1">Calcs!P297*Calcs!$C$2</f>
        <v>570.66922296182668</v>
      </c>
      <c r="E372" s="685">
        <f ca="1">D372*(Calcs!Z260-Calcs!AG6)*Calcs!O6</f>
        <v>37315.466993481969</v>
      </c>
      <c r="F372" s="757">
        <f t="shared" ca="1" si="126"/>
        <v>122750.55829606116</v>
      </c>
      <c r="G372" s="633" t="s">
        <v>115</v>
      </c>
      <c r="H372" s="762">
        <f t="shared" ca="1" si="127"/>
        <v>1.775017944171815</v>
      </c>
      <c r="I372" s="633" t="s">
        <v>115</v>
      </c>
      <c r="J372" s="763">
        <f t="shared" ca="1" si="128"/>
        <v>0.55813032641266114</v>
      </c>
      <c r="K372" s="633" t="s">
        <v>115</v>
      </c>
      <c r="L372" s="685">
        <f t="shared" ca="1" si="129"/>
        <v>643.73583089644671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72352.378462118402</v>
      </c>
      <c r="D373" s="757">
        <f ca="1">Calcs!P298*Calcs!$C$2</f>
        <v>550.58037632965784</v>
      </c>
      <c r="E373" s="685">
        <f ca="1">D373*(Calcs!Z261-Calcs!AG7)*Calcs!O7</f>
        <v>30488.894873201032</v>
      </c>
      <c r="F373" s="757">
        <f t="shared" ca="1" si="126"/>
        <v>102841.27333531943</v>
      </c>
      <c r="G373" s="633" t="s">
        <v>116</v>
      </c>
      <c r="H373" s="762">
        <f t="shared" ca="1" si="127"/>
        <v>1.2903077533655585</v>
      </c>
      <c r="I373" s="633" t="s">
        <v>116</v>
      </c>
      <c r="J373" s="763">
        <f t="shared" ca="1" si="128"/>
        <v>0.73852572031936237</v>
      </c>
      <c r="K373" s="633" t="s">
        <v>116</v>
      </c>
      <c r="L373" s="685">
        <f t="shared" ca="1" si="129"/>
        <v>3751.977243693691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49313.934695462354</v>
      </c>
      <c r="D374" s="757">
        <f ca="1">Calcs!P299*Calcs!$C$2</f>
        <v>469.28163567277466</v>
      </c>
      <c r="E374" s="685">
        <f ca="1">D374*(Calcs!Z262-Calcs!AG8)*Calcs!O8</f>
        <v>17712.1530889938</v>
      </c>
      <c r="F374" s="757">
        <f t="shared" ca="1" si="126"/>
        <v>67026.087784456147</v>
      </c>
      <c r="G374" s="633" t="s">
        <v>117</v>
      </c>
      <c r="H374" s="762">
        <f t="shared" ca="1" si="127"/>
        <v>0.85127921575329457</v>
      </c>
      <c r="I374" s="633" t="s">
        <v>117</v>
      </c>
      <c r="J374" s="763">
        <f t="shared" ca="1" si="128"/>
        <v>0.92927236906491428</v>
      </c>
      <c r="K374" s="633" t="s">
        <v>117</v>
      </c>
      <c r="L374" s="685">
        <f t="shared" ca="1" si="129"/>
        <v>16450.235441682991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32205.373749676794</v>
      </c>
      <c r="D375" s="757">
        <f ca="1">Calcs!P300*Calcs!$C$2</f>
        <v>345.68225950677135</v>
      </c>
      <c r="E375" s="685">
        <f ca="1">D375*(Calcs!Z263-Calcs!AG9)*Calcs!O9</f>
        <v>8520.6667054208847</v>
      </c>
      <c r="F375" s="757">
        <f t="shared" ca="1" si="126"/>
        <v>40726.040455097682</v>
      </c>
      <c r="G375" s="633" t="s">
        <v>118</v>
      </c>
      <c r="H375" s="762">
        <f t="shared" ca="1" si="127"/>
        <v>0.4705625393800702</v>
      </c>
      <c r="I375" s="633" t="s">
        <v>118</v>
      </c>
      <c r="J375" s="763">
        <f t="shared" ca="1" si="128"/>
        <v>0.99666750671459148</v>
      </c>
      <c r="K375" s="633" t="s">
        <v>118</v>
      </c>
      <c r="L375" s="685">
        <f t="shared" ca="1" si="129"/>
        <v>45957.240595599156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11480.652010137588</v>
      </c>
      <c r="D376" s="757">
        <f ca="1">Calcs!P301*Calcs!$C$2</f>
        <v>461.94007084960407</v>
      </c>
      <c r="E376" s="685">
        <f ca="1">D376*(Calcs!Z264-Calcs!AG10)*Calcs!O10</f>
        <v>4059.0119697469654</v>
      </c>
      <c r="F376" s="757">
        <f t="shared" ca="1" si="126"/>
        <v>15539.663979884554</v>
      </c>
      <c r="G376" s="633" t="s">
        <v>119</v>
      </c>
      <c r="H376" s="762">
        <f t="shared" ca="1" si="127"/>
        <v>0.18394180071883906</v>
      </c>
      <c r="I376" s="633" t="s">
        <v>119</v>
      </c>
      <c r="J376" s="763">
        <f t="shared" ca="1" si="128"/>
        <v>0.99999077073220366</v>
      </c>
      <c r="K376" s="633" t="s">
        <v>119</v>
      </c>
      <c r="L376" s="685">
        <f t="shared" ca="1" si="129"/>
        <v>68941.896492164349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1296.3240306432392</v>
      </c>
      <c r="D377" s="757">
        <f ca="1">Calcs!P302*Calcs!$C$2</f>
        <v>386.92292319757024</v>
      </c>
      <c r="E377" s="685">
        <f ca="1">D377*(Calcs!Z265-Calcs!AG11)*Calcs!O11</f>
        <v>383.88944747971294</v>
      </c>
      <c r="F377" s="757">
        <f t="shared" ca="1" si="126"/>
        <v>1680.2134781229522</v>
      </c>
      <c r="G377" s="633" t="s">
        <v>120</v>
      </c>
      <c r="H377" s="762">
        <f t="shared" ca="1" si="127"/>
        <v>1.9200416947362364E-2</v>
      </c>
      <c r="I377" s="633" t="s">
        <v>120</v>
      </c>
      <c r="J377" s="763">
        <f t="shared" ca="1" si="128"/>
        <v>0.99999999999722489</v>
      </c>
      <c r="K377" s="633" t="s">
        <v>120</v>
      </c>
      <c r="L377" s="685">
        <f t="shared" ca="1" si="129"/>
        <v>85829.004823194162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9517.3513918847584</v>
      </c>
      <c r="D378" s="757">
        <f ca="1">Calcs!P303*Calcs!$C$2</f>
        <v>349.96432810118688</v>
      </c>
      <c r="E378" s="685">
        <f ca="1">D378*(Calcs!Z266-Calcs!AG12)*Calcs!O12</f>
        <v>2549.2241573277788</v>
      </c>
      <c r="F378" s="757">
        <f t="shared" ca="1" si="126"/>
        <v>12066.575549212537</v>
      </c>
      <c r="G378" s="633" t="s">
        <v>121</v>
      </c>
      <c r="H378" s="762">
        <f t="shared" ca="1" si="127"/>
        <v>0.1427317619374647</v>
      </c>
      <c r="I378" s="633" t="s">
        <v>121</v>
      </c>
      <c r="J378" s="763">
        <f t="shared" ca="1" si="128"/>
        <v>0.99999824001870175</v>
      </c>
      <c r="K378" s="633" t="s">
        <v>121</v>
      </c>
      <c r="L378" s="685">
        <f t="shared" ca="1" si="129"/>
        <v>72473.67265206865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21531.866890694306</v>
      </c>
      <c r="D379" s="757">
        <f ca="1">Calcs!P304*Calcs!$C$2</f>
        <v>310.55655387649784</v>
      </c>
      <c r="E379" s="685">
        <f ca="1">D379*(Calcs!Z267-Calcs!AG13)*Calcs!O13</f>
        <v>5117.8850520495771</v>
      </c>
      <c r="F379" s="757">
        <f t="shared" ca="1" si="126"/>
        <v>26649.751942743882</v>
      </c>
      <c r="G379" s="633" t="s">
        <v>122</v>
      </c>
      <c r="H379" s="762">
        <f t="shared" ca="1" si="127"/>
        <v>0.33441703536908879</v>
      </c>
      <c r="I379" s="633" t="s">
        <v>122</v>
      </c>
      <c r="J379" s="763">
        <f t="shared" ca="1" si="128"/>
        <v>0.99958010280853304</v>
      </c>
      <c r="K379" s="633" t="s">
        <v>122</v>
      </c>
      <c r="L379" s="685">
        <f t="shared" ca="1" si="129"/>
        <v>53051.612828102341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47302.186553567997</v>
      </c>
      <c r="D380" s="757">
        <f ca="1">Calcs!P305*Calcs!$C$2</f>
        <v>462.17671538145589</v>
      </c>
      <c r="E380" s="685">
        <f ca="1">D380*(Calcs!Z268-Calcs!AG14)*Calcs!O14</f>
        <v>16732.368497641004</v>
      </c>
      <c r="F380" s="757">
        <f t="shared" ca="1" si="126"/>
        <v>64034.555051208998</v>
      </c>
      <c r="G380" s="633" t="s">
        <v>123</v>
      </c>
      <c r="H380" s="762">
        <f t="shared" ca="1" si="127"/>
        <v>0.81543679134755387</v>
      </c>
      <c r="I380" s="633" t="s">
        <v>123</v>
      </c>
      <c r="J380" s="763">
        <f t="shared" ca="1" si="128"/>
        <v>0.94103233605205172</v>
      </c>
      <c r="K380" s="633" t="s">
        <v>123</v>
      </c>
      <c r="L380" s="685">
        <f t="shared" ca="1" si="129"/>
        <v>18269.332992654694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66922.022535494427</v>
      </c>
      <c r="D381" s="757">
        <f ca="1">Calcs!P306*Calcs!$C$2</f>
        <v>526.9540439484058</v>
      </c>
      <c r="E381" s="685">
        <f ca="1">D381*(Calcs!Z269-Calcs!AG15)*Calcs!O15</f>
        <v>26990.438583905056</v>
      </c>
      <c r="F381" s="757">
        <f t="shared" ca="1" si="126"/>
        <v>93912.461119399479</v>
      </c>
      <c r="G381" s="633" t="s">
        <v>124</v>
      </c>
      <c r="H381" s="762">
        <f t="shared" ca="1" si="127"/>
        <v>1.3451966922167669</v>
      </c>
      <c r="I381" s="633" t="s">
        <v>124</v>
      </c>
      <c r="J381" s="763">
        <f t="shared" ca="1" si="128"/>
        <v>0.71451592561954291</v>
      </c>
      <c r="K381" s="633" t="s">
        <v>124</v>
      </c>
      <c r="L381" s="685">
        <f t="shared" ca="1" si="129"/>
        <v>2711.2326334814861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98605.870231300534</v>
      </c>
      <c r="D382" s="757">
        <f ca="1">Calcs!P307*Calcs!$C$2</f>
        <v>578.56036179306966</v>
      </c>
      <c r="E382" s="685">
        <f ca="1">D382*(Calcs!Z270-Calcs!AG16)*Calcs!O16</f>
        <v>43663.604890424438</v>
      </c>
      <c r="F382" s="757">
        <f t="shared" ca="1" si="126"/>
        <v>142269.47512172497</v>
      </c>
      <c r="G382" s="633" t="s">
        <v>125</v>
      </c>
      <c r="H382" s="762">
        <f t="shared" ca="1" si="127"/>
        <v>2.0012009748076784</v>
      </c>
      <c r="I382" s="633" t="s">
        <v>125</v>
      </c>
      <c r="J382" s="763">
        <f t="shared" ca="1" si="128"/>
        <v>0.49733849202740066</v>
      </c>
      <c r="K382" s="633" t="s">
        <v>125</v>
      </c>
      <c r="L382" s="685">
        <f t="shared" ca="1" si="129"/>
        <v>335.96146314797807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597956.11894055991</v>
      </c>
      <c r="D383" s="683"/>
      <c r="E383" s="683">
        <f ca="1">SUM(E371:E382)</f>
        <v>240019.89891616959</v>
      </c>
      <c r="F383" s="683">
        <f ca="1">SUM(F371:F382)</f>
        <v>837976.01785672968</v>
      </c>
      <c r="G383" s="743"/>
      <c r="H383" s="683"/>
      <c r="I383" s="743"/>
      <c r="J383" s="743"/>
      <c r="K383" s="670" t="s">
        <v>178</v>
      </c>
      <c r="L383" s="764">
        <f ca="1">SUM(L371:L382)</f>
        <v>368722.43662485888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28.5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17.5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858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858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0.89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58287.024287346969</v>
      </c>
      <c r="D424" s="542">
        <f t="shared" ref="D424:D435" ca="1" si="130">$D$410-Z231</f>
        <v>7.0291666666666686</v>
      </c>
      <c r="E424" s="769">
        <f ca="1">C424/($D$412*D424)</f>
        <v>6687703.3060808592</v>
      </c>
      <c r="F424" s="770">
        <f ca="1">Calcs!L371</f>
        <v>306.53362817288144</v>
      </c>
      <c r="G424" s="771">
        <f t="shared" ref="G424:G435" ca="1" si="131">Z259-$D$411</f>
        <v>7</v>
      </c>
      <c r="H424" s="558">
        <f ca="1">F424/($D$412*G424)</f>
        <v>35317.425708719864</v>
      </c>
      <c r="I424" s="558">
        <f ca="1">MAX((E424+H424),$D$414*$D$291*P5*3600/1000)</f>
        <v>6723020.7317895787</v>
      </c>
      <c r="J424" s="630" t="s">
        <v>114</v>
      </c>
      <c r="K424" s="772">
        <f t="shared" ref="K424:K435" ca="1" si="132">I424*$D$418*$D$419/3600</f>
        <v>1662.0801253590903</v>
      </c>
      <c r="L424" s="765">
        <f ca="1">K424/$C$2</f>
        <v>0.53033826590909072</v>
      </c>
      <c r="M424" s="540"/>
      <c r="N424" s="747">
        <f t="shared" ref="N424:N435" ca="1" si="133">I424*$D$413/3600</f>
        <v>3361.5103658947892</v>
      </c>
      <c r="O424" s="749">
        <f ca="1">N424/Inputs!$C$11</f>
        <v>1.0725942456588351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38925.416099593131</v>
      </c>
      <c r="D425" s="542">
        <f t="shared" ca="1" si="130"/>
        <v>7.0291666666666686</v>
      </c>
      <c r="E425" s="769">
        <f t="shared" ref="E425:E435" ca="1" si="134">C425/($D$412*D425)</f>
        <v>4466202.1628771517</v>
      </c>
      <c r="F425" s="770">
        <f ca="1">Calcs!L372</f>
        <v>643.73583089644671</v>
      </c>
      <c r="G425" s="771">
        <f t="shared" ca="1" si="131"/>
        <v>7</v>
      </c>
      <c r="H425" s="558">
        <f t="shared" ref="H425:H435" ca="1" si="135">F425/($D$412*G425)</f>
        <v>74168.346615804199</v>
      </c>
      <c r="I425" s="558">
        <f t="shared" ref="I425:I435" ca="1" si="136">MAX((E425+H425),$D$414*$D$291*P6*3600/1000)</f>
        <v>4540370.5094929561</v>
      </c>
      <c r="J425" s="630" t="s">
        <v>115</v>
      </c>
      <c r="K425" s="772">
        <f t="shared" ca="1" si="132"/>
        <v>1122.4804870690919</v>
      </c>
      <c r="L425" s="765">
        <f t="shared" ref="L425:L435" ca="1" si="137">K425/$C$2</f>
        <v>0.35816224858618118</v>
      </c>
      <c r="M425" s="540"/>
      <c r="N425" s="747">
        <f t="shared" ca="1" si="133"/>
        <v>2270.1852547464782</v>
      </c>
      <c r="O425" s="749">
        <f ca="1">N425/Inputs!$C$11</f>
        <v>0.72437308702823178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15264.128967648692</v>
      </c>
      <c r="D426" s="542">
        <f t="shared" ca="1" si="130"/>
        <v>7.0291666666666686</v>
      </c>
      <c r="E426" s="769">
        <f t="shared" ca="1" si="134"/>
        <v>1751366.9124390157</v>
      </c>
      <c r="F426" s="770">
        <f ca="1">Calcs!L373</f>
        <v>3751.977243693691</v>
      </c>
      <c r="G426" s="771">
        <f t="shared" ca="1" si="131"/>
        <v>7</v>
      </c>
      <c r="H426" s="558">
        <f t="shared" ca="1" si="135"/>
        <v>432285.93989767821</v>
      </c>
      <c r="I426" s="558">
        <f t="shared" ca="1" si="136"/>
        <v>2183652.852336694</v>
      </c>
      <c r="J426" s="630" t="s">
        <v>116</v>
      </c>
      <c r="K426" s="772">
        <f t="shared" ca="1" si="132"/>
        <v>539.84751071657161</v>
      </c>
      <c r="L426" s="765">
        <f t="shared" ca="1" si="137"/>
        <v>0.17225510871620026</v>
      </c>
      <c r="M426" s="540"/>
      <c r="N426" s="747">
        <f t="shared" ca="1" si="133"/>
        <v>1091.8264261683471</v>
      </c>
      <c r="O426" s="749">
        <f ca="1">N426/Inputs!$C$11</f>
        <v>0.34838111875186567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1267.6562110075683</v>
      </c>
      <c r="D427" s="542">
        <f t="shared" ca="1" si="130"/>
        <v>7.0291666666666686</v>
      </c>
      <c r="E427" s="769">
        <f t="shared" ca="1" si="134"/>
        <v>145447.61440445681</v>
      </c>
      <c r="F427" s="770">
        <f ca="1">Calcs!L374</f>
        <v>16450.235441682991</v>
      </c>
      <c r="G427" s="771">
        <f t="shared" ca="1" si="131"/>
        <v>7</v>
      </c>
      <c r="H427" s="558">
        <f t="shared" ca="1" si="135"/>
        <v>1895322.1268595157</v>
      </c>
      <c r="I427" s="558">
        <f t="shared" ca="1" si="136"/>
        <v>2040769.7412639726</v>
      </c>
      <c r="J427" s="630" t="s">
        <v>117</v>
      </c>
      <c r="K427" s="772">
        <f t="shared" ca="1" si="132"/>
        <v>504.52363047914878</v>
      </c>
      <c r="L427" s="765">
        <f t="shared" ca="1" si="137"/>
        <v>0.16098392804057077</v>
      </c>
      <c r="M427" s="540"/>
      <c r="N427" s="747">
        <f t="shared" ca="1" si="133"/>
        <v>1020.3848706319864</v>
      </c>
      <c r="O427" s="749">
        <f ca="1">N427/Inputs!$C$11</f>
        <v>0.3255854724416038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7.9154220541458926</v>
      </c>
      <c r="D428" s="542">
        <f t="shared" ca="1" si="130"/>
        <v>7.0291666666666686</v>
      </c>
      <c r="E428" s="769">
        <f t="shared" ca="1" si="134"/>
        <v>908.19517530299197</v>
      </c>
      <c r="F428" s="770">
        <f ca="1">Calcs!L375</f>
        <v>45957.240595599156</v>
      </c>
      <c r="G428" s="771">
        <f t="shared" ca="1" si="131"/>
        <v>7</v>
      </c>
      <c r="H428" s="558">
        <f t="shared" ca="1" si="135"/>
        <v>5294986.5246022306</v>
      </c>
      <c r="I428" s="558">
        <f t="shared" ca="1" si="136"/>
        <v>5295894.7197775338</v>
      </c>
      <c r="J428" s="630" t="s">
        <v>118</v>
      </c>
      <c r="K428" s="772">
        <f t="shared" ca="1" si="132"/>
        <v>1309.2628612783346</v>
      </c>
      <c r="L428" s="765">
        <f t="shared" ca="1" si="137"/>
        <v>0.41776096403265306</v>
      </c>
      <c r="M428" s="540"/>
      <c r="N428" s="747">
        <f t="shared" ca="1" si="133"/>
        <v>2647.9473598887666</v>
      </c>
      <c r="O428" s="749">
        <f ca="1">N428/Inputs!$C$11</f>
        <v>0.8449098148975005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9.0960838861064985E-9</v>
      </c>
      <c r="D429" s="542">
        <f t="shared" ca="1" si="130"/>
        <v>7.0010414510171977</v>
      </c>
      <c r="E429" s="769">
        <f t="shared" ca="1" si="134"/>
        <v>1.0478539686160827E-6</v>
      </c>
      <c r="F429" s="770">
        <f ca="1">Calcs!L376</f>
        <v>68941.896492164349</v>
      </c>
      <c r="G429" s="771">
        <f t="shared" ca="1" si="131"/>
        <v>7</v>
      </c>
      <c r="H429" s="558">
        <f t="shared" ca="1" si="135"/>
        <v>7943175.1814422188</v>
      </c>
      <c r="I429" s="558">
        <f t="shared" ca="1" si="136"/>
        <v>7943175.1814432666</v>
      </c>
      <c r="J429" s="630" t="s">
        <v>119</v>
      </c>
      <c r="K429" s="772">
        <f t="shared" ca="1" si="132"/>
        <v>1963.7294198568075</v>
      </c>
      <c r="L429" s="765">
        <f t="shared" ca="1" si="137"/>
        <v>0.62658883849930036</v>
      </c>
      <c r="M429" s="540"/>
      <c r="N429" s="747">
        <f t="shared" ca="1" si="133"/>
        <v>3971.5875907216337</v>
      </c>
      <c r="O429" s="749">
        <f ca="1">N429/Inputs!$C$11</f>
        <v>1.2672583250547651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85829.004823194162</v>
      </c>
      <c r="G430" s="771">
        <f t="shared" ca="1" si="131"/>
        <v>7</v>
      </c>
      <c r="H430" s="558">
        <f t="shared" ca="1" si="135"/>
        <v>9888831.8373569231</v>
      </c>
      <c r="I430" s="558">
        <f t="shared" ca="1" si="136"/>
        <v>9888831.8373569231</v>
      </c>
      <c r="J430" s="630" t="s">
        <v>120</v>
      </c>
      <c r="K430" s="772">
        <f t="shared" ca="1" si="132"/>
        <v>2444.7389820132394</v>
      </c>
      <c r="L430" s="765">
        <f t="shared" ca="1" si="137"/>
        <v>0.78006987300996788</v>
      </c>
      <c r="M430" s="540"/>
      <c r="N430" s="747">
        <f t="shared" ca="1" si="133"/>
        <v>4944.4159186784609</v>
      </c>
      <c r="O430" s="749">
        <f ca="1">N430/Inputs!$C$11</f>
        <v>1.5776694060875753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72473.67265206865</v>
      </c>
      <c r="G431" s="771">
        <f t="shared" ca="1" si="131"/>
        <v>7</v>
      </c>
      <c r="H431" s="558">
        <f t="shared" ca="1" si="135"/>
        <v>8350090.5430315193</v>
      </c>
      <c r="I431" s="558">
        <f t="shared" ca="1" si="136"/>
        <v>8350090.5430315193</v>
      </c>
      <c r="J431" s="630" t="s">
        <v>121</v>
      </c>
      <c r="K431" s="772">
        <f t="shared" ca="1" si="132"/>
        <v>2064.3279398050145</v>
      </c>
      <c r="L431" s="765">
        <f t="shared" ca="1" si="137"/>
        <v>0.65868791952936012</v>
      </c>
      <c r="M431" s="540"/>
      <c r="N431" s="747">
        <f t="shared" ca="1" si="133"/>
        <v>4175.0452715157599</v>
      </c>
      <c r="O431" s="749">
        <f ca="1">N431/Inputs!$C$11</f>
        <v>1.3321778147784811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9.2310370318955393E-2</v>
      </c>
      <c r="D432" s="542">
        <f t="shared" ca="1" si="130"/>
        <v>7.0291666666666686</v>
      </c>
      <c r="E432" s="769">
        <f t="shared" ca="1" si="134"/>
        <v>10.591454552975703</v>
      </c>
      <c r="F432" s="770">
        <f ca="1">Calcs!L379</f>
        <v>53051.612828102341</v>
      </c>
      <c r="G432" s="771">
        <f t="shared" ca="1" si="131"/>
        <v>7</v>
      </c>
      <c r="H432" s="558">
        <f t="shared" ca="1" si="135"/>
        <v>6112368.1794793466</v>
      </c>
      <c r="I432" s="558">
        <f t="shared" ca="1" si="136"/>
        <v>6112378.7709339</v>
      </c>
      <c r="J432" s="630" t="s">
        <v>122</v>
      </c>
      <c r="K432" s="772">
        <f t="shared" ca="1" si="132"/>
        <v>1511.1158628142141</v>
      </c>
      <c r="L432" s="765">
        <f t="shared" ca="1" si="137"/>
        <v>0.4821684310192132</v>
      </c>
      <c r="M432" s="540"/>
      <c r="N432" s="747">
        <f t="shared" ca="1" si="133"/>
        <v>3056.1893854669502</v>
      </c>
      <c r="O432" s="749">
        <f ca="1">N432/Inputs!$C$11</f>
        <v>0.97517210767930762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855.46376943216455</v>
      </c>
      <c r="D433" s="542">
        <f t="shared" ca="1" si="130"/>
        <v>7.0291666666666686</v>
      </c>
      <c r="E433" s="769">
        <f t="shared" ca="1" si="134"/>
        <v>98153.713438169507</v>
      </c>
      <c r="F433" s="770">
        <f ca="1">Calcs!L380</f>
        <v>18269.332992654694</v>
      </c>
      <c r="G433" s="771">
        <f t="shared" ca="1" si="131"/>
        <v>7</v>
      </c>
      <c r="H433" s="558">
        <f t="shared" ca="1" si="135"/>
        <v>2104910.3635443449</v>
      </c>
      <c r="I433" s="558">
        <f t="shared" ca="1" si="136"/>
        <v>2203064.0769825145</v>
      </c>
      <c r="J433" s="630" t="s">
        <v>123</v>
      </c>
      <c r="K433" s="772">
        <f t="shared" ca="1" si="132"/>
        <v>544.64639680956611</v>
      </c>
      <c r="L433" s="765">
        <f t="shared" ca="1" si="137"/>
        <v>0.17378634231319914</v>
      </c>
      <c r="M433" s="540"/>
      <c r="N433" s="747">
        <f t="shared" ca="1" si="133"/>
        <v>1101.5320384912573</v>
      </c>
      <c r="O433" s="749">
        <f ca="1">N433/Inputs!$C$11</f>
        <v>0.35147799568961624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15209.878335758971</v>
      </c>
      <c r="D434" s="542">
        <f t="shared" ca="1" si="130"/>
        <v>7.0291666666666686</v>
      </c>
      <c r="E434" s="769">
        <f t="shared" ca="1" si="134"/>
        <v>1745142.3344187473</v>
      </c>
      <c r="F434" s="770">
        <f ca="1">Calcs!L381</f>
        <v>2711.2326334814861</v>
      </c>
      <c r="G434" s="771">
        <f t="shared" ca="1" si="131"/>
        <v>7</v>
      </c>
      <c r="H434" s="558">
        <f t="shared" ca="1" si="135"/>
        <v>312376.0276573482</v>
      </c>
      <c r="I434" s="558">
        <f t="shared" ca="1" si="136"/>
        <v>2057518.3620760955</v>
      </c>
      <c r="J434" s="630" t="s">
        <v>124</v>
      </c>
      <c r="K434" s="772">
        <f t="shared" ca="1" si="132"/>
        <v>508.66426173547916</v>
      </c>
      <c r="L434" s="765">
        <f t="shared" ca="1" si="137"/>
        <v>0.16230512499536667</v>
      </c>
      <c r="M434" s="540"/>
      <c r="N434" s="747">
        <f t="shared" ca="1" si="133"/>
        <v>1028.7591810380477</v>
      </c>
      <c r="O434" s="749">
        <f ca="1">N434/Inputs!$C$11</f>
        <v>0.32825755617040447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54028.619966790575</v>
      </c>
      <c r="D435" s="542">
        <f t="shared" ca="1" si="130"/>
        <v>7.0291666666666686</v>
      </c>
      <c r="E435" s="769">
        <f t="shared" ca="1" si="134"/>
        <v>6199104.9430418275</v>
      </c>
      <c r="F435" s="770">
        <f ca="1">Calcs!L382</f>
        <v>335.96146314797807</v>
      </c>
      <c r="G435" s="771">
        <f t="shared" ca="1" si="131"/>
        <v>7</v>
      </c>
      <c r="H435" s="558">
        <f t="shared" ca="1" si="135"/>
        <v>38707.968474602902</v>
      </c>
      <c r="I435" s="558">
        <f t="shared" ca="1" si="136"/>
        <v>6237812.9115164308</v>
      </c>
      <c r="J435" s="630" t="s">
        <v>125</v>
      </c>
      <c r="K435" s="772">
        <f t="shared" ca="1" si="132"/>
        <v>1542.1259697915621</v>
      </c>
      <c r="L435" s="765">
        <f t="shared" ca="1" si="137"/>
        <v>0.49206316840828401</v>
      </c>
      <c r="M435" s="540"/>
      <c r="N435" s="747">
        <f t="shared" ca="1" si="133"/>
        <v>3118.9064557582155</v>
      </c>
      <c r="O435" s="749">
        <f ca="1">N435/Inputs!$C$11</f>
        <v>0.9951839361066418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15717.54344772812</v>
      </c>
      <c r="L436" s="775">
        <f ca="1">SUM(L424:L435)</f>
        <v>5.0151702130593865</v>
      </c>
      <c r="M436" s="540"/>
      <c r="N436" s="746"/>
      <c r="O436" s="748">
        <f ca="1">SUM(O424:O435)</f>
        <v>10.143040880344829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5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0.33271196503915612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</v>
      </c>
      <c r="E472" s="540" t="s">
        <v>306</v>
      </c>
      <c r="F472" s="540"/>
      <c r="G472" s="540"/>
      <c r="H472" s="507" t="s">
        <v>304</v>
      </c>
      <c r="I472" s="780">
        <f ca="1">MAX((1-I471),0.1)</f>
        <v>0.66728803496084388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5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4662.9619429877648</v>
      </c>
      <c r="D523" s="540"/>
      <c r="E523" s="806">
        <f ca="1">IF(Calcs!$D$446=1,0,IF($D$469=0,0,(C523+L345)/$D$469))</f>
        <v>78687.482787918416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61.306725634576289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3114.0332879674552</v>
      </c>
      <c r="D524" s="540"/>
      <c r="E524" s="806">
        <f ca="1">IF(Calcs!$D$446=1,0,IF($D$469=0,0,(C524+L346)/$D$469))</f>
        <v>52549.311734450726</v>
      </c>
      <c r="F524" s="540"/>
      <c r="G524" s="806">
        <f t="shared" ca="1" si="140"/>
        <v>0</v>
      </c>
      <c r="H524" s="806">
        <f t="shared" ca="1" si="141"/>
        <v>128.74716617928934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1221.1303174118973</v>
      </c>
      <c r="D525" s="540"/>
      <c r="E525" s="806">
        <f ca="1">IF(Calcs!$D$446=1,0,IF($D$469=0,0,(C525+L347)/$D$469))</f>
        <v>20606.574106325737</v>
      </c>
      <c r="F525" s="540"/>
      <c r="G525" s="806">
        <f t="shared" ca="1" si="140"/>
        <v>0</v>
      </c>
      <c r="H525" s="806">
        <f t="shared" ca="1" si="141"/>
        <v>750.3954487387382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101.41249688060562</v>
      </c>
      <c r="D526" s="540"/>
      <c r="E526" s="806">
        <f ca="1">IF(Calcs!$D$446=1,0,IF($D$469=0,0,(C526+L348)/$D$469))</f>
        <v>1711.3358848602174</v>
      </c>
      <c r="F526" s="540"/>
      <c r="G526" s="806">
        <f t="shared" ca="1" si="140"/>
        <v>0</v>
      </c>
      <c r="H526" s="806">
        <f t="shared" ca="1" si="141"/>
        <v>3290.0470883365983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0.63323376433167244</v>
      </c>
      <c r="D527" s="540"/>
      <c r="E527" s="806">
        <f ca="1">IF(Calcs!$D$446=1,0,IF($D$469=0,0,(C527+L349)/$D$469))</f>
        <v>10.685819773096956</v>
      </c>
      <c r="F527" s="540"/>
      <c r="G527" s="806">
        <f t="shared" ca="1" si="140"/>
        <v>0</v>
      </c>
      <c r="H527" s="806">
        <f t="shared" ca="1" si="141"/>
        <v>9191.448119119832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7.2768671088852104E-10</v>
      </c>
      <c r="D528" s="540"/>
      <c r="E528" s="806">
        <f ca="1">IF(Calcs!$D$446=1,0,IF($D$469=0,0,(C528+L350)/$D$469))</f>
        <v>1.2279713246243775E-8</v>
      </c>
      <c r="F528" s="540"/>
      <c r="G528" s="806">
        <f t="shared" ca="1" si="140"/>
        <v>0</v>
      </c>
      <c r="H528" s="806">
        <f t="shared" ca="1" si="141"/>
        <v>13788.37929843287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17165.800964638831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14494.734530413731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7.3848296255164432E-3</v>
      </c>
      <c r="D531" s="540"/>
      <c r="E531" s="806">
        <f ca="1">IF(Calcs!$D$446=1,0,IF($D$469=0,0,(C531+L353)/$D$469))</f>
        <v>0.12461899993058978</v>
      </c>
      <c r="F531" s="540"/>
      <c r="G531" s="806">
        <f t="shared" ca="1" si="140"/>
        <v>0</v>
      </c>
      <c r="H531" s="806">
        <f t="shared" ca="1" si="141"/>
        <v>10610.322565620469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68.437101554573275</v>
      </c>
      <c r="D532" s="540"/>
      <c r="E532" s="806">
        <f ca="1">IF(Calcs!$D$446=1,0,IF($D$469=0,0,(C532+L354)/$D$469))</f>
        <v>1154.8760887334222</v>
      </c>
      <c r="F532" s="540"/>
      <c r="G532" s="806">
        <f t="shared" ca="1" si="140"/>
        <v>0</v>
      </c>
      <c r="H532" s="806">
        <f t="shared" ca="1" si="141"/>
        <v>3653.866598530939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1216.7902668607196</v>
      </c>
      <c r="D533" s="540"/>
      <c r="E533" s="806">
        <f ca="1">IF(Calcs!$D$446=1,0,IF($D$469=0,0,(C533+L355)/$D$469))</f>
        <v>20533.335753274612</v>
      </c>
      <c r="F533" s="540"/>
      <c r="G533" s="806">
        <f t="shared" ca="1" si="140"/>
        <v>0</v>
      </c>
      <c r="H533" s="806">
        <f t="shared" ca="1" si="141"/>
        <v>542.24652669629722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4322.2895973432524</v>
      </c>
      <c r="D534" s="540"/>
      <c r="E534" s="806">
        <f ca="1">IF(Calcs!$D$446=1,0,IF($D$469=0,0,(C534+L356)/$D$469))</f>
        <v>72938.636955167283</v>
      </c>
      <c r="F534" s="540"/>
      <c r="G534" s="806">
        <f t="shared" ca="1" si="140"/>
        <v>0</v>
      </c>
      <c r="H534" s="806">
        <f t="shared" ca="1" si="141"/>
        <v>67.192292629595613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14707.695629600956</v>
      </c>
      <c r="D535" s="540"/>
      <c r="E535" s="808">
        <f ca="1">SUM(E523:E534)</f>
        <v>248192.36374951573</v>
      </c>
      <c r="F535" s="540"/>
      <c r="G535" s="809">
        <f ca="1">SUM(G523:G534)</f>
        <v>0</v>
      </c>
      <c r="H535" s="810">
        <f ca="1">SUM(H523:H534)</f>
        <v>73744.487324971764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61.306725634576289</v>
      </c>
      <c r="E558" s="786"/>
      <c r="F558" s="786">
        <f ca="1">IF(Inputs!C$46=2,E523,0)+I541</f>
        <v>78687.482787918416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128.74716617928934</v>
      </c>
      <c r="E559" s="786"/>
      <c r="F559" s="786">
        <f ca="1">IF(Inputs!C$46=2,E524,0)+I542</f>
        <v>52549.311734450726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750.3954487387382</v>
      </c>
      <c r="E560" s="786"/>
      <c r="F560" s="786">
        <f ca="1">IF(Inputs!C$46=2,E525,0)+I543</f>
        <v>20606.574106325737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3290.0470883365983</v>
      </c>
      <c r="E561" s="786"/>
      <c r="F561" s="786">
        <f ca="1">IF(Inputs!C$46=2,E526,0)+I544</f>
        <v>1711.3358848602174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9191.448119119832</v>
      </c>
      <c r="E562" s="786"/>
      <c r="F562" s="786">
        <f ca="1">IF(Inputs!C$46=2,E527,0)+I545</f>
        <v>10.685819773096956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13788.37929843287</v>
      </c>
      <c r="E563" s="786"/>
      <c r="F563" s="786">
        <f ca="1">IF(Inputs!C$46=2,E528,0)+I546</f>
        <v>1.2279713246243775E-8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17165.800964638831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14494.734530413731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10610.322565620469</v>
      </c>
      <c r="E566" s="786"/>
      <c r="F566" s="786">
        <f ca="1">IF(Inputs!C$46=2,E531,0)+I549</f>
        <v>0.12461899993058978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3653.866598530939</v>
      </c>
      <c r="E567" s="786"/>
      <c r="F567" s="786">
        <f ca="1">IF(Inputs!C$46=2,E532,0)+I550</f>
        <v>1154.8760887334222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542.24652669629722</v>
      </c>
      <c r="E568" s="786"/>
      <c r="F568" s="786">
        <f ca="1">IF(Inputs!C$46=2,E533,0)+I551</f>
        <v>20533.335753274612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67.192292629595613</v>
      </c>
      <c r="E569" s="786"/>
      <c r="F569" s="786">
        <f ca="1">IF(Inputs!C$46=2,E534,0)+I552</f>
        <v>72938.636955167283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73744.487324971764</v>
      </c>
      <c r="E570" s="782"/>
      <c r="F570" s="788">
        <f ca="1">SUM(F558:F569)</f>
        <v>248192.36374951573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21.470833333333331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28.5</v>
      </c>
      <c r="J626" s="797">
        <f>$D$291</f>
        <v>0.70833333333333337</v>
      </c>
      <c r="K626" s="798">
        <f t="shared" ref="K626:K637" ca="1" si="152">1.205*1.008*E424/3600</f>
        <v>2256.4310954716821</v>
      </c>
      <c r="L626" s="743">
        <f t="shared" ref="L626:L637" si="153">O5</f>
        <v>2.6783999999999999</v>
      </c>
      <c r="M626" s="796">
        <f ca="1">K626*((I626-H626)-G626)*J626*L626</f>
        <v>140177.90402137866</v>
      </c>
      <c r="N626" s="799">
        <f ca="1">Calcs!L345</f>
        <v>58287.024287346969</v>
      </c>
      <c r="O626" s="798">
        <f ca="1">M626+N626</f>
        <v>198464.92830872565</v>
      </c>
      <c r="P626" s="796">
        <f ca="1">O626/(O626+O648)</f>
        <v>0.99599460800220985</v>
      </c>
      <c r="Q626" s="796">
        <f t="shared" ref="Q626:Q637" ca="1" si="154">M626*P626</f>
        <v>139616.43656634443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21.470833333333331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28.5</v>
      </c>
      <c r="J627" s="797">
        <f t="shared" ref="J627:J637" si="157">$D$291</f>
        <v>0.70833333333333337</v>
      </c>
      <c r="K627" s="798">
        <f t="shared" ca="1" si="152"/>
        <v>1506.8966097547511</v>
      </c>
      <c r="L627" s="743">
        <f t="shared" si="153"/>
        <v>2.4192</v>
      </c>
      <c r="M627" s="796">
        <f t="shared" ref="M627:M637" ca="1" si="158">K627*((I627-H627)-G627)*J627*L627</f>
        <v>79091.186425113236</v>
      </c>
      <c r="N627" s="799">
        <f ca="1">Calcs!L346</f>
        <v>38925.416099593131</v>
      </c>
      <c r="O627" s="798">
        <f t="shared" ref="O627:O637" ca="1" si="159">M627+N627</f>
        <v>118016.60252470637</v>
      </c>
      <c r="P627" s="796">
        <f t="shared" ref="P627:P637" ca="1" si="160">O627/(O627+O649)</f>
        <v>0.98756950373131958</v>
      </c>
      <c r="Q627" s="796">
        <f t="shared" ca="1" si="154"/>
        <v>78108.043727370357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21.470833333333331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28.5</v>
      </c>
      <c r="J628" s="797">
        <f t="shared" si="157"/>
        <v>0.70833333333333337</v>
      </c>
      <c r="K628" s="798">
        <f t="shared" ca="1" si="152"/>
        <v>590.91119625692397</v>
      </c>
      <c r="L628" s="743">
        <f t="shared" si="153"/>
        <v>2.6783999999999999</v>
      </c>
      <c r="M628" s="796">
        <f t="shared" ca="1" si="158"/>
        <v>27214.137415350404</v>
      </c>
      <c r="N628" s="799">
        <f ca="1">Calcs!L347</f>
        <v>15264.128967648692</v>
      </c>
      <c r="O628" s="798">
        <f t="shared" ca="1" si="159"/>
        <v>42478.266382999092</v>
      </c>
      <c r="P628" s="796">
        <f t="shared" ca="1" si="160"/>
        <v>0.85120634253546001</v>
      </c>
      <c r="Q628" s="796">
        <f t="shared" ca="1" si="154"/>
        <v>23164.846374577835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21.470833333333331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28.5</v>
      </c>
      <c r="J629" s="797">
        <f t="shared" si="157"/>
        <v>0.70833333333333337</v>
      </c>
      <c r="K629" s="798">
        <f t="shared" ca="1" si="152"/>
        <v>49.074025100063736</v>
      </c>
      <c r="L629" s="743">
        <f t="shared" si="153"/>
        <v>2.5920000000000001</v>
      </c>
      <c r="M629" s="796">
        <f t="shared" ca="1" si="158"/>
        <v>1636.3395058843057</v>
      </c>
      <c r="N629" s="799">
        <f ca="1">Calcs!L348</f>
        <v>1267.6562110075683</v>
      </c>
      <c r="O629" s="798">
        <f t="shared" ca="1" si="159"/>
        <v>2903.9957168918741</v>
      </c>
      <c r="P629" s="796">
        <f t="shared" ca="1" si="160"/>
        <v>0.10460199974937223</v>
      </c>
      <c r="Q629" s="796">
        <f t="shared" ca="1" si="154"/>
        <v>171.16438458439802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21.470833333333331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28.5</v>
      </c>
      <c r="J630" s="797">
        <f t="shared" si="157"/>
        <v>0.70833333333333337</v>
      </c>
      <c r="K630" s="798">
        <f t="shared" ca="1" si="152"/>
        <v>0.30642505214722954</v>
      </c>
      <c r="L630" s="743">
        <f t="shared" si="153"/>
        <v>2.6783999999999999</v>
      </c>
      <c r="M630" s="796">
        <f t="shared" ca="1" si="158"/>
        <v>7.4429159005059153</v>
      </c>
      <c r="N630" s="799">
        <f ca="1">Calcs!L349</f>
        <v>7.9154220541458926</v>
      </c>
      <c r="O630" s="798">
        <f t="shared" ca="1" si="159"/>
        <v>15.358337954651809</v>
      </c>
      <c r="P630" s="796">
        <f t="shared" ca="1" si="160"/>
        <v>2.9488147207361141E-4</v>
      </c>
      <c r="Q630" s="796">
        <f t="shared" ca="1" si="154"/>
        <v>2.1947779972612733E-3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21.498958548982802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28.5</v>
      </c>
      <c r="J631" s="797">
        <f t="shared" si="157"/>
        <v>0.70833333333333337</v>
      </c>
      <c r="K631" s="798">
        <f t="shared" ca="1" si="152"/>
        <v>3.5354592901106634E-10</v>
      </c>
      <c r="L631" s="743">
        <f t="shared" si="153"/>
        <v>2.5920000000000001</v>
      </c>
      <c r="M631" s="796">
        <f t="shared" ca="1" si="158"/>
        <v>4.5372811763935812E-9</v>
      </c>
      <c r="N631" s="799">
        <f ca="1">Calcs!L350</f>
        <v>9.0960838861064985E-9</v>
      </c>
      <c r="O631" s="798">
        <f t="shared" ca="1" si="159"/>
        <v>1.3633365062500081E-8</v>
      </c>
      <c r="P631" s="796">
        <f t="shared" ca="1" si="160"/>
        <v>2.7704139336984568E-13</v>
      </c>
      <c r="Q631" s="796">
        <f t="shared" ca="1" si="154"/>
        <v>1.2570146992188503E-21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21.5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28.5</v>
      </c>
      <c r="J632" s="797">
        <f t="shared" si="157"/>
        <v>0.70833333333333337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21.5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28.5</v>
      </c>
      <c r="J633" s="797">
        <f t="shared" si="157"/>
        <v>0.70833333333333337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21.470833333333331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28.5</v>
      </c>
      <c r="J634" s="797">
        <f t="shared" si="157"/>
        <v>0.70833333333333337</v>
      </c>
      <c r="K634" s="798">
        <f t="shared" ca="1" si="152"/>
        <v>3.5735567661740026E-3</v>
      </c>
      <c r="L634" s="743">
        <f t="shared" si="153"/>
        <v>2.5920000000000001</v>
      </c>
      <c r="M634" s="796">
        <f t="shared" ca="1" si="158"/>
        <v>6.5334391363416081E-2</v>
      </c>
      <c r="N634" s="799">
        <f ca="1">Calcs!L353</f>
        <v>9.2310370318955393E-2</v>
      </c>
      <c r="O634" s="798">
        <f t="shared" ca="1" si="159"/>
        <v>0.15764476168237146</v>
      </c>
      <c r="P634" s="796">
        <f t="shared" ca="1" si="160"/>
        <v>3.2102940622285094E-6</v>
      </c>
      <c r="Q634" s="796">
        <f t="shared" ca="1" si="154"/>
        <v>2.0974260865328825E-7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21.470833333333331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28.5</v>
      </c>
      <c r="J635" s="797">
        <f t="shared" si="157"/>
        <v>0.70833333333333337</v>
      </c>
      <c r="K635" s="798">
        <f t="shared" ca="1" si="152"/>
        <v>33.117062914038399</v>
      </c>
      <c r="L635" s="743">
        <f t="shared" si="153"/>
        <v>2.6783999999999999</v>
      </c>
      <c r="M635" s="796">
        <f t="shared" ca="1" si="158"/>
        <v>1075.4433354851687</v>
      </c>
      <c r="N635" s="799">
        <f ca="1">Calcs!L354</f>
        <v>855.46376943216455</v>
      </c>
      <c r="O635" s="798">
        <f t="shared" ca="1" si="159"/>
        <v>1930.9071049173333</v>
      </c>
      <c r="P635" s="796">
        <f t="shared" ca="1" si="160"/>
        <v>6.788945931724806E-2</v>
      </c>
      <c r="Q635" s="796">
        <f t="shared" ca="1" si="154"/>
        <v>73.011266572425924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21.470833333333331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28.5</v>
      </c>
      <c r="J636" s="797">
        <f t="shared" si="157"/>
        <v>0.70833333333333337</v>
      </c>
      <c r="K636" s="798">
        <f t="shared" ca="1" si="152"/>
        <v>588.81102363288539</v>
      </c>
      <c r="L636" s="743">
        <f t="shared" si="153"/>
        <v>2.5920000000000001</v>
      </c>
      <c r="M636" s="796">
        <f t="shared" ca="1" si="158"/>
        <v>25254.243174205025</v>
      </c>
      <c r="N636" s="799">
        <f ca="1">Calcs!L355</f>
        <v>15209.878335758971</v>
      </c>
      <c r="O636" s="798">
        <f t="shared" ca="1" si="159"/>
        <v>40464.121509963996</v>
      </c>
      <c r="P636" s="796">
        <f t="shared" ca="1" si="160"/>
        <v>0.88800927842824406</v>
      </c>
      <c r="Q636" s="796">
        <f t="shared" ca="1" si="154"/>
        <v>22426.002258377212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21.470833333333331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28.5</v>
      </c>
      <c r="J637" s="797">
        <f t="shared" si="157"/>
        <v>0.70833333333333337</v>
      </c>
      <c r="K637" s="798">
        <f t="shared" ca="1" si="152"/>
        <v>2091.5780077823129</v>
      </c>
      <c r="L637" s="743">
        <f t="shared" si="153"/>
        <v>2.6783999999999999</v>
      </c>
      <c r="M637" s="796">
        <f t="shared" ca="1" si="158"/>
        <v>126095.828285847</v>
      </c>
      <c r="N637" s="799">
        <f ca="1">Calcs!L356</f>
        <v>54028.619966790575</v>
      </c>
      <c r="O637" s="798">
        <f t="shared" ca="1" si="159"/>
        <v>180124.44825263758</v>
      </c>
      <c r="P637" s="796">
        <f t="shared" ca="1" si="160"/>
        <v>0.99529899142350731</v>
      </c>
      <c r="Q637" s="796">
        <f t="shared" ca="1" si="154"/>
        <v>125503.05071561529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24.5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17.5</v>
      </c>
      <c r="J648" s="797">
        <f>$D$291</f>
        <v>0.70833333333333337</v>
      </c>
      <c r="K648" s="798">
        <f t="shared" ref="K648:K659" ca="1" si="164">1.205*1.008*H424/3600</f>
        <v>11.916099434122083</v>
      </c>
      <c r="L648" s="743">
        <f t="shared" ref="L648:L659" si="165">O5</f>
        <v>2.6783999999999999</v>
      </c>
      <c r="M648" s="796">
        <f ca="1">K648*((I648-H648)-G648)*J648*L648</f>
        <v>491.593017597075</v>
      </c>
      <c r="N648" s="799">
        <f ca="1">Calcs!L371</f>
        <v>306.53362817288144</v>
      </c>
      <c r="O648" s="798">
        <f ca="1">M648+N648</f>
        <v>798.12664576995644</v>
      </c>
      <c r="P648" s="796">
        <f ca="1">O648/(O648+O626)</f>
        <v>4.005391997790154E-3</v>
      </c>
      <c r="Q648" s="796">
        <f t="shared" ref="Q648:Q659" ca="1" si="166">M648*P648</f>
        <v>1.9690227388528385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24.5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17.5</v>
      </c>
      <c r="J649" s="797">
        <f t="shared" ref="J649:J659" si="170">$D$291</f>
        <v>0.70833333333333337</v>
      </c>
      <c r="K649" s="798">
        <f t="shared" ca="1" si="164"/>
        <v>25.02440014817234</v>
      </c>
      <c r="L649" s="743">
        <f t="shared" si="165"/>
        <v>2.4192</v>
      </c>
      <c r="M649" s="796">
        <f t="shared" ref="M649:M659" ca="1" si="171">K649*((I649-H649)-G649)*J649*L649</f>
        <v>841.734236560005</v>
      </c>
      <c r="N649" s="799">
        <f ca="1">Calcs!L372</f>
        <v>643.73583089644671</v>
      </c>
      <c r="O649" s="798">
        <f t="shared" ref="O649:O659" ca="1" si="172">M649+N649</f>
        <v>1485.4700674564517</v>
      </c>
      <c r="P649" s="796">
        <f t="shared" ref="P649:P659" ca="1" si="173">O649/(O649+O627)</f>
        <v>1.2430496268680379E-2</v>
      </c>
      <c r="Q649" s="796">
        <f t="shared" ca="1" si="166"/>
        <v>10.463174286779671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24.5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17.5</v>
      </c>
      <c r="J650" s="797">
        <f t="shared" si="170"/>
        <v>0.70833333333333337</v>
      </c>
      <c r="K650" s="798">
        <f t="shared" ca="1" si="164"/>
        <v>145.85327612147663</v>
      </c>
      <c r="L650" s="743">
        <f t="shared" si="165"/>
        <v>2.6783999999999999</v>
      </c>
      <c r="M650" s="796">
        <f t="shared" ca="1" si="171"/>
        <v>3673.3628907005104</v>
      </c>
      <c r="N650" s="799">
        <f ca="1">Calcs!L373</f>
        <v>3751.977243693691</v>
      </c>
      <c r="O650" s="798">
        <f t="shared" ca="1" si="172"/>
        <v>7425.3401343942014</v>
      </c>
      <c r="P650" s="796">
        <f t="shared" ca="1" si="173"/>
        <v>0.14879365746453996</v>
      </c>
      <c r="Q650" s="796">
        <f t="shared" ca="1" si="166"/>
        <v>546.57309970184406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24.5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17.5</v>
      </c>
      <c r="J651" s="797">
        <f t="shared" si="170"/>
        <v>0.70833333333333337</v>
      </c>
      <c r="K651" s="798">
        <f t="shared" ca="1" si="164"/>
        <v>639.48168560240072</v>
      </c>
      <c r="L651" s="743">
        <f t="shared" si="165"/>
        <v>2.5920000000000001</v>
      </c>
      <c r="M651" s="796">
        <f t="shared" ca="1" si="171"/>
        <v>8408.1034416228922</v>
      </c>
      <c r="N651" s="799">
        <f ca="1">Calcs!L374</f>
        <v>16450.235441682991</v>
      </c>
      <c r="O651" s="798">
        <f t="shared" ca="1" si="172"/>
        <v>24858.338883305885</v>
      </c>
      <c r="P651" s="796">
        <f t="shared" ca="1" si="173"/>
        <v>0.89539800025062777</v>
      </c>
      <c r="Q651" s="796">
        <f t="shared" ca="1" si="166"/>
        <v>7528.5990075295585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24.5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17.5</v>
      </c>
      <c r="J652" s="797">
        <f t="shared" si="170"/>
        <v>0.70833333333333337</v>
      </c>
      <c r="K652" s="798">
        <f t="shared" ca="1" si="164"/>
        <v>1786.5284534007928</v>
      </c>
      <c r="L652" s="743">
        <f t="shared" si="165"/>
        <v>2.6783999999999999</v>
      </c>
      <c r="M652" s="796">
        <f t="shared" ca="1" si="171"/>
        <v>6110.4900670935385</v>
      </c>
      <c r="N652" s="799">
        <f ca="1">Calcs!L375</f>
        <v>45957.240595599156</v>
      </c>
      <c r="O652" s="798">
        <f t="shared" ca="1" si="172"/>
        <v>52067.730662692695</v>
      </c>
      <c r="P652" s="796">
        <f t="shared" ca="1" si="173"/>
        <v>0.99970511852792632</v>
      </c>
      <c r="Q652" s="796">
        <f t="shared" ca="1" si="166"/>
        <v>6108.6881967874624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24.5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17.5</v>
      </c>
      <c r="J653" s="797">
        <f t="shared" si="170"/>
        <v>0.70833333333333337</v>
      </c>
      <c r="K653" s="798">
        <f t="shared" ca="1" si="164"/>
        <v>2680.0273062186052</v>
      </c>
      <c r="L653" s="743">
        <f t="shared" si="165"/>
        <v>2.5920000000000001</v>
      </c>
      <c r="M653" s="796">
        <f t="shared" ca="1" si="171"/>
        <v>-19731.325838211618</v>
      </c>
      <c r="N653" s="799">
        <f ca="1">Calcs!L376</f>
        <v>68941.896492164349</v>
      </c>
      <c r="O653" s="798">
        <f t="shared" ca="1" si="172"/>
        <v>49210.570653952731</v>
      </c>
      <c r="P653" s="796">
        <f t="shared" ca="1" si="173"/>
        <v>0.99999999999972289</v>
      </c>
      <c r="Q653" s="796">
        <f t="shared" ca="1" si="166"/>
        <v>-19731.32583820615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24.5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17.5</v>
      </c>
      <c r="J654" s="797">
        <f t="shared" si="170"/>
        <v>0.70833333333333337</v>
      </c>
      <c r="K654" s="798">
        <f t="shared" ca="1" si="164"/>
        <v>3336.4918619242262</v>
      </c>
      <c r="L654" s="743">
        <f t="shared" si="165"/>
        <v>2.6783999999999999</v>
      </c>
      <c r="M654" s="796">
        <f t="shared" ca="1" si="171"/>
        <v>-44497.123716552356</v>
      </c>
      <c r="N654" s="799">
        <f ca="1">Calcs!L377</f>
        <v>85829.004823194162</v>
      </c>
      <c r="O654" s="798">
        <f t="shared" ca="1" si="172"/>
        <v>41331.881106641806</v>
      </c>
      <c r="P654" s="796">
        <f t="shared" ca="1" si="173"/>
        <v>1</v>
      </c>
      <c r="Q654" s="796">
        <f t="shared" ca="1" si="166"/>
        <v>-44497.123716552356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24.5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17.5</v>
      </c>
      <c r="J655" s="797">
        <f t="shared" si="170"/>
        <v>0.70833333333333337</v>
      </c>
      <c r="K655" s="798">
        <f t="shared" ca="1" si="164"/>
        <v>2817.3205492188354</v>
      </c>
      <c r="L655" s="743">
        <f t="shared" si="165"/>
        <v>2.6783999999999999</v>
      </c>
      <c r="M655" s="796">
        <f t="shared" ca="1" si="171"/>
        <v>-25016.707722049116</v>
      </c>
      <c r="N655" s="799">
        <f ca="1">Calcs!L378</f>
        <v>72473.67265206865</v>
      </c>
      <c r="O655" s="798">
        <f t="shared" ca="1" si="172"/>
        <v>47456.964930019531</v>
      </c>
      <c r="P655" s="796">
        <f t="shared" ca="1" si="173"/>
        <v>1</v>
      </c>
      <c r="Q655" s="796">
        <f t="shared" ca="1" si="166"/>
        <v>-25016.707722049116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24.5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17.5</v>
      </c>
      <c r="J656" s="797">
        <f t="shared" si="170"/>
        <v>0.70833333333333337</v>
      </c>
      <c r="K656" s="798">
        <f t="shared" ca="1" si="164"/>
        <v>2062.3130237563319</v>
      </c>
      <c r="L656" s="743">
        <f t="shared" si="165"/>
        <v>2.5920000000000001</v>
      </c>
      <c r="M656" s="796">
        <f t="shared" ca="1" si="171"/>
        <v>-3945.7513273972559</v>
      </c>
      <c r="N656" s="799">
        <f ca="1">Calcs!L379</f>
        <v>53051.612828102341</v>
      </c>
      <c r="O656" s="798">
        <f t="shared" ca="1" si="172"/>
        <v>49105.861500705083</v>
      </c>
      <c r="P656" s="796">
        <f t="shared" ca="1" si="173"/>
        <v>0.99999678970593775</v>
      </c>
      <c r="Q656" s="796">
        <f t="shared" ca="1" si="166"/>
        <v>-3945.7386603751984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24.5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17.5</v>
      </c>
      <c r="J657" s="797">
        <f t="shared" si="170"/>
        <v>0.70833333333333337</v>
      </c>
      <c r="K657" s="798">
        <f t="shared" ca="1" si="164"/>
        <v>710.1967566598621</v>
      </c>
      <c r="L657" s="743">
        <f t="shared" si="165"/>
        <v>2.6783999999999999</v>
      </c>
      <c r="M657" s="796">
        <f t="shared" ca="1" si="171"/>
        <v>8241.6877707025888</v>
      </c>
      <c r="N657" s="799">
        <f ca="1">Calcs!L380</f>
        <v>18269.332992654694</v>
      </c>
      <c r="O657" s="798">
        <f t="shared" ca="1" si="172"/>
        <v>26511.020763357283</v>
      </c>
      <c r="P657" s="796">
        <f t="shared" ca="1" si="173"/>
        <v>0.93211054068275201</v>
      </c>
      <c r="Q657" s="796">
        <f t="shared" ca="1" si="166"/>
        <v>7682.1640440880146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24.5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17.5</v>
      </c>
      <c r="J658" s="797">
        <f t="shared" si="170"/>
        <v>0.70833333333333337</v>
      </c>
      <c r="K658" s="798">
        <f t="shared" ca="1" si="164"/>
        <v>105.39567173158929</v>
      </c>
      <c r="L658" s="743">
        <f t="shared" si="165"/>
        <v>2.5920000000000001</v>
      </c>
      <c r="M658" s="796">
        <f t="shared" ca="1" si="171"/>
        <v>2391.8741422595472</v>
      </c>
      <c r="N658" s="799">
        <f ca="1">Calcs!L381</f>
        <v>2711.2326334814861</v>
      </c>
      <c r="O658" s="798">
        <f t="shared" ca="1" si="172"/>
        <v>5103.1067757410328</v>
      </c>
      <c r="P658" s="796">
        <f t="shared" ca="1" si="173"/>
        <v>0.11199072157175592</v>
      </c>
      <c r="Q658" s="796">
        <f t="shared" ca="1" si="166"/>
        <v>267.86771110047147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24.5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17.5</v>
      </c>
      <c r="J659" s="797">
        <f t="shared" si="170"/>
        <v>0.70833333333333337</v>
      </c>
      <c r="K659" s="798">
        <f t="shared" ca="1" si="164"/>
        <v>13.06006856333102</v>
      </c>
      <c r="L659" s="743">
        <f t="shared" si="165"/>
        <v>2.6783999999999999</v>
      </c>
      <c r="M659" s="796">
        <f t="shared" ca="1" si="171"/>
        <v>514.80457134845221</v>
      </c>
      <c r="N659" s="799">
        <f ca="1">Calcs!L382</f>
        <v>335.96146314797807</v>
      </c>
      <c r="O659" s="798">
        <f t="shared" ca="1" si="172"/>
        <v>850.76603449643028</v>
      </c>
      <c r="P659" s="796">
        <f t="shared" ca="1" si="173"/>
        <v>4.7010085764927507E-3</v>
      </c>
      <c r="Q659" s="796">
        <f t="shared" ca="1" si="166"/>
        <v>2.4201007051267482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0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0.99476847559564752</v>
      </c>
      <c r="E701" s="834">
        <f ca="1">$E$713*(D701/$D$713)</f>
        <v>5261.5809182680259</v>
      </c>
      <c r="F701" s="540"/>
      <c r="G701" s="598">
        <f ca="1">Calcs!L371/(Calcs!L345+Calcs!L371)</f>
        <v>5.2315244043524617E-3</v>
      </c>
      <c r="H701" s="834">
        <f ca="1">$H$713*(G701/$G$713)</f>
        <v>0</v>
      </c>
      <c r="I701" s="540"/>
      <c r="J701" s="835">
        <f ca="1">(Calcs!L345+Calcs!L371)/($L$357+Calcs!$L$383)</f>
        <v>0.10603851634499545</v>
      </c>
      <c r="K701" s="834">
        <f ca="1">IF(OR($E$713=0,$H$713=0),E701+H701,$K$713*J701/$J$713)</f>
        <v>5261.5809182680259</v>
      </c>
      <c r="L701" s="776">
        <f ca="1">H701+E701</f>
        <v>5261.5809182680259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0.98373137154854151</v>
      </c>
      <c r="E702" s="834">
        <f t="shared" ref="E702:E712" ca="1" si="175">$E$713*(D702/$D$713)</f>
        <v>5203.2028961735687</v>
      </c>
      <c r="F702" s="540"/>
      <c r="G702" s="598">
        <f ca="1">Calcs!L372/(Calcs!L346+Calcs!L372)</f>
        <v>1.6268628451458499E-2</v>
      </c>
      <c r="H702" s="834">
        <f t="shared" ref="H702:H712" ca="1" si="176">$H$713*(G702/$G$713)</f>
        <v>0</v>
      </c>
      <c r="I702" s="540"/>
      <c r="J702" s="835">
        <f ca="1">(Calcs!L346+Calcs!L372)/($L$357+Calcs!$L$383)</f>
        <v>7.1609479147663413E-2</v>
      </c>
      <c r="K702" s="834">
        <f t="shared" ref="K702:K712" ca="1" si="177">IF(OR($E$713=0,$H$713=0),E702+H702,$K$713*J702/$J$713)</f>
        <v>5203.2028961735687</v>
      </c>
      <c r="L702" s="776">
        <f t="shared" ref="L702:L712" ca="1" si="178">H702+E702</f>
        <v>5203.2028961735687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0.80269476821412689</v>
      </c>
      <c r="E703" s="834">
        <f t="shared" ca="1" si="175"/>
        <v>4245.6547219192007</v>
      </c>
      <c r="F703" s="540"/>
      <c r="G703" s="598">
        <f ca="1">Calcs!L373/(Calcs!L347+Calcs!L373)</f>
        <v>0.19730523178587314</v>
      </c>
      <c r="H703" s="834">
        <f t="shared" ca="1" si="176"/>
        <v>0</v>
      </c>
      <c r="I703" s="540"/>
      <c r="J703" s="835">
        <f ca="1">(Calcs!L347+Calcs!L373)/($L$357+Calcs!$L$383)</f>
        <v>3.4414016848352172E-2</v>
      </c>
      <c r="K703" s="834">
        <f t="shared" ca="1" si="177"/>
        <v>4245.6547219192007</v>
      </c>
      <c r="L703" s="776">
        <f t="shared" ca="1" si="178"/>
        <v>4245.6547219192007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7.1546673602954775E-2</v>
      </c>
      <c r="E704" s="834">
        <f t="shared" ca="1" si="175"/>
        <v>378.42836984701148</v>
      </c>
      <c r="F704" s="540"/>
      <c r="G704" s="598">
        <f ca="1">Calcs!L374/(Calcs!L348+Calcs!L374)</f>
        <v>0.92845332639704525</v>
      </c>
      <c r="H704" s="834">
        <f t="shared" ca="1" si="176"/>
        <v>0</v>
      </c>
      <c r="I704" s="540"/>
      <c r="J704" s="835">
        <f ca="1">(Calcs!L348+Calcs!L374)/($L$357+Calcs!$L$383)</f>
        <v>3.2064599086498696E-2</v>
      </c>
      <c r="K704" s="834">
        <f t="shared" ca="1" si="177"/>
        <v>378.42836984701148</v>
      </c>
      <c r="L704" s="776">
        <f t="shared" ca="1" si="178"/>
        <v>378.42836984701148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1.722048338333913E-4</v>
      </c>
      <c r="E705" s="834">
        <f t="shared" ca="1" si="175"/>
        <v>0.9108347218067514</v>
      </c>
      <c r="F705" s="540"/>
      <c r="G705" s="598">
        <f ca="1">Calcs!L375/(Calcs!L349+Calcs!L375)</f>
        <v>0.9998277951661666</v>
      </c>
      <c r="H705" s="834">
        <f t="shared" ca="1" si="176"/>
        <v>0</v>
      </c>
      <c r="I705" s="540"/>
      <c r="J705" s="835">
        <f ca="1">(Calcs!L349+Calcs!L375)/($L$357+Calcs!$L$383)</f>
        <v>8.3184519272675617E-2</v>
      </c>
      <c r="K705" s="834">
        <f t="shared" ca="1" si="177"/>
        <v>0.9108347218067514</v>
      </c>
      <c r="L705" s="776">
        <f t="shared" ca="1" si="178"/>
        <v>0.9108347218067514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1.3193840536630903E-13</v>
      </c>
      <c r="E706" s="834">
        <f t="shared" ca="1" si="175"/>
        <v>6.9785544384728058E-10</v>
      </c>
      <c r="F706" s="540"/>
      <c r="G706" s="598">
        <f ca="1">Calcs!L376/(Calcs!L350+Calcs!L376)</f>
        <v>0.99999999999986811</v>
      </c>
      <c r="H706" s="834">
        <f t="shared" ca="1" si="176"/>
        <v>0</v>
      </c>
      <c r="I706" s="540"/>
      <c r="J706" s="835">
        <f ca="1">(Calcs!L350+Calcs!L376)/($L$357+Calcs!$L$383)</f>
        <v>0.12476621454837385</v>
      </c>
      <c r="K706" s="834">
        <f t="shared" ca="1" si="177"/>
        <v>6.9785544384728058E-10</v>
      </c>
      <c r="L706" s="776">
        <f t="shared" ca="1" si="178"/>
        <v>6.9785544384728058E-10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0</v>
      </c>
      <c r="I707" s="540"/>
      <c r="J707" s="835">
        <f ca="1">(Calcs!L351+Calcs!L377)/($L$357+Calcs!$L$383)</f>
        <v>0.15532732017982323</v>
      </c>
      <c r="K707" s="834">
        <f t="shared" ca="1" si="177"/>
        <v>0</v>
      </c>
      <c r="L707" s="776">
        <f t="shared" ca="1" si="178"/>
        <v>0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0</v>
      </c>
      <c r="I708" s="540"/>
      <c r="J708" s="835">
        <f ca="1">(Calcs!L352+Calcs!L378)/($L$357+Calcs!$L$383)</f>
        <v>0.13115777562404488</v>
      </c>
      <c r="K708" s="834">
        <f t="shared" ca="1" si="177"/>
        <v>0</v>
      </c>
      <c r="L708" s="776">
        <f t="shared" ca="1" si="178"/>
        <v>0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1.7400076034881803E-6</v>
      </c>
      <c r="E709" s="834">
        <f t="shared" ca="1" si="175"/>
        <v>9.203338293036217E-3</v>
      </c>
      <c r="F709" s="540"/>
      <c r="G709" s="598">
        <f ca="1">Calcs!L379/(Calcs!L353+Calcs!L379)</f>
        <v>0.99999825999239655</v>
      </c>
      <c r="H709" s="834">
        <f t="shared" ca="1" si="176"/>
        <v>0</v>
      </c>
      <c r="I709" s="540"/>
      <c r="J709" s="835">
        <f ca="1">(Calcs!L353+Calcs!L379)/($L$357+Calcs!$L$383)</f>
        <v>9.6009259423479432E-2</v>
      </c>
      <c r="K709" s="834">
        <f t="shared" ca="1" si="177"/>
        <v>9.203338293036217E-3</v>
      </c>
      <c r="L709" s="776">
        <f t="shared" ca="1" si="178"/>
        <v>9.203338293036217E-3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4.4730607079079783E-2</v>
      </c>
      <c r="E710" s="834">
        <f t="shared" ca="1" si="175"/>
        <v>236.59144257552569</v>
      </c>
      <c r="F710" s="540"/>
      <c r="G710" s="598">
        <f ca="1">Calcs!L380/(Calcs!L354+Calcs!L380)</f>
        <v>0.95526939292092017</v>
      </c>
      <c r="H710" s="834">
        <f t="shared" ca="1" si="176"/>
        <v>0</v>
      </c>
      <c r="I710" s="540"/>
      <c r="J710" s="835">
        <f ca="1">(Calcs!L354+Calcs!L380)/($L$357+Calcs!$L$383)</f>
        <v>3.4610717392775193E-2</v>
      </c>
      <c r="K710" s="834">
        <f t="shared" ca="1" si="177"/>
        <v>236.59144257552569</v>
      </c>
      <c r="L710" s="776">
        <f t="shared" ca="1" si="178"/>
        <v>236.59144257552569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0.84871291527991721</v>
      </c>
      <c r="E711" s="834">
        <f t="shared" ca="1" si="175"/>
        <v>4489.0562876457716</v>
      </c>
      <c r="F711" s="540"/>
      <c r="G711" s="598">
        <f ca="1">Calcs!L381/(Calcs!L355+Calcs!L381)</f>
        <v>0.15128708472008279</v>
      </c>
      <c r="H711" s="834">
        <f t="shared" ca="1" si="176"/>
        <v>0</v>
      </c>
      <c r="I711" s="540"/>
      <c r="J711" s="835">
        <f ca="1">(Calcs!L355+Calcs!L381)/($L$357+Calcs!$L$383)</f>
        <v>3.2432371169065596E-2</v>
      </c>
      <c r="K711" s="834">
        <f t="shared" ca="1" si="177"/>
        <v>4489.0562876457716</v>
      </c>
      <c r="L711" s="776">
        <f t="shared" ca="1" si="178"/>
        <v>4489.0562876457716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0.99382021429557144</v>
      </c>
      <c r="E712" s="834">
        <f t="shared" ca="1" si="175"/>
        <v>5256.5653255100979</v>
      </c>
      <c r="F712" s="540"/>
      <c r="G712" s="598">
        <f ca="1">Calcs!L382/(Calcs!L356+Calcs!L382)</f>
        <v>6.1797857044285868E-3</v>
      </c>
      <c r="H712" s="834">
        <f t="shared" ca="1" si="176"/>
        <v>0</v>
      </c>
      <c r="I712" s="540"/>
      <c r="J712" s="835">
        <f ca="1">(Calcs!L356+Calcs!L382)/($L$357+Calcs!$L$383)</f>
        <v>9.8385210962252417E-2</v>
      </c>
      <c r="K712" s="834">
        <f t="shared" ca="1" si="177"/>
        <v>5256.5653255100979</v>
      </c>
      <c r="L712" s="776">
        <f t="shared" ca="1" si="178"/>
        <v>5256.5653255100979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4.740178970457408</v>
      </c>
      <c r="E713" s="774">
        <f>$D$675*(D693*C2)</f>
        <v>25072</v>
      </c>
      <c r="F713" s="595">
        <f ca="1">SUM(E701:E712)</f>
        <v>25072</v>
      </c>
      <c r="G713" s="836">
        <f ca="1">SUM(G701:G712)</f>
        <v>7.259821029542592</v>
      </c>
      <c r="H713" s="774">
        <f>$D$675*(G693*C2)</f>
        <v>0</v>
      </c>
      <c r="I713" s="595">
        <f ca="1">SUM(H701:H712)</f>
        <v>0</v>
      </c>
      <c r="J713" s="836">
        <f ca="1">SUM(J701:J712)</f>
        <v>1</v>
      </c>
      <c r="K713" s="774">
        <f>E713+H713</f>
        <v>25072</v>
      </c>
      <c r="L713" s="776">
        <f ca="1">SUM(K701:K712)</f>
        <v>25072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1874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313332.8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1</v>
      </c>
      <c r="E730" s="326">
        <f>IF(ISBLANK(Inputs!C65),"",Inputs!C65)</f>
        <v>1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7371.4760372602741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7371.4760372602741</v>
      </c>
      <c r="M731" s="506">
        <f ca="1">MAX((L731-K731)/$D$731,0)</f>
        <v>9214.3450465753413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6658.1073884931511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6658.1073884931511</v>
      </c>
      <c r="M732" s="50">
        <f t="shared" ref="M732:M742" ca="1" si="184">MAX((L732-K732)/$D$731,0)</f>
        <v>8322.6342356164387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7371.4760372602741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7371.4760372602741</v>
      </c>
      <c r="M733" s="50">
        <f t="shared" ca="1" si="184"/>
        <v>9214.3450465753413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7133.6864876712325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7133.6864876712325</v>
      </c>
      <c r="M734" s="50">
        <f t="shared" ca="1" si="184"/>
        <v>8917.1081095890404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7371.4760372602741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7371.4760372602741</v>
      </c>
      <c r="M735" s="50">
        <f t="shared" ca="1" si="184"/>
        <v>9214.3450465753413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7133.6864876712325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7133.6864876712325</v>
      </c>
      <c r="M736" s="50">
        <f t="shared" ca="1" si="184"/>
        <v>8917.1081095890404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7371.4760372602741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7371.4760372602741</v>
      </c>
      <c r="M737" s="50">
        <f t="shared" ca="1" si="184"/>
        <v>9214.3450465753413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7371.4760372602741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7371.4760372602741</v>
      </c>
      <c r="M738" s="50">
        <f t="shared" ca="1" si="184"/>
        <v>9214.3450465753413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7133.6864876712325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7133.6864876712325</v>
      </c>
      <c r="M739" s="50">
        <f t="shared" ca="1" si="184"/>
        <v>8917.1081095890404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7371.4760372602741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7371.4760372602741</v>
      </c>
      <c r="M740" s="50">
        <f t="shared" ca="1" si="184"/>
        <v>9214.3450465753413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7133.6864876712325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7133.6864876712325</v>
      </c>
      <c r="M741" s="50">
        <f t="shared" ca="1" si="184"/>
        <v>8917.1081095890404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7371.4760372602741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7371.4760372602741</v>
      </c>
      <c r="M742" s="183">
        <f t="shared" ca="1" si="184"/>
        <v>9214.3450465753413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86793.185600000012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86793.185600000012</v>
      </c>
      <c r="M743" s="50">
        <f t="shared" ca="1" si="185"/>
        <v>108491.48199999999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2.95926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3.61</v>
      </c>
      <c r="D748" s="286">
        <f>Inputs!C29</f>
        <v>0</v>
      </c>
      <c r="E748" s="287">
        <f>E18</f>
        <v>0.70833333333333337</v>
      </c>
      <c r="G748" s="82" t="s">
        <v>115</v>
      </c>
      <c r="H748" s="838">
        <f t="shared" si="186"/>
        <v>2.6728800000000001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4.87</v>
      </c>
      <c r="D749" s="286">
        <f>Inputs!C30</f>
        <v>0</v>
      </c>
      <c r="E749" s="287">
        <f>1-E748</f>
        <v>0.29166666666666663</v>
      </c>
      <c r="G749" s="82" t="s">
        <v>116</v>
      </c>
      <c r="H749" s="838">
        <f t="shared" si="186"/>
        <v>2.95926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3.9775</v>
      </c>
      <c r="D750" s="837">
        <f>SUMPRODUCT(D748:D749,$E$748:$E$749)</f>
        <v>0</v>
      </c>
      <c r="G750" s="82" t="s">
        <v>117</v>
      </c>
      <c r="H750" s="838">
        <f t="shared" si="186"/>
        <v>2.8638000000000003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2.95926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2.8638000000000003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2.95926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2.95926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2.8638000000000003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2.95926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2.8638000000000003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2.95926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34.842900000000007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1.5866666666666667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3.4611801242236027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33734.095246878001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119</v>
      </c>
      <c r="AA801" s="10"/>
      <c r="AB801" s="10"/>
    </row>
    <row r="802" spans="2:28" outlineLevel="1" x14ac:dyDescent="0.25">
      <c r="B802" s="10" t="s">
        <v>735</v>
      </c>
      <c r="C802" s="11">
        <f>PeoDOcc</f>
        <v>66.87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10.426264333282225</v>
      </c>
      <c r="E809" s="338">
        <v>9.5350000000000001</v>
      </c>
      <c r="F809" s="337">
        <f>D809-E809</f>
        <v>0.89126433328222454</v>
      </c>
      <c r="G809" s="338">
        <v>34.17</v>
      </c>
      <c r="H809" s="338">
        <f>F809*G809</f>
        <v>30.454502268253613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4.7791234931115296</v>
      </c>
      <c r="E811" s="338">
        <v>3.972</v>
      </c>
      <c r="F811" s="337">
        <f t="shared" si="196"/>
        <v>0.80712349311152964</v>
      </c>
      <c r="G811" s="338">
        <v>55.96</v>
      </c>
      <c r="H811" s="338">
        <f t="shared" si="197"/>
        <v>45.166630674521201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0.32880593254999052</v>
      </c>
      <c r="E812" s="338">
        <v>0.56159999999999999</v>
      </c>
      <c r="F812" s="337">
        <f t="shared" si="196"/>
        <v>-0.23279406745000947</v>
      </c>
      <c r="G812" s="338">
        <v>10.34</v>
      </c>
      <c r="H812" s="338">
        <f t="shared" si="197"/>
        <v>-2.4070906574330979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239.05090699583408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753.9249065656868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474.97269113638271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8.1004455342510493</v>
      </c>
      <c r="D830" s="206">
        <f ca="1">D846/Calcs!$C$2/3.6</f>
        <v>3.4560444757039441</v>
      </c>
      <c r="E830" s="206">
        <f ca="1">E846/Calcs!$C$2/3.6</f>
        <v>11.556490009954993</v>
      </c>
      <c r="F830" s="206">
        <f ca="1">F846/Calcs!$C$2/3.6</f>
        <v>1.1928565137580001</v>
      </c>
      <c r="G830" s="206">
        <f>G846/Calcs!$C$2/3.6</f>
        <v>4.1844887077810737</v>
      </c>
      <c r="H830" s="206">
        <f>H846/Calcs!$C$2/3.6</f>
        <v>1.0697972602739727</v>
      </c>
      <c r="I830" s="206">
        <f ca="1">I846/Calcs!$C$2/3.6</f>
        <v>6.4471424818130449</v>
      </c>
      <c r="J830" s="206">
        <f t="shared" ref="J830:J841" ca="1" si="198">J846</f>
        <v>0.99118327696483033</v>
      </c>
      <c r="K830" s="206">
        <f ca="1">K846/Calcs!$C$2/3.6</f>
        <v>5.1661901977723685</v>
      </c>
      <c r="L830" s="204"/>
      <c r="M830" s="9" t="s">
        <v>114</v>
      </c>
      <c r="N830" s="206">
        <f ca="1">N846/Calcs!$C$2/3.6</f>
        <v>9.0400151640608772</v>
      </c>
      <c r="O830" s="206">
        <f ca="1">O846/Calcs!$C$2/3.6</f>
        <v>4.1202487641368304</v>
      </c>
      <c r="P830" s="206">
        <f ca="1">P846/Calcs!$C$2/3.6</f>
        <v>13.160263928197709</v>
      </c>
      <c r="Q830" s="206">
        <f ca="1">Q846/Calcs!$C$2/3.6</f>
        <v>1.1928565137580001</v>
      </c>
      <c r="R830" s="206">
        <f>R846/Calcs!$C$2/3.6</f>
        <v>4.1844887077810737</v>
      </c>
      <c r="S830" s="206">
        <f>S846/Calcs!$C$2/3.6</f>
        <v>1.0697972602739727</v>
      </c>
      <c r="T830" s="206">
        <f ca="1">T846/Calcs!$C$2/3.6</f>
        <v>6.4471424818130449</v>
      </c>
      <c r="U830" s="206">
        <f t="shared" ref="U830:U841" ca="1" si="199">U846</f>
        <v>0.48783013247163687</v>
      </c>
      <c r="V830" s="206">
        <f ca="1">V846/Calcs!$C$2/3.6</f>
        <v>2.7169186358654316E-2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6.7237782267262274</v>
      </c>
      <c r="D831" s="206">
        <f ca="1">D847/Calcs!$C$2/3.6</f>
        <v>2.7349769333970766</v>
      </c>
      <c r="E831" s="206">
        <f ca="1">E847/Calcs!$C$2/3.6</f>
        <v>9.4587551601233049</v>
      </c>
      <c r="F831" s="206">
        <f ca="1">F847/Calcs!$C$2/3.6</f>
        <v>1.3836112621681329</v>
      </c>
      <c r="G831" s="206">
        <f>G847/Calcs!$C$2/3.6</f>
        <v>3.7795381876732277</v>
      </c>
      <c r="H831" s="206">
        <f>H847/Calcs!$C$2/3.6</f>
        <v>0.96626849315068508</v>
      </c>
      <c r="I831" s="206">
        <f ca="1">I847/Calcs!$C$2/3.6</f>
        <v>6.1294179429920455</v>
      </c>
      <c r="J831" s="206">
        <f t="shared" ca="1" si="198"/>
        <v>0.98029772474056254</v>
      </c>
      <c r="K831" s="206">
        <f ca="1">K847/Calcs!$C$2/3.6</f>
        <v>3.4501006966242227</v>
      </c>
      <c r="L831" s="204"/>
      <c r="M831" s="9" t="s">
        <v>115</v>
      </c>
      <c r="N831" s="206">
        <f ca="1">N847/Calcs!$C$2/3.6</f>
        <v>7.572421763328653</v>
      </c>
      <c r="O831" s="206">
        <f ca="1">O847/Calcs!$C$2/3.6</f>
        <v>3.3074050728109237</v>
      </c>
      <c r="P831" s="206">
        <f ca="1">P847/Calcs!$C$2/3.6</f>
        <v>10.879826836139577</v>
      </c>
      <c r="Q831" s="206">
        <f ca="1">Q847/Calcs!$C$2/3.6</f>
        <v>1.3836112621681329</v>
      </c>
      <c r="R831" s="206">
        <f>R847/Calcs!$C$2/3.6</f>
        <v>3.7795381876732277</v>
      </c>
      <c r="S831" s="206">
        <f>S847/Calcs!$C$2/3.6</f>
        <v>0.96626849315068508</v>
      </c>
      <c r="T831" s="206">
        <f ca="1">T847/Calcs!$C$2/3.6</f>
        <v>6.1294179429920455</v>
      </c>
      <c r="U831" s="206">
        <f t="shared" ca="1" si="199"/>
        <v>0.55813032641266114</v>
      </c>
      <c r="V831" s="206">
        <f ca="1">V847/Calcs!$C$2/3.6</f>
        <v>5.7056639624233026E-2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5.4732838820421188</v>
      </c>
      <c r="D832" s="206">
        <f ca="1">D848/Calcs!$C$2/3.6</f>
        <v>2.2938473927875886</v>
      </c>
      <c r="E832" s="206">
        <f ca="1">E848/Calcs!$C$2/3.6</f>
        <v>7.7671312748297074</v>
      </c>
      <c r="F832" s="206">
        <f ca="1">F848/Calcs!$C$2/3.6</f>
        <v>1.8100711467628041</v>
      </c>
      <c r="G832" s="206">
        <f>G848/Calcs!$C$2/3.6</f>
        <v>4.1844887077810737</v>
      </c>
      <c r="H832" s="206">
        <f>H848/Calcs!$C$2/3.6</f>
        <v>1.0697972602739727</v>
      </c>
      <c r="I832" s="206">
        <f ca="1">I848/Calcs!$C$2/3.6</f>
        <v>7.0643571148178497</v>
      </c>
      <c r="J832" s="206">
        <f t="shared" ca="1" si="198"/>
        <v>0.90796885012813722</v>
      </c>
      <c r="K832" s="206">
        <f ca="1">K848/Calcs!$C$2/3.6</f>
        <v>1.3529150683940201</v>
      </c>
      <c r="L832" s="204"/>
      <c r="M832" s="9" t="s">
        <v>116</v>
      </c>
      <c r="N832" s="206">
        <f ca="1">N848/Calcs!$C$2/3.6</f>
        <v>6.4128535118519467</v>
      </c>
      <c r="O832" s="206">
        <f ca="1">O848/Calcs!$C$2/3.6</f>
        <v>2.7023412459406715</v>
      </c>
      <c r="P832" s="206">
        <f ca="1">P848/Calcs!$C$2/3.6</f>
        <v>9.1151947577926187</v>
      </c>
      <c r="Q832" s="206">
        <f ca="1">Q848/Calcs!$C$2/3.6</f>
        <v>1.8100711467628041</v>
      </c>
      <c r="R832" s="206">
        <f>R848/Calcs!$C$2/3.6</f>
        <v>4.1844887077810737</v>
      </c>
      <c r="S832" s="206">
        <f>S848/Calcs!$C$2/3.6</f>
        <v>1.0697972602739727</v>
      </c>
      <c r="T832" s="206">
        <f ca="1">T848/Calcs!$C$2/3.6</f>
        <v>7.0643571148178497</v>
      </c>
      <c r="U832" s="206">
        <f t="shared" ca="1" si="199"/>
        <v>0.73852572031936237</v>
      </c>
      <c r="V832" s="206">
        <f ca="1">V848/Calcs!$C$2/3.6</f>
        <v>0.3325513404677809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3.4616118162297345</v>
      </c>
      <c r="D833" s="206">
        <f ca="1">D849/Calcs!$C$2/3.6</f>
        <v>1.2356653987765029</v>
      </c>
      <c r="E833" s="206">
        <f ca="1">E849/Calcs!$C$2/3.6</f>
        <v>4.6972772150062374</v>
      </c>
      <c r="F833" s="206">
        <f ca="1">F849/Calcs!$C$2/3.6</f>
        <v>1.8938399386417824</v>
      </c>
      <c r="G833" s="206">
        <f>G849/Calcs!$C$2/3.6</f>
        <v>4.0495052010784587</v>
      </c>
      <c r="H833" s="206">
        <f>H849/Calcs!$C$2/3.6</f>
        <v>1.0352876712328769</v>
      </c>
      <c r="I833" s="206">
        <f ca="1">I849/Calcs!$C$2/3.6</f>
        <v>6.9786328109531182</v>
      </c>
      <c r="J833" s="206">
        <f t="shared" ca="1" si="198"/>
        <v>0.65699405244204245</v>
      </c>
      <c r="K833" s="206">
        <f ca="1">K849/Calcs!$C$2/3.6</f>
        <v>0.11235696403314616</v>
      </c>
      <c r="L833" s="204"/>
      <c r="M833" s="9" t="s">
        <v>117</v>
      </c>
      <c r="N833" s="206">
        <f ca="1">N849/Calcs!$C$2/3.6</f>
        <v>4.3708727483037606</v>
      </c>
      <c r="O833" s="206">
        <f ca="1">O849/Calcs!$C$2/3.6</f>
        <v>1.5698923180346203</v>
      </c>
      <c r="P833" s="206">
        <f ca="1">P849/Calcs!$C$2/3.6</f>
        <v>5.9407650663383809</v>
      </c>
      <c r="Q833" s="206">
        <f ca="1">Q849/Calcs!$C$2/3.6</f>
        <v>1.8938399386417824</v>
      </c>
      <c r="R833" s="206">
        <f>R849/Calcs!$C$2/3.6</f>
        <v>4.0495052010784587</v>
      </c>
      <c r="S833" s="206">
        <f>S849/Calcs!$C$2/3.6</f>
        <v>1.0352876712328769</v>
      </c>
      <c r="T833" s="206">
        <f ca="1">T849/Calcs!$C$2/3.6</f>
        <v>6.9786328109531182</v>
      </c>
      <c r="U833" s="206">
        <f t="shared" ca="1" si="199"/>
        <v>0.92927236906491428</v>
      </c>
      <c r="V833" s="206">
        <f ca="1">V849/Calcs!$C$2/3.6</f>
        <v>1.4580439836987691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1.9149093595609437</v>
      </c>
      <c r="D834" s="206">
        <f ca="1">D850/Calcs!$C$2/3.6</f>
        <v>0.50304554682862068</v>
      </c>
      <c r="E834" s="206">
        <f ca="1">E850/Calcs!$C$2/3.6</f>
        <v>2.4179549063895642</v>
      </c>
      <c r="F834" s="206">
        <f ca="1">F850/Calcs!$C$2/3.6</f>
        <v>2.4167380866087624</v>
      </c>
      <c r="G834" s="206">
        <f>G850/Calcs!$C$2/3.6</f>
        <v>4.1844887077810737</v>
      </c>
      <c r="H834" s="206">
        <f>H850/Calcs!$C$2/3.6</f>
        <v>1.0697972602739727</v>
      </c>
      <c r="I834" s="206">
        <f ca="1">I850/Calcs!$C$2/3.6</f>
        <v>7.6710240546638087</v>
      </c>
      <c r="J834" s="206">
        <f t="shared" ca="1" si="198"/>
        <v>0.31511481604302521</v>
      </c>
      <c r="K834" s="206">
        <f ca="1">K850/Calcs!$C$2/3.6</f>
        <v>7.0157254255707048E-4</v>
      </c>
      <c r="L834" s="204"/>
      <c r="M834" s="9" t="s">
        <v>118</v>
      </c>
      <c r="N834" s="206">
        <f ca="1">N850/Calcs!$C$2/3.6</f>
        <v>2.8544789893707718</v>
      </c>
      <c r="O834" s="206">
        <f ca="1">O850/Calcs!$C$2/3.6</f>
        <v>0.75521756943743212</v>
      </c>
      <c r="P834" s="206">
        <f ca="1">P850/Calcs!$C$2/3.6</f>
        <v>3.6096965588082037</v>
      </c>
      <c r="Q834" s="206">
        <f ca="1">Q850/Calcs!$C$2/3.6</f>
        <v>2.4167380866087624</v>
      </c>
      <c r="R834" s="206">
        <f>R850/Calcs!$C$2/3.6</f>
        <v>4.1844887077810737</v>
      </c>
      <c r="S834" s="206">
        <f>S850/Calcs!$C$2/3.6</f>
        <v>1.0697972602739727</v>
      </c>
      <c r="T834" s="206">
        <f ca="1">T850/Calcs!$C$2/3.6</f>
        <v>7.6710240546638087</v>
      </c>
      <c r="U834" s="206">
        <f t="shared" ca="1" si="199"/>
        <v>0.99666750671459148</v>
      </c>
      <c r="V834" s="206">
        <f ca="1">V850/Calcs!$C$2/3.6</f>
        <v>4.0733567854001942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0.11675317065846309</v>
      </c>
      <c r="D835" s="206">
        <f ca="1">D851/Calcs!$C$2/3.6</f>
        <v>4.0754398278112003E-2</v>
      </c>
      <c r="E835" s="206">
        <f ca="1">E851/Calcs!$C$2/3.6</f>
        <v>0.15750756893657511</v>
      </c>
      <c r="F835" s="206">
        <f ca="1">F851/Calcs!$C$2/3.6</f>
        <v>2.4031012860528929</v>
      </c>
      <c r="G835" s="206">
        <f>G851/Calcs!$C$2/3.6</f>
        <v>4.0495052010784587</v>
      </c>
      <c r="H835" s="206">
        <f>H851/Calcs!$C$2/3.6</f>
        <v>1.0352876712328769</v>
      </c>
      <c r="I835" s="206">
        <f ca="1">I851/Calcs!$C$2/3.6</f>
        <v>7.4878941583642282</v>
      </c>
      <c r="J835" s="206">
        <f t="shared" ca="1" si="198"/>
        <v>2.1034961980576028E-2</v>
      </c>
      <c r="K835" s="206">
        <f ca="1">K851/Calcs!$C$2/3.6</f>
        <v>8.0621887950316411E-13</v>
      </c>
      <c r="L835" s="204"/>
      <c r="M835" s="9" t="s">
        <v>119</v>
      </c>
      <c r="N835" s="206">
        <f ca="1">N851/Calcs!$C$2/3.6</f>
        <v>1.017571794134013</v>
      </c>
      <c r="O835" s="206">
        <f ca="1">O851/Calcs!$C$2/3.6</f>
        <v>0.35976494094757899</v>
      </c>
      <c r="P835" s="206">
        <f ca="1">P851/Calcs!$C$2/3.6</f>
        <v>1.3773367350815919</v>
      </c>
      <c r="Q835" s="206">
        <f ca="1">Q851/Calcs!$C$2/3.6</f>
        <v>2.4031012860528929</v>
      </c>
      <c r="R835" s="206">
        <f>R851/Calcs!$C$2/3.6</f>
        <v>4.0495052010784587</v>
      </c>
      <c r="S835" s="206">
        <f>S851/Calcs!$C$2/3.6</f>
        <v>1.0352876712328769</v>
      </c>
      <c r="T835" s="206">
        <f ca="1">T851/Calcs!$C$2/3.6</f>
        <v>7.4878941583642282</v>
      </c>
      <c r="U835" s="206">
        <f t="shared" ca="1" si="199"/>
        <v>0.99999077073220366</v>
      </c>
      <c r="V835" s="206">
        <f ca="1">V851/Calcs!$C$2/3.6</f>
        <v>6.1105701350922104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-0.81562498281046214</v>
      </c>
      <c r="D836" s="206">
        <f ca="1">D852/Calcs!$C$2/3.6</f>
        <v>-0.24397673531847999</v>
      </c>
      <c r="E836" s="206">
        <f ca="1">E852/Calcs!$C$2/3.6</f>
        <v>-1.0596017181289421</v>
      </c>
      <c r="F836" s="206">
        <f ca="1">F852/Calcs!$C$2/3.6</f>
        <v>2.5019731879146447</v>
      </c>
      <c r="G836" s="206">
        <f>G852/Calcs!$C$2/3.6</f>
        <v>4.1844887077810737</v>
      </c>
      <c r="H836" s="206">
        <f>H852/Calcs!$C$2/3.6</f>
        <v>1.0697972602739727</v>
      </c>
      <c r="I836" s="206">
        <f ca="1">I852/Calcs!$C$2/3.6</f>
        <v>7.7562591559696905</v>
      </c>
      <c r="J836" s="206">
        <f t="shared" ca="1" si="198"/>
        <v>-0.13661246959668796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0.11489789678111388</v>
      </c>
      <c r="O836" s="206">
        <f ca="1">O852/Calcs!$C$2/3.6</f>
        <v>3.4025512965301083E-2</v>
      </c>
      <c r="P836" s="206">
        <f ca="1">P852/Calcs!$C$2/3.6</f>
        <v>0.14892340974641496</v>
      </c>
      <c r="Q836" s="206">
        <f ca="1">Q852/Calcs!$C$2/3.6</f>
        <v>2.5019731879146447</v>
      </c>
      <c r="R836" s="206">
        <f>R852/Calcs!$C$2/3.6</f>
        <v>4.1844887077810737</v>
      </c>
      <c r="S836" s="206">
        <f>S852/Calcs!$C$2/3.6</f>
        <v>1.0697972602739727</v>
      </c>
      <c r="T836" s="206">
        <f ca="1">T852/Calcs!$C$2/3.6</f>
        <v>7.7562591559696905</v>
      </c>
      <c r="U836" s="206">
        <f t="shared" ca="1" si="199"/>
        <v>0.99999999999722489</v>
      </c>
      <c r="V836" s="206">
        <f ca="1">V852/Calcs!$C$2/3.6</f>
        <v>7.6073357462236899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-8.6965534356097982E-2</v>
      </c>
      <c r="D837" s="206">
        <f ca="1">D853/Calcs!$C$2/3.6</f>
        <v>-2.3043962021686605E-2</v>
      </c>
      <c r="E837" s="206">
        <f ca="1">E853/Calcs!$C$2/3.6</f>
        <v>-0.11000949637778458</v>
      </c>
      <c r="F837" s="206">
        <f ca="1">F853/Calcs!$C$2/3.6</f>
        <v>2.2388207259403687</v>
      </c>
      <c r="G837" s="206">
        <f>G853/Calcs!$C$2/3.6</f>
        <v>4.1844887077810737</v>
      </c>
      <c r="H837" s="206">
        <f>H853/Calcs!$C$2/3.6</f>
        <v>1.0697972602739727</v>
      </c>
      <c r="I837" s="206">
        <f ca="1">I853/Calcs!$C$2/3.6</f>
        <v>7.4931066939954158</v>
      </c>
      <c r="J837" s="206">
        <f t="shared" ca="1" si="198"/>
        <v>-1.4681426659244084E-2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0.8435573452354781</v>
      </c>
      <c r="O837" s="206">
        <f ca="1">O853/Calcs!$C$2/3.6</f>
        <v>0.2259469755838987</v>
      </c>
      <c r="P837" s="206">
        <f ca="1">P853/Calcs!$C$2/3.6</f>
        <v>1.0695043208193769</v>
      </c>
      <c r="Q837" s="206">
        <f ca="1">Q853/Calcs!$C$2/3.6</f>
        <v>2.2388207259403687</v>
      </c>
      <c r="R837" s="206">
        <f>R853/Calcs!$C$2/3.6</f>
        <v>4.1844887077810737</v>
      </c>
      <c r="S837" s="206">
        <f>S853/Calcs!$C$2/3.6</f>
        <v>1.0697972602739727</v>
      </c>
      <c r="T837" s="206">
        <f ca="1">T853/Calcs!$C$2/3.6</f>
        <v>7.4931066939954158</v>
      </c>
      <c r="U837" s="206">
        <f t="shared" ca="1" si="199"/>
        <v>0.99999824001870175</v>
      </c>
      <c r="V837" s="206">
        <f ca="1">V853/Calcs!$C$2/3.6</f>
        <v>6.4236042554836423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0.99918646304530079</v>
      </c>
      <c r="D838" s="206">
        <f ca="1">D854/Calcs!$C$2/3.6</f>
        <v>0.23555302497648001</v>
      </c>
      <c r="E838" s="206">
        <f ca="1">E854/Calcs!$C$2/3.6</f>
        <v>1.2347394880217808</v>
      </c>
      <c r="F838" s="206">
        <f ca="1">F854/Calcs!$C$2/3.6</f>
        <v>1.9784361051094415</v>
      </c>
      <c r="G838" s="206">
        <f>G854/Calcs!$C$2/3.6</f>
        <v>4.0495052010784587</v>
      </c>
      <c r="H838" s="206">
        <f>H854/Calcs!$C$2/3.6</f>
        <v>1.0352876712328769</v>
      </c>
      <c r="I838" s="206">
        <f ca="1">I854/Calcs!$C$2/3.6</f>
        <v>7.0632289774207768</v>
      </c>
      <c r="J838" s="206">
        <f t="shared" ca="1" si="198"/>
        <v>0.17481116783361011</v>
      </c>
      <c r="K838" s="206">
        <f ca="1">K854/Calcs!$C$2/3.6</f>
        <v>8.1818026589161342E-6</v>
      </c>
      <c r="L838" s="204"/>
      <c r="M838" s="9" t="s">
        <v>122</v>
      </c>
      <c r="N838" s="206">
        <f ca="1">N854/Calcs!$C$2/3.6</f>
        <v>1.9084473951193279</v>
      </c>
      <c r="O838" s="206">
        <f ca="1">O854/Calcs!$C$2/3.6</f>
        <v>0.45361669964276896</v>
      </c>
      <c r="P838" s="206">
        <f ca="1">P854/Calcs!$C$2/3.6</f>
        <v>2.3620640947620966</v>
      </c>
      <c r="Q838" s="206">
        <f ca="1">Q854/Calcs!$C$2/3.6</f>
        <v>1.9784361051094415</v>
      </c>
      <c r="R838" s="206">
        <f>R854/Calcs!$C$2/3.6</f>
        <v>4.0495052010784587</v>
      </c>
      <c r="S838" s="206">
        <f>S854/Calcs!$C$2/3.6</f>
        <v>1.0352876712328769</v>
      </c>
      <c r="T838" s="206">
        <f ca="1">T854/Calcs!$C$2/3.6</f>
        <v>7.0632289774207768</v>
      </c>
      <c r="U838" s="206">
        <f t="shared" ca="1" si="199"/>
        <v>0.99958010280853304</v>
      </c>
      <c r="V838" s="206">
        <f ca="1">V854/Calcs!$C$2/3.6</f>
        <v>4.702156706738136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3.2529945899987229</v>
      </c>
      <c r="D839" s="206">
        <f ca="1">D855/Calcs!$C$2/3.6</f>
        <v>1.1434137621571736</v>
      </c>
      <c r="E839" s="206">
        <f ca="1">E855/Calcs!$C$2/3.6</f>
        <v>4.3964083521558965</v>
      </c>
      <c r="F839" s="206">
        <f ca="1">F855/Calcs!$C$2/3.6</f>
        <v>1.7059281637385082</v>
      </c>
      <c r="G839" s="206">
        <f>G855/Calcs!$C$2/3.6</f>
        <v>4.1844887077810737</v>
      </c>
      <c r="H839" s="206">
        <f>H855/Calcs!$C$2/3.6</f>
        <v>1.0697972602739727</v>
      </c>
      <c r="I839" s="206">
        <f ca="1">I855/Calcs!$C$2/3.6</f>
        <v>6.9602141317935553</v>
      </c>
      <c r="J839" s="206">
        <f t="shared" ca="1" si="198"/>
        <v>0.62075468027488789</v>
      </c>
      <c r="K839" s="206">
        <f ca="1">K855/Calcs!$C$2/3.6</f>
        <v>7.5822854129632397E-2</v>
      </c>
      <c r="L839" s="204"/>
      <c r="M839" s="9" t="s">
        <v>123</v>
      </c>
      <c r="N839" s="206">
        <f ca="1">N855/Calcs!$C$2/3.6</f>
        <v>4.1925642198085509</v>
      </c>
      <c r="O839" s="206">
        <f ca="1">O855/Calcs!$C$2/3.6</f>
        <v>1.4830504589130862</v>
      </c>
      <c r="P839" s="206">
        <f ca="1">P855/Calcs!$C$2/3.6</f>
        <v>5.6756146787216366</v>
      </c>
      <c r="Q839" s="206">
        <f ca="1">Q855/Calcs!$C$2/3.6</f>
        <v>1.7059281637385082</v>
      </c>
      <c r="R839" s="206">
        <f>R855/Calcs!$C$2/3.6</f>
        <v>4.1844887077810737</v>
      </c>
      <c r="S839" s="206">
        <f>S855/Calcs!$C$2/3.6</f>
        <v>1.0697972602739727</v>
      </c>
      <c r="T839" s="206">
        <f ca="1">T855/Calcs!$C$2/3.6</f>
        <v>6.9602141317935553</v>
      </c>
      <c r="U839" s="206">
        <f t="shared" ca="1" si="199"/>
        <v>0.94103233605205172</v>
      </c>
      <c r="V839" s="206">
        <f ca="1">V855/Calcs!$C$2/3.6</f>
        <v>1.6192771921448179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5.0222804541110433</v>
      </c>
      <c r="D840" s="206">
        <f ca="1">D856/Calcs!$C$2/3.6</f>
        <v>2.0143659171420314</v>
      </c>
      <c r="E840" s="206">
        <f ca="1">E856/Calcs!$C$2/3.6</f>
        <v>7.0366463712530738</v>
      </c>
      <c r="F840" s="206">
        <f ca="1">F856/Calcs!$C$2/3.6</f>
        <v>1.1030024298777859</v>
      </c>
      <c r="G840" s="206">
        <f>G856/Calcs!$C$2/3.6</f>
        <v>4.0495052010784587</v>
      </c>
      <c r="H840" s="206">
        <f>H856/Calcs!$C$2/3.6</f>
        <v>1.0352876712328769</v>
      </c>
      <c r="I840" s="206">
        <f ca="1">I856/Calcs!$C$2/3.6</f>
        <v>6.1877953021891212</v>
      </c>
      <c r="J840" s="206">
        <f t="shared" ca="1" si="198"/>
        <v>0.91931608192631009</v>
      </c>
      <c r="K840" s="206">
        <f ca="1">K856/Calcs!$C$2/3.6</f>
        <v>1.3481066382825435</v>
      </c>
      <c r="L840" s="204"/>
      <c r="M840" s="9" t="s">
        <v>124</v>
      </c>
      <c r="N840" s="206">
        <f ca="1">N856/Calcs!$C$2/3.6</f>
        <v>5.9315413861850699</v>
      </c>
      <c r="O840" s="206">
        <f ca="1">O856/Calcs!$C$2/3.6</f>
        <v>2.3922603864341858</v>
      </c>
      <c r="P840" s="206">
        <f ca="1">P856/Calcs!$C$2/3.6</f>
        <v>8.3238017726192552</v>
      </c>
      <c r="Q840" s="206">
        <f ca="1">Q856/Calcs!$C$2/3.6</f>
        <v>1.1030024298777859</v>
      </c>
      <c r="R840" s="206">
        <f>R856/Calcs!$C$2/3.6</f>
        <v>4.0495052010784587</v>
      </c>
      <c r="S840" s="206">
        <f>S856/Calcs!$C$2/3.6</f>
        <v>1.0352876712328769</v>
      </c>
      <c r="T840" s="206">
        <f ca="1">T856/Calcs!$C$2/3.6</f>
        <v>6.1877953021891212</v>
      </c>
      <c r="U840" s="206">
        <f t="shared" ca="1" si="199"/>
        <v>0.71451592561954291</v>
      </c>
      <c r="V840" s="206">
        <f ca="1">V856/Calcs!$C$2/3.6</f>
        <v>0.24030637395248228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7.8002260015541145</v>
      </c>
      <c r="D841" s="206">
        <f ca="1">D857/Calcs!$C$2/3.6</f>
        <v>3.2262244467614236</v>
      </c>
      <c r="E841" s="206">
        <f ca="1">E857/Calcs!$C$2/3.6</f>
        <v>11.02645044831554</v>
      </c>
      <c r="F841" s="206">
        <f ca="1">F857/Calcs!$C$2/3.6</f>
        <v>1.0468598592260712</v>
      </c>
      <c r="G841" s="206">
        <f>G857/Calcs!$C$2/3.6</f>
        <v>4.1844887077810737</v>
      </c>
      <c r="H841" s="206">
        <f>H857/Calcs!$C$2/3.6</f>
        <v>1.0697972602739727</v>
      </c>
      <c r="I841" s="206">
        <f ca="1">I857/Calcs!$C$2/3.6</f>
        <v>6.3011458272811174</v>
      </c>
      <c r="J841" s="206">
        <f t="shared" ca="1" si="198"/>
        <v>0.98993075690214061</v>
      </c>
      <c r="K841" s="206">
        <f ca="1">K857/Calcs!$C$2/3.6</f>
        <v>4.7887523901643769</v>
      </c>
      <c r="L841" s="204"/>
      <c r="M841" s="9" t="s">
        <v>125</v>
      </c>
      <c r="N841" s="206">
        <f ca="1">N857/Calcs!$C$2/3.6</f>
        <v>8.7397956313639416</v>
      </c>
      <c r="O841" s="206">
        <f ca="1">O857/Calcs!$C$2/3.6</f>
        <v>3.8700635405963659</v>
      </c>
      <c r="P841" s="206">
        <f ca="1">P857/Calcs!$C$2/3.6</f>
        <v>12.609859171960307</v>
      </c>
      <c r="Q841" s="206">
        <f ca="1">Q857/Calcs!$C$2/3.6</f>
        <v>1.0468598592260712</v>
      </c>
      <c r="R841" s="206">
        <f>R857/Calcs!$C$2/3.6</f>
        <v>4.1844887077810737</v>
      </c>
      <c r="S841" s="206">
        <f>S857/Calcs!$C$2/3.6</f>
        <v>1.0697972602739727</v>
      </c>
      <c r="T841" s="206">
        <f ca="1">T857/Calcs!$C$2/3.6</f>
        <v>6.3011458272811174</v>
      </c>
      <c r="U841" s="206">
        <f t="shared" ca="1" si="199"/>
        <v>0.49733849202740066</v>
      </c>
      <c r="V841" s="206">
        <f ca="1">V857/Calcs!$C$2/3.6</f>
        <v>2.9777482020490149E-2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41.962878981011158</v>
      </c>
      <c r="D842" s="208">
        <f t="shared" ca="1" si="200"/>
        <v>16.616870599468786</v>
      </c>
      <c r="E842" s="208">
        <f t="shared" ca="1" si="200"/>
        <v>58.579749580479941</v>
      </c>
      <c r="F842" s="208">
        <f t="shared" ca="1" si="200"/>
        <v>21.675238705799195</v>
      </c>
      <c r="G842" s="208">
        <f t="shared" si="200"/>
        <v>49.268979946454579</v>
      </c>
      <c r="H842" s="208">
        <f t="shared" si="200"/>
        <v>12.596000000000002</v>
      </c>
      <c r="I842" s="208">
        <f t="shared" ca="1" si="200"/>
        <v>83.540218652253756</v>
      </c>
      <c r="J842" s="208" t="s">
        <v>479</v>
      </c>
      <c r="K842" s="208">
        <f ca="1">SUM(K830:K841)</f>
        <v>16.294954563746334</v>
      </c>
      <c r="L842" s="204"/>
      <c r="M842" s="207" t="s">
        <v>178</v>
      </c>
      <c r="N842" s="208">
        <f t="shared" ref="N842:T842" ca="1" si="201">SUM(N830:N841)</f>
        <v>52.999017845543499</v>
      </c>
      <c r="O842" s="208">
        <f t="shared" ca="1" si="201"/>
        <v>21.273833485443664</v>
      </c>
      <c r="P842" s="208">
        <f t="shared" ca="1" si="201"/>
        <v>74.272851330987166</v>
      </c>
      <c r="Q842" s="208">
        <f t="shared" ca="1" si="201"/>
        <v>21.675238705799195</v>
      </c>
      <c r="R842" s="208">
        <f>SUM(R830:R841)</f>
        <v>49.268979946454579</v>
      </c>
      <c r="S842" s="208">
        <f t="shared" si="201"/>
        <v>12.596000000000002</v>
      </c>
      <c r="T842" s="208">
        <f t="shared" ca="1" si="201"/>
        <v>83.540218652253756</v>
      </c>
      <c r="U842" s="208" t="s">
        <v>479</v>
      </c>
      <c r="V842" s="208">
        <f ca="1">SUM(V830:V841)</f>
        <v>32.681205827205105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91392.466695634037</v>
      </c>
      <c r="D846" s="208">
        <f t="shared" ref="D846:D857" ca="1" si="203">E345</f>
        <v>38992.476192682181</v>
      </c>
      <c r="E846" s="208">
        <f t="shared" ref="E846:E857" ca="1" si="204">C846+D846</f>
        <v>130384.94288831622</v>
      </c>
      <c r="F846" s="208">
        <f t="shared" ref="F846:F857" ca="1" si="205">AM144</f>
        <v>13458.284330823259</v>
      </c>
      <c r="G846" s="208">
        <f t="shared" ref="G846:G857" si="206">C313+D313</f>
        <v>47211.075396669185</v>
      </c>
      <c r="H846" s="208">
        <f t="shared" ref="H846:H857" si="207">E313</f>
        <v>12069.880609315071</v>
      </c>
      <c r="I846" s="208">
        <f t="shared" ref="I846:I857" ca="1" si="208">F846+G846+H846</f>
        <v>72739.240336807503</v>
      </c>
      <c r="J846" s="209">
        <f t="shared" ref="J846:J857" ca="1" si="209">J345</f>
        <v>0.99118327696483033</v>
      </c>
      <c r="K846" s="208">
        <f t="shared" ref="K846:K857" ca="1" si="210">L345</f>
        <v>58287.024287346969</v>
      </c>
      <c r="L846" s="204"/>
      <c r="M846" s="9" t="s">
        <v>114</v>
      </c>
      <c r="N846" s="208">
        <f t="shared" ref="N846:N857" ca="1" si="211">C371</f>
        <v>101993.06708700045</v>
      </c>
      <c r="O846" s="208">
        <f t="shared" ref="O846:O857" ca="1" si="212">E371</f>
        <v>46486.294656497375</v>
      </c>
      <c r="P846" s="208">
        <f t="shared" ref="P846:P857" ca="1" si="213">N846+O846</f>
        <v>148479.36174349784</v>
      </c>
      <c r="Q846" s="208">
        <f ca="1">AM144</f>
        <v>13458.284330823259</v>
      </c>
      <c r="R846" s="208">
        <f t="shared" ref="R846:R857" si="214">C313+D313</f>
        <v>47211.075396669185</v>
      </c>
      <c r="S846" s="208">
        <f t="shared" ref="S846:S857" si="215">E313</f>
        <v>12069.880609315071</v>
      </c>
      <c r="T846" s="208">
        <f t="shared" ref="T846:T857" ca="1" si="216">Q846+R846+S846</f>
        <v>72739.240336807503</v>
      </c>
      <c r="U846" s="209">
        <f t="shared" ref="U846:U857" ca="1" si="217">J371</f>
        <v>0.48783013247163687</v>
      </c>
      <c r="V846" s="208">
        <f t="shared" ref="V846:V857" ca="1" si="218">L371</f>
        <v>306.53362817288144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75860.355465215995</v>
      </c>
      <c r="D847" s="208">
        <f t="shared" ca="1" si="203"/>
        <v>30857.103753359177</v>
      </c>
      <c r="E847" s="208">
        <f t="shared" ca="1" si="204"/>
        <v>106717.45921857517</v>
      </c>
      <c r="F847" s="208">
        <f t="shared" ca="1" si="205"/>
        <v>15610.455704285743</v>
      </c>
      <c r="G847" s="208">
        <f t="shared" si="206"/>
        <v>42642.261648604428</v>
      </c>
      <c r="H847" s="208">
        <f t="shared" si="207"/>
        <v>10901.827647123289</v>
      </c>
      <c r="I847" s="208">
        <f t="shared" ca="1" si="208"/>
        <v>69154.545000013459</v>
      </c>
      <c r="J847" s="209">
        <f t="shared" ca="1" si="209"/>
        <v>0.98029772474056254</v>
      </c>
      <c r="K847" s="208">
        <f t="shared" ca="1" si="210"/>
        <v>38925.416099593131</v>
      </c>
      <c r="L847" s="204"/>
      <c r="M847" s="9" t="s">
        <v>115</v>
      </c>
      <c r="N847" s="208">
        <f t="shared" ca="1" si="211"/>
        <v>85435.091302579196</v>
      </c>
      <c r="O847" s="208">
        <f t="shared" ca="1" si="212"/>
        <v>37315.466993481969</v>
      </c>
      <c r="P847" s="208">
        <f t="shared" ca="1" si="213"/>
        <v>122750.55829606116</v>
      </c>
      <c r="Q847" s="208">
        <f t="shared" ref="Q847:Q858" ca="1" si="219">AM145</f>
        <v>15610.455704285743</v>
      </c>
      <c r="R847" s="208">
        <f t="shared" si="214"/>
        <v>42642.261648604428</v>
      </c>
      <c r="S847" s="208">
        <f t="shared" si="215"/>
        <v>10901.827647123289</v>
      </c>
      <c r="T847" s="208">
        <f t="shared" ca="1" si="216"/>
        <v>69154.545000013459</v>
      </c>
      <c r="U847" s="209">
        <f t="shared" ca="1" si="217"/>
        <v>0.55813032641266114</v>
      </c>
      <c r="V847" s="208">
        <f t="shared" ca="1" si="218"/>
        <v>643.73583089644671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61751.778070752</v>
      </c>
      <c r="D848" s="208">
        <f t="shared" ca="1" si="203"/>
        <v>25880.103824386693</v>
      </c>
      <c r="E848" s="208">
        <f t="shared" ca="1" si="204"/>
        <v>87631.881895138693</v>
      </c>
      <c r="F848" s="208">
        <f t="shared" ca="1" si="205"/>
        <v>20421.94670623666</v>
      </c>
      <c r="G848" s="208">
        <f t="shared" si="206"/>
        <v>47211.075396669185</v>
      </c>
      <c r="H848" s="208">
        <f t="shared" si="207"/>
        <v>12069.880609315071</v>
      </c>
      <c r="I848" s="208">
        <f t="shared" ca="1" si="208"/>
        <v>79702.902712220908</v>
      </c>
      <c r="J848" s="209">
        <f t="shared" ca="1" si="209"/>
        <v>0.90796885012813722</v>
      </c>
      <c r="K848" s="208">
        <f t="shared" ca="1" si="210"/>
        <v>15264.128967648692</v>
      </c>
      <c r="L848" s="204"/>
      <c r="M848" s="9" t="s">
        <v>116</v>
      </c>
      <c r="N848" s="208">
        <f t="shared" ca="1" si="211"/>
        <v>72352.378462118402</v>
      </c>
      <c r="O848" s="208">
        <f t="shared" ca="1" si="212"/>
        <v>30488.894873201032</v>
      </c>
      <c r="P848" s="208">
        <f t="shared" ca="1" si="213"/>
        <v>102841.27333531943</v>
      </c>
      <c r="Q848" s="208">
        <f t="shared" ca="1" si="219"/>
        <v>20421.94670623666</v>
      </c>
      <c r="R848" s="208">
        <f t="shared" si="214"/>
        <v>47211.075396669185</v>
      </c>
      <c r="S848" s="208">
        <f t="shared" si="215"/>
        <v>12069.880609315071</v>
      </c>
      <c r="T848" s="208">
        <f t="shared" ca="1" si="216"/>
        <v>79702.902712220908</v>
      </c>
      <c r="U848" s="209">
        <f t="shared" ca="1" si="217"/>
        <v>0.73852572031936237</v>
      </c>
      <c r="V848" s="208">
        <f t="shared" ca="1" si="218"/>
        <v>3751.977243693691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39055.289155430357</v>
      </c>
      <c r="D849" s="208">
        <f t="shared" ca="1" si="203"/>
        <v>13941.271295156019</v>
      </c>
      <c r="E849" s="208">
        <f t="shared" ca="1" si="204"/>
        <v>52996.560450586374</v>
      </c>
      <c r="F849" s="208">
        <f t="shared" ca="1" si="205"/>
        <v>21367.059723732047</v>
      </c>
      <c r="G849" s="208">
        <f t="shared" si="206"/>
        <v>45688.137480647601</v>
      </c>
      <c r="H849" s="208">
        <f t="shared" si="207"/>
        <v>11680.529621917811</v>
      </c>
      <c r="I849" s="208">
        <f t="shared" ca="1" si="208"/>
        <v>78735.726826297469</v>
      </c>
      <c r="J849" s="209">
        <f t="shared" ca="1" si="209"/>
        <v>0.65699405244204245</v>
      </c>
      <c r="K849" s="208">
        <f t="shared" ca="1" si="210"/>
        <v>1267.6562110075683</v>
      </c>
      <c r="L849" s="204"/>
      <c r="M849" s="9" t="s">
        <v>117</v>
      </c>
      <c r="N849" s="208">
        <f t="shared" ca="1" si="211"/>
        <v>49313.934695462354</v>
      </c>
      <c r="O849" s="208">
        <f t="shared" ca="1" si="212"/>
        <v>17712.1530889938</v>
      </c>
      <c r="P849" s="208">
        <f t="shared" ca="1" si="213"/>
        <v>67026.087784456147</v>
      </c>
      <c r="Q849" s="208">
        <f t="shared" ca="1" si="219"/>
        <v>21367.059723732047</v>
      </c>
      <c r="R849" s="208">
        <f t="shared" si="214"/>
        <v>45688.137480647601</v>
      </c>
      <c r="S849" s="208">
        <f t="shared" si="215"/>
        <v>11680.529621917811</v>
      </c>
      <c r="T849" s="208">
        <f t="shared" ca="1" si="216"/>
        <v>78735.726826297469</v>
      </c>
      <c r="U849" s="209">
        <f t="shared" ca="1" si="217"/>
        <v>0.92927236906491428</v>
      </c>
      <c r="V849" s="208">
        <f t="shared" ca="1" si="218"/>
        <v>16450.235441682991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21604.773358310391</v>
      </c>
      <c r="D850" s="208">
        <f t="shared" ca="1" si="203"/>
        <v>5675.5610775392297</v>
      </c>
      <c r="E850" s="208">
        <f t="shared" ca="1" si="204"/>
        <v>27280.334435849622</v>
      </c>
      <c r="F850" s="208">
        <f t="shared" ca="1" si="205"/>
        <v>27266.605788354704</v>
      </c>
      <c r="G850" s="208">
        <f t="shared" si="206"/>
        <v>47211.075396669185</v>
      </c>
      <c r="H850" s="208">
        <f t="shared" si="207"/>
        <v>12069.880609315071</v>
      </c>
      <c r="I850" s="208">
        <f t="shared" ca="1" si="208"/>
        <v>86547.561794338952</v>
      </c>
      <c r="J850" s="209">
        <f t="shared" ca="1" si="209"/>
        <v>0.31511481604302521</v>
      </c>
      <c r="K850" s="208">
        <f t="shared" ca="1" si="210"/>
        <v>7.9154220541458926</v>
      </c>
      <c r="L850" s="204"/>
      <c r="M850" s="9" t="s">
        <v>118</v>
      </c>
      <c r="N850" s="208">
        <f t="shared" ca="1" si="211"/>
        <v>32205.373749676794</v>
      </c>
      <c r="O850" s="208">
        <f t="shared" ca="1" si="212"/>
        <v>8520.6667054208847</v>
      </c>
      <c r="P850" s="208">
        <f t="shared" ca="1" si="213"/>
        <v>40726.040455097682</v>
      </c>
      <c r="Q850" s="208">
        <f t="shared" ca="1" si="219"/>
        <v>27266.605788354704</v>
      </c>
      <c r="R850" s="208">
        <f t="shared" si="214"/>
        <v>47211.075396669185</v>
      </c>
      <c r="S850" s="208">
        <f t="shared" si="215"/>
        <v>12069.880609315071</v>
      </c>
      <c r="T850" s="208">
        <f t="shared" ca="1" si="216"/>
        <v>86547.561794338952</v>
      </c>
      <c r="U850" s="209">
        <f t="shared" ca="1" si="217"/>
        <v>0.99666750671459148</v>
      </c>
      <c r="V850" s="208">
        <f t="shared" ca="1" si="218"/>
        <v>45957.240595599156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1317.2559726370441</v>
      </c>
      <c r="D851" s="208">
        <f t="shared" ca="1" si="203"/>
        <v>459.80742313297083</v>
      </c>
      <c r="E851" s="208">
        <f t="shared" ca="1" si="204"/>
        <v>1777.0633957700149</v>
      </c>
      <c r="F851" s="208">
        <f t="shared" ca="1" si="205"/>
        <v>27112.749949763162</v>
      </c>
      <c r="G851" s="208">
        <f t="shared" si="206"/>
        <v>45688.137480647601</v>
      </c>
      <c r="H851" s="208">
        <f t="shared" si="207"/>
        <v>11680.529621917811</v>
      </c>
      <c r="I851" s="208">
        <f t="shared" ca="1" si="208"/>
        <v>84481.417052328572</v>
      </c>
      <c r="J851" s="209">
        <f t="shared" ca="1" si="209"/>
        <v>2.1034961980576028E-2</v>
      </c>
      <c r="K851" s="208">
        <f t="shared" ca="1" si="210"/>
        <v>9.0960838861064985E-9</v>
      </c>
      <c r="L851" s="204"/>
      <c r="M851" s="9" t="s">
        <v>119</v>
      </c>
      <c r="N851" s="208">
        <f t="shared" ca="1" si="211"/>
        <v>11480.652010137588</v>
      </c>
      <c r="O851" s="208">
        <f t="shared" ca="1" si="212"/>
        <v>4059.0119697469654</v>
      </c>
      <c r="P851" s="208">
        <f t="shared" ca="1" si="213"/>
        <v>15539.663979884554</v>
      </c>
      <c r="Q851" s="208">
        <f t="shared" ca="1" si="219"/>
        <v>27112.749949763162</v>
      </c>
      <c r="R851" s="208">
        <f t="shared" si="214"/>
        <v>45688.137480647601</v>
      </c>
      <c r="S851" s="208">
        <f t="shared" si="215"/>
        <v>11680.529621917811</v>
      </c>
      <c r="T851" s="208">
        <f t="shared" ca="1" si="216"/>
        <v>84481.417052328572</v>
      </c>
      <c r="U851" s="209">
        <f t="shared" ca="1" si="217"/>
        <v>0.99999077073220366</v>
      </c>
      <c r="V851" s="208">
        <f t="shared" ca="1" si="218"/>
        <v>68941.896492164349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-9202.2073060607581</v>
      </c>
      <c r="D852" s="208">
        <f t="shared" ca="1" si="203"/>
        <v>-2752.6431185572187</v>
      </c>
      <c r="E852" s="208">
        <f t="shared" ca="1" si="204"/>
        <v>-11954.850424617976</v>
      </c>
      <c r="F852" s="208">
        <f t="shared" ca="1" si="205"/>
        <v>28228.26229532819</v>
      </c>
      <c r="G852" s="208">
        <f t="shared" si="206"/>
        <v>47211.075396669185</v>
      </c>
      <c r="H852" s="208">
        <f t="shared" si="207"/>
        <v>12069.880609315071</v>
      </c>
      <c r="I852" s="208">
        <f t="shared" ca="1" si="208"/>
        <v>87509.218301312445</v>
      </c>
      <c r="J852" s="209">
        <f t="shared" ca="1" si="209"/>
        <v>-0.13661246959668796</v>
      </c>
      <c r="K852" s="208">
        <f t="shared" ca="1" si="210"/>
        <v>0</v>
      </c>
      <c r="L852" s="204"/>
      <c r="M852" s="9" t="s">
        <v>120</v>
      </c>
      <c r="N852" s="208">
        <f t="shared" ca="1" si="211"/>
        <v>1296.3240306432392</v>
      </c>
      <c r="O852" s="208">
        <f t="shared" ca="1" si="212"/>
        <v>383.88944747971294</v>
      </c>
      <c r="P852" s="208">
        <f t="shared" ca="1" si="213"/>
        <v>1680.2134781229522</v>
      </c>
      <c r="Q852" s="208">
        <f t="shared" ca="1" si="219"/>
        <v>28228.26229532819</v>
      </c>
      <c r="R852" s="208">
        <f t="shared" si="214"/>
        <v>47211.075396669185</v>
      </c>
      <c r="S852" s="208">
        <f t="shared" si="215"/>
        <v>12069.880609315071</v>
      </c>
      <c r="T852" s="208">
        <f t="shared" ca="1" si="216"/>
        <v>87509.218301312445</v>
      </c>
      <c r="U852" s="209">
        <f t="shared" ca="1" si="217"/>
        <v>0.99999999999722489</v>
      </c>
      <c r="V852" s="208">
        <f t="shared" ca="1" si="218"/>
        <v>85829.004823194162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-981.17994481923995</v>
      </c>
      <c r="D853" s="208">
        <f t="shared" ca="1" si="203"/>
        <v>-259.99119711347697</v>
      </c>
      <c r="E853" s="208">
        <f t="shared" ca="1" si="204"/>
        <v>-1241.1711419327169</v>
      </c>
      <c r="F853" s="208">
        <f t="shared" ca="1" si="205"/>
        <v>25259.270958349618</v>
      </c>
      <c r="G853" s="208">
        <f t="shared" si="206"/>
        <v>47211.075396669185</v>
      </c>
      <c r="H853" s="208">
        <f t="shared" si="207"/>
        <v>12069.880609315071</v>
      </c>
      <c r="I853" s="208">
        <f t="shared" ca="1" si="208"/>
        <v>84540.22696433388</v>
      </c>
      <c r="J853" s="209">
        <f t="shared" ca="1" si="209"/>
        <v>-1.4681426659244084E-2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9517.3513918847584</v>
      </c>
      <c r="O853" s="208">
        <f t="shared" ca="1" si="212"/>
        <v>2549.2241573277788</v>
      </c>
      <c r="P853" s="208">
        <f t="shared" ca="1" si="213"/>
        <v>12066.575549212537</v>
      </c>
      <c r="Q853" s="208">
        <f t="shared" ca="1" si="219"/>
        <v>25259.270958349618</v>
      </c>
      <c r="R853" s="208">
        <f t="shared" si="214"/>
        <v>47211.075396669185</v>
      </c>
      <c r="S853" s="208">
        <f t="shared" si="215"/>
        <v>12069.880609315071</v>
      </c>
      <c r="T853" s="208">
        <f t="shared" ca="1" si="216"/>
        <v>84540.22696433388</v>
      </c>
      <c r="U853" s="209">
        <f t="shared" ca="1" si="217"/>
        <v>0.99999824001870175</v>
      </c>
      <c r="V853" s="208">
        <f t="shared" ca="1" si="218"/>
        <v>72473.67265206865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11273.221350662301</v>
      </c>
      <c r="D854" s="208">
        <f t="shared" ca="1" si="203"/>
        <v>2657.6034489946378</v>
      </c>
      <c r="E854" s="208">
        <f t="shared" ca="1" si="204"/>
        <v>13930.824799656939</v>
      </c>
      <c r="F854" s="208">
        <f t="shared" ca="1" si="205"/>
        <v>22321.507512286764</v>
      </c>
      <c r="G854" s="208">
        <f t="shared" si="206"/>
        <v>45688.137480647601</v>
      </c>
      <c r="H854" s="208">
        <f t="shared" si="207"/>
        <v>11680.529621917811</v>
      </c>
      <c r="I854" s="208">
        <f t="shared" ca="1" si="208"/>
        <v>79690.174614852178</v>
      </c>
      <c r="J854" s="209">
        <f t="shared" ca="1" si="209"/>
        <v>0.17481116783361011</v>
      </c>
      <c r="K854" s="208">
        <f t="shared" ca="1" si="210"/>
        <v>9.2310370318955393E-2</v>
      </c>
      <c r="L854" s="204"/>
      <c r="M854" s="9" t="s">
        <v>122</v>
      </c>
      <c r="N854" s="208">
        <f t="shared" ca="1" si="211"/>
        <v>21531.866890694306</v>
      </c>
      <c r="O854" s="208">
        <f t="shared" ca="1" si="212"/>
        <v>5117.8850520495771</v>
      </c>
      <c r="P854" s="208">
        <f t="shared" ca="1" si="213"/>
        <v>26649.751942743882</v>
      </c>
      <c r="Q854" s="208">
        <f t="shared" ca="1" si="219"/>
        <v>22321.507512286764</v>
      </c>
      <c r="R854" s="208">
        <f t="shared" si="214"/>
        <v>45688.137480647601</v>
      </c>
      <c r="S854" s="208">
        <f t="shared" si="215"/>
        <v>11680.529621917811</v>
      </c>
      <c r="T854" s="208">
        <f t="shared" ca="1" si="216"/>
        <v>79690.174614852178</v>
      </c>
      <c r="U854" s="209">
        <f t="shared" ca="1" si="217"/>
        <v>0.99958010280853304</v>
      </c>
      <c r="V854" s="208">
        <f t="shared" ca="1" si="218"/>
        <v>53051.612828102341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36701.586162201595</v>
      </c>
      <c r="D855" s="208">
        <f t="shared" ca="1" si="203"/>
        <v>12900.451430162097</v>
      </c>
      <c r="E855" s="208">
        <f t="shared" ca="1" si="204"/>
        <v>49602.037592363689</v>
      </c>
      <c r="F855" s="208">
        <f t="shared" ca="1" si="205"/>
        <v>19246.963914563345</v>
      </c>
      <c r="G855" s="208">
        <f t="shared" si="206"/>
        <v>47211.075396669185</v>
      </c>
      <c r="H855" s="208">
        <f t="shared" si="207"/>
        <v>12069.880609315071</v>
      </c>
      <c r="I855" s="208">
        <f t="shared" ca="1" si="208"/>
        <v>78527.919920547603</v>
      </c>
      <c r="J855" s="209">
        <f t="shared" ca="1" si="209"/>
        <v>0.62075468027488789</v>
      </c>
      <c r="K855" s="208">
        <f t="shared" ca="1" si="210"/>
        <v>855.46376943216455</v>
      </c>
      <c r="L855" s="204"/>
      <c r="M855" s="9" t="s">
        <v>123</v>
      </c>
      <c r="N855" s="208">
        <f t="shared" ca="1" si="211"/>
        <v>47302.186553567997</v>
      </c>
      <c r="O855" s="208">
        <f t="shared" ca="1" si="212"/>
        <v>16732.368497641004</v>
      </c>
      <c r="P855" s="208">
        <f t="shared" ca="1" si="213"/>
        <v>64034.555051208998</v>
      </c>
      <c r="Q855" s="208">
        <f t="shared" ca="1" si="219"/>
        <v>19246.963914563345</v>
      </c>
      <c r="R855" s="208">
        <f t="shared" si="214"/>
        <v>47211.075396669185</v>
      </c>
      <c r="S855" s="208">
        <f t="shared" si="215"/>
        <v>12069.880609315071</v>
      </c>
      <c r="T855" s="208">
        <f t="shared" ca="1" si="216"/>
        <v>78527.919920547603</v>
      </c>
      <c r="U855" s="209">
        <f t="shared" ca="1" si="217"/>
        <v>0.94103233605205172</v>
      </c>
      <c r="V855" s="208">
        <f t="shared" ca="1" si="218"/>
        <v>18269.332992654694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56663.376995462437</v>
      </c>
      <c r="D856" s="208">
        <f t="shared" ca="1" si="203"/>
        <v>22726.882023563256</v>
      </c>
      <c r="E856" s="208">
        <f t="shared" ca="1" si="204"/>
        <v>79390.259019025689</v>
      </c>
      <c r="F856" s="208">
        <f t="shared" ca="1" si="205"/>
        <v>12444.514614853131</v>
      </c>
      <c r="G856" s="208">
        <f t="shared" si="206"/>
        <v>45688.137480647601</v>
      </c>
      <c r="H856" s="208">
        <f t="shared" si="207"/>
        <v>11680.529621917811</v>
      </c>
      <c r="I856" s="208">
        <f t="shared" ca="1" si="208"/>
        <v>69813.181717418542</v>
      </c>
      <c r="J856" s="209">
        <f t="shared" ca="1" si="209"/>
        <v>0.91931608192631009</v>
      </c>
      <c r="K856" s="208">
        <f t="shared" ca="1" si="210"/>
        <v>15209.878335758971</v>
      </c>
      <c r="L856" s="204"/>
      <c r="M856" s="9" t="s">
        <v>124</v>
      </c>
      <c r="N856" s="208">
        <f t="shared" ca="1" si="211"/>
        <v>66922.022535494427</v>
      </c>
      <c r="O856" s="208">
        <f t="shared" ca="1" si="212"/>
        <v>26990.438583905056</v>
      </c>
      <c r="P856" s="208">
        <f t="shared" ca="1" si="213"/>
        <v>93912.461119399479</v>
      </c>
      <c r="Q856" s="208">
        <f t="shared" ca="1" si="219"/>
        <v>12444.514614853131</v>
      </c>
      <c r="R856" s="208">
        <f t="shared" si="214"/>
        <v>45688.137480647601</v>
      </c>
      <c r="S856" s="208">
        <f t="shared" si="215"/>
        <v>11680.529621917811</v>
      </c>
      <c r="T856" s="208">
        <f t="shared" ca="1" si="216"/>
        <v>69813.181717418542</v>
      </c>
      <c r="U856" s="209">
        <f t="shared" ca="1" si="217"/>
        <v>0.71451592561954291</v>
      </c>
      <c r="V856" s="208">
        <f t="shared" ca="1" si="218"/>
        <v>2711.2326334814861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88005.269839934146</v>
      </c>
      <c r="D857" s="208">
        <f t="shared" ca="1" si="203"/>
        <v>36399.554698141088</v>
      </c>
      <c r="E857" s="208">
        <f t="shared" ca="1" si="204"/>
        <v>124404.82453807523</v>
      </c>
      <c r="F857" s="208">
        <f t="shared" ca="1" si="205"/>
        <v>11811.091675732225</v>
      </c>
      <c r="G857" s="208">
        <f t="shared" si="206"/>
        <v>47211.075396669185</v>
      </c>
      <c r="H857" s="208">
        <f t="shared" si="207"/>
        <v>12069.880609315071</v>
      </c>
      <c r="I857" s="208">
        <f t="shared" ca="1" si="208"/>
        <v>71092.047681716474</v>
      </c>
      <c r="J857" s="209">
        <f t="shared" ca="1" si="209"/>
        <v>0.98993075690214061</v>
      </c>
      <c r="K857" s="208">
        <f t="shared" ca="1" si="210"/>
        <v>54028.619966790575</v>
      </c>
      <c r="L857" s="204"/>
      <c r="M857" s="9" t="s">
        <v>125</v>
      </c>
      <c r="N857" s="208">
        <f t="shared" ca="1" si="211"/>
        <v>98605.870231300534</v>
      </c>
      <c r="O857" s="208">
        <f t="shared" ca="1" si="212"/>
        <v>43663.604890424438</v>
      </c>
      <c r="P857" s="208">
        <f t="shared" ca="1" si="213"/>
        <v>142269.47512172497</v>
      </c>
      <c r="Q857" s="208">
        <f t="shared" ca="1" si="219"/>
        <v>11811.091675732225</v>
      </c>
      <c r="R857" s="208">
        <f t="shared" si="214"/>
        <v>47211.075396669185</v>
      </c>
      <c r="S857" s="208">
        <f t="shared" si="215"/>
        <v>12069.880609315071</v>
      </c>
      <c r="T857" s="208">
        <f t="shared" ca="1" si="216"/>
        <v>71092.047681716474</v>
      </c>
      <c r="U857" s="209">
        <f t="shared" ca="1" si="217"/>
        <v>0.49733849202740066</v>
      </c>
      <c r="V857" s="208">
        <f t="shared" ca="1" si="218"/>
        <v>335.96146314797807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473441.98581536027</v>
      </c>
      <c r="D858" s="208">
        <f t="shared" ca="1" si="220"/>
        <v>187478.18085144664</v>
      </c>
      <c r="E858" s="208">
        <f t="shared" ca="1" si="220"/>
        <v>660920.16666680702</v>
      </c>
      <c r="F858" s="208">
        <f t="shared" ca="1" si="220"/>
        <v>244548.71317430888</v>
      </c>
      <c r="G858" s="208">
        <f t="shared" si="220"/>
        <v>555872.33934787905</v>
      </c>
      <c r="H858" s="208">
        <f t="shared" si="220"/>
        <v>142113.11040000001</v>
      </c>
      <c r="I858" s="208">
        <f t="shared" ca="1" si="220"/>
        <v>942534.16292218817</v>
      </c>
      <c r="J858" s="208" t="s">
        <v>479</v>
      </c>
      <c r="K858" s="208">
        <f ca="1">SUM(K846:K857)</f>
        <v>183846.19537001167</v>
      </c>
      <c r="L858" s="204"/>
      <c r="M858" s="207" t="s">
        <v>178</v>
      </c>
      <c r="N858" s="208">
        <f t="shared" ref="N858:T858" ca="1" si="221">SUM(N846:N857)</f>
        <v>597956.11894055991</v>
      </c>
      <c r="O858" s="208">
        <f t="shared" ca="1" si="221"/>
        <v>240019.89891616959</v>
      </c>
      <c r="P858" s="208">
        <f t="shared" ca="1" si="221"/>
        <v>837976.01785672968</v>
      </c>
      <c r="Q858" s="208">
        <f t="shared" ca="1" si="219"/>
        <v>244548.71317430888</v>
      </c>
      <c r="R858" s="208">
        <f>SUM(R846:R857)</f>
        <v>555872.33934787905</v>
      </c>
      <c r="S858" s="208">
        <f t="shared" si="221"/>
        <v>142113.11040000001</v>
      </c>
      <c r="T858" s="208">
        <f t="shared" ca="1" si="221"/>
        <v>942534.16292218817</v>
      </c>
      <c r="U858" s="208" t="s">
        <v>479</v>
      </c>
      <c r="V858" s="208">
        <f ca="1">SUM(V846:V857)</f>
        <v>368722.43662485888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AptMidrise</vt:lpstr>
      <vt:lpstr>AptHighrise</vt:lpstr>
      <vt:lpstr>OfficeSmall</vt:lpstr>
      <vt:lpstr>OfficeLarge</vt:lpstr>
      <vt:lpstr>Outputs</vt:lpstr>
      <vt:lpstr>Calcs</vt:lpstr>
      <vt:lpstr>Weather</vt:lpstr>
      <vt:lpstr>OfficeMedium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2013-11-20T20:59:33Z</dcterms:modified>
</cp:coreProperties>
</file>